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801"/>
  <workbookPr defaultThemeVersion="124226"/>
  <mc:AlternateContent xmlns:mc="http://schemas.openxmlformats.org/markup-compatibility/2006">
    <mc:Choice Requires="x15">
      <x15ac:absPath xmlns:x15ac="http://schemas.microsoft.com/office/spreadsheetml/2010/11/ac" url="C:\Users\Tony Sinke\Desktop\"/>
    </mc:Choice>
  </mc:AlternateContent>
  <xr:revisionPtr revIDLastSave="0" documentId="13_ncr:1_{E65C3331-4A18-466A-9079-DC70EB4FA30F}" xr6:coauthVersionLast="46" xr6:coauthVersionMax="47" xr10:uidLastSave="{00000000-0000-0000-0000-000000000000}"/>
  <workbookProtection workbookAlgorithmName="SHA-512" workbookHashValue="12adW3BtsB+PXzlhY6dIvHGkPmlI5nvt3tyV3pOdQF7xqIeOBV/169B8ymZ4KMC5Bgkr809lNbyXwZZ2mJ8KCA==" workbookSaltValue="AGEytVXz9v2G/87xqmXbUA==" workbookSpinCount="100000" lockStructure="1"/>
  <bookViews>
    <workbookView xWindow="28680" yWindow="-120" windowWidth="38640" windowHeight="21240" xr2:uid="{00000000-000D-0000-FFFF-FFFF00000000}"/>
  </bookViews>
  <sheets>
    <sheet name="Designer Shutters Page 1" sheetId="2" r:id="rId1"/>
    <sheet name="Designer Shutters Page 2" sheetId="11" r:id="rId2"/>
    <sheet name="Designer Shutters Page 3" sheetId="12" r:id="rId3"/>
    <sheet name="Designer Shutter Data" sheetId="1" state="hidden" r:id="rId4"/>
  </sheets>
  <definedNames>
    <definedName name="BottomSlidingBottomWheelFrame">'Designer Shutter Data'!$GH$99:$GH$100</definedName>
    <definedName name="BottomWheelAdjustable">'Designer Shutter Data'!$FA$39</definedName>
    <definedName name="DefaultFluffyStrip">'Designer Shutter Data'!$AX$36:$AX$37</definedName>
    <definedName name="FauxwoodDesignePivotHingedLayoutCodes">'Designer Shutter Data'!$JI$17:$JI$21</definedName>
    <definedName name="FauxwoodDesignerBiFoldBottomFixedPivotBracketPin">'Designer Shutter Data'!$EX$28</definedName>
    <definedName name="FauxwoodDesignerBladeSize">'Designer Shutter Data'!$E$3:$E$4</definedName>
    <definedName name="FauxwoodDesignerBottomFrameAngledDecoZFrame">'Designer Shutter Data'!$GE$48:$GE$50</definedName>
    <definedName name="FauxwoodDesignerBottomFrameBullnoseLargeZFrame">'Designer Shutter Data'!$GF$48:$GF$51</definedName>
    <definedName name="FauxwoodDesignerBottomFrameBullnoseZFrame">'Designer Shutter Data'!$GG$48:$GG$51</definedName>
    <definedName name="FauxwoodDesignerBottomFrameCaseFrame">'Designer Shutter Data'!$GH$48:$GH$50</definedName>
    <definedName name="FauxwoodDesignerBottomFrameClassicDecoZFrame">'Designer Shutter Data'!$GI$48:$GI$51</definedName>
    <definedName name="FauxwoodDesignerBottomFrameHangingStrip">'Designer Shutter Data'!$GF$60:$GF$63</definedName>
    <definedName name="FauxwoodDesignerBottomFrameMediumDecoZFrame">'Designer Shutter Data'!$GK$48:$GK$51</definedName>
    <definedName name="FauxwoodDesignerBottomFrameMediumFaceFitLFrame">'Designer Shutter Data'!$GP$48:$GP$50</definedName>
    <definedName name="FauxwoodDesignerBottomFrameNoFrame">'Designer Shutter Data'!$GD$48:$GD$49</definedName>
    <definedName name="FauxwoodDesignerBottomFrameRevealLFrame">'Designer Shutter Data'!$GL$48:$GL$50</definedName>
    <definedName name="FauxwoodDesignerBottomFrameSillFrame">'Designer Shutter Data'!$GM$48:$GM$50</definedName>
    <definedName name="FauxwoodDesignerBottomFrameSliding">'Designer Shutter Data'!$GE$60:$GE$63</definedName>
    <definedName name="FauxwoodDesignerBottomFrameSmallDecoZFrame">'Designer Shutter Data'!$GN$48:$GN$51</definedName>
    <definedName name="FauxwoodDesignerBottomFrameSmallFaceFitLFrame">'Designer Shutter Data'!$GJ$48:$GJ$50</definedName>
    <definedName name="FauxwoodDesignerBottomFrameSquareZFrame">'Designer Shutter Data'!$GO$48:$GO$51</definedName>
    <definedName name="FauxwoodDesignerBottomFrameTrackBiFold">'Designer Shutter Data'!$GD$60:$GD$62</definedName>
    <definedName name="FauxwoodDesignerBottomFrameUChannel">'Designer Shutter Data'!$GF$89</definedName>
    <definedName name="FauxwoodDesignerBottomPivotPinForBiFoldSlidingPanel">'Designer Shutter Data'!$EY$28</definedName>
    <definedName name="FauxwoodDesignerBumperStop">'Designer Shutter Data'!$EX$3</definedName>
    <definedName name="FauxwoodDesignerCarrierBracketForBiFoldSlidingPanel">'Designer Shutter Data'!$FA$28</definedName>
    <definedName name="FauxwoodDesignerColour">'Designer Shutter Data'!$D$3:$D$15</definedName>
    <definedName name="FauxwoodDesignerDoubleHingedLayoutCode">'Designer Shutter Data'!$JZ$3:$JZ$25</definedName>
    <definedName name="FauxwoodDesignerEcoNightTiltrod">'Designer Shutter Data'!$S$17</definedName>
    <definedName name="FauxwoodDesignerExtras">'Designer Shutter Data'!$CF$2:$CF$39</definedName>
    <definedName name="FauxwoodDesignerExtrasColour">'Designer Shutter Data'!$CH$2:$CH$14</definedName>
    <definedName name="FauxwoodDesignerExtrasMaterial">'Designer Shutter Data'!$CG$2</definedName>
    <definedName name="FauxwoodDesignerFixedFrameType">'Designer Shutter Data'!$HC$11</definedName>
    <definedName name="FauxwoodDesignerFixedLayoutCode">'Designer Shutter Data'!$JI$3</definedName>
    <definedName name="FauxwoodDesignerFloorGuide">'Designer Shutter Data'!$FC$28</definedName>
    <definedName name="FauxwoodDesignerFrameNA">'Designer Shutter Data'!$GD$74</definedName>
    <definedName name="FauxwoodDesignerFrameType">'Designer Shutter Data'!$H$3:$H$19</definedName>
    <definedName name="FauxwoodDesignerHardware">'Designer Shutter Data'!$EV$62:$EV$79</definedName>
    <definedName name="FauxwoodDesignerHermanJoints">'Designer Shutter Data'!$EY$3</definedName>
    <definedName name="FauxwoodDesignerHiddenTiltrod63mm">'Designer Shutter Data'!$EZ$3</definedName>
    <definedName name="FauxwoodDesignerHiddenTiltrod89mm">'Designer Shutter Data'!$FA$3</definedName>
    <definedName name="FauxwoodDesignerHingeColour">'Designer Shutter Data'!$J$3:$J$4</definedName>
    <definedName name="FauxwoodDesignerHingeColourNA">'Designer Shutter Data'!$K$3</definedName>
    <definedName name="FauxwoodDesignerHingedLayoutCode">'Designer Shutter Data'!$JE$3:$JE$94</definedName>
    <definedName name="FauxwoodDesignerHingePacker">'Designer Shutter Data'!$FB$3</definedName>
    <definedName name="FauxwoodDesignerHingePin">'Designer Shutter Data'!$FC$3</definedName>
    <definedName name="FauxwoodDesignerIN">'Designer Shutter Data'!$GX$3:$GX$17</definedName>
    <definedName name="FauxwoodDesignerLeftRightFrame100mm">'Designer Shutter Data'!$GD$16:$GD$18</definedName>
    <definedName name="FauxwoodDesignerLeftRightFrame140mm">'Designer Shutter Data'!$GE$16:$GE$18</definedName>
    <definedName name="FauxwoodDesignerLeftRightFrame180mm">'Designer Shutter Data'!$GF$16:$GF$18</definedName>
    <definedName name="FauxwoodDesignerLeftRightFrame220mm">'Designer Shutter Data'!$GG$16:$GG$18</definedName>
    <definedName name="FauxwoodDesignerLeftRightFrameAngledDecoZFrame">'Designer Shutter Data'!$GE$3:$GE$5</definedName>
    <definedName name="FauxwoodDesignerLeftRightFrameBullnoseLargeZFrame">'Designer Shutter Data'!$GF$3:$GF$6</definedName>
    <definedName name="FauxwoodDesignerLeftRightFrameBullnoseZFrame">'Designer Shutter Data'!$GG$3:$GG$6</definedName>
    <definedName name="FauxwoodDesignerLeftRightFrameCaseFrame">'Designer Shutter Data'!$GH$3:$GH$5</definedName>
    <definedName name="FauxwoodDesignerLeftRightFrameClassicDecoZFrame">'Designer Shutter Data'!$GI$3:$GI$6</definedName>
    <definedName name="FauxwoodDesignerLeftRightFrameHangingStrip">'Designer Shutter Data'!$GH$16:$GH$18</definedName>
    <definedName name="FauxwoodDesignerLeftRightFrameMediumDecoZFrame">'Designer Shutter Data'!$GK$3:$GK$6</definedName>
    <definedName name="FauxwoodDesignerLeftRightFrameMediumFaceFitLFrame">'Designer Shutter Data'!$GP$3:$GP$5</definedName>
    <definedName name="FauxwoodDesignerLeftRightFrameNoFrame">'Designer Shutter Data'!$GD$3:$GD$4</definedName>
    <definedName name="FauxwoodDesignerLeftRightFrameRevealLFrame">'Designer Shutter Data'!$GL$3:$GL$5</definedName>
    <definedName name="FauxwoodDesignerLeftRightFrameSillFrame">'Designer Shutter Data'!$GM$3:$GM$5</definedName>
    <definedName name="FauxwoodDesignerLeftRightFrameSmallDecoZFrame">'Designer Shutter Data'!$GN$3:$GN$6</definedName>
    <definedName name="FauxwoodDesignerLeftRightFrameSmallFaceFitLFrame">'Designer Shutter Data'!$GJ$3:$GJ$5</definedName>
    <definedName name="FauxwoodDesignerLeftRightFrameSquareZFrame">'Designer Shutter Data'!$GO$3:$GO$6</definedName>
    <definedName name="FauxwoodDesignerLeftRightFrameUChannel">'Designer Shutter Data'!$GD$89:$GD$90</definedName>
    <definedName name="FauxwoodDesignerMagnetAndCatch">'Designer Shutter Data'!$FD$3:$FD$4</definedName>
    <definedName name="FauxwoodDesignerMountingMethod">'Designer Shutter Data'!$F$3:$F$6</definedName>
    <definedName name="FauxwoodDesignerMountingMethodNA">'Designer Shutter Data'!$HE$2</definedName>
    <definedName name="FauxwoodDesignerMoutingMethodIN">'Designer Shutter Data'!$IH$3:$IH$8</definedName>
    <definedName name="FauxwoodDesignerMoutingMethodMS">'Designer Shutter Data'!$IG$3</definedName>
    <definedName name="FauxwoodDesignerMoutingMethodOUT">'Designer Shutter Data'!$II$3:$II$7</definedName>
    <definedName name="FauxwoodDesignerMS">'Designer Shutter Data'!$GZ$3</definedName>
    <definedName name="FauxwoodDesignerMSLayoutCode">'Designer Shutter Data'!$JG$3</definedName>
    <definedName name="FauxwoodDesignerNightBladeSize">'Designer Shutter Data'!$E$28</definedName>
    <definedName name="FauxwoodDesignerNightMoutingMethodIN">'Designer Shutter Data'!$IJ$3:$IJ$4</definedName>
    <definedName name="FauxwoodDesignerNightMoutingMethodOUT">'Designer Shutter Data'!$IK$3</definedName>
    <definedName name="FauxwoodDesignerNightWindowType">'Designer Shutter Data'!$BJ$36:$BJ$38</definedName>
    <definedName name="FauxwoodDesignerOUT">'Designer Shutter Data'!$GY$3:$GY$9</definedName>
    <definedName name="FauxwoodDesignerPivotHingeColour">'Designer Shutter Data'!$N$22:$N$23</definedName>
    <definedName name="FauxwoodDesignerPivotHingedInOut">'Designer Shutter Data'!$GZ$12</definedName>
    <definedName name="FauxwoodDesignerPivotHinges">'Designer Shutter Data'!$FE$12:$FE$13</definedName>
    <definedName name="FauxwoodDesignerScrew">'Designer Shutter Data'!$FE$3:$FE$4</definedName>
    <definedName name="FauxwoodDesignerShutterMaterial">'Designer Shutter Data'!$C$3:$C$6</definedName>
    <definedName name="FauxwoodDesignerSliderLBracket">'Designer Shutter Data'!$FN$28</definedName>
    <definedName name="FauxwoodDesignerSlidingFrameType">'Designer Shutter Data'!$HB$11:$HB$14</definedName>
    <definedName name="FauxwoodDesignerSlidingLayoutCode">'Designer Shutter Data'!$JC$3:$JC$45</definedName>
    <definedName name="FauxwoodDesignerSlidingOpenOrClosedDoubleHinged">'Designer Shutter Data'!$FZ$8</definedName>
    <definedName name="FauxwoodDesignerSlidingOpenOrClosedFixed">'Designer Shutter Data'!$FY$8</definedName>
    <definedName name="FauxwoodDesignerSlidingOpenOrClosedHinged">'Designer Shutter Data'!$FZ$3</definedName>
    <definedName name="FauxwoodDesignerSlidingOpenOrClosedNA">'Designer Shutter Data'!$FY$3</definedName>
    <definedName name="FauxwoodDesignerSlidingOpenOrClosedPivotHinged">'Designer Shutter Data'!$FZ$15</definedName>
    <definedName name="FauxwoodDesignerSlidingOpenOrClosedSliding">'Designer Shutter Data'!$GB$3:$GB$4</definedName>
    <definedName name="FauxwoodDesignerSlidingOpenOrClosedTrackBiFold">'Designer Shutter Data'!$GA$3</definedName>
    <definedName name="FauxwoodDesignerSpecialComments1">'Designer Shutter Data'!$BM$3:$BM$25</definedName>
    <definedName name="FauxwoodDesignerSpecialComments2">'Designer Shutter Data'!$BN$3:$BN$25</definedName>
    <definedName name="FauxwoodDesignerSpecialComments3">'Designer Shutter Data'!$BO$3:$BO$25</definedName>
    <definedName name="FauxwoodDesignerSpringPin">'Designer Shutter Data'!$FF$3</definedName>
    <definedName name="FauxwoodDesignerStandardHinge">'Designer Shutter Data'!$FG$3:$FG$15</definedName>
    <definedName name="FauxwoodDesignerTiltrod">'Designer Shutter Data'!$S$3:$S$6</definedName>
    <definedName name="FauxwoodDesignerTiltrodShapesNA">'Designer Shutter Data'!$T$3:$T$5</definedName>
    <definedName name="FauxwoodDesignerTopFrame100mm">'Designer Shutter Data'!$GD$38</definedName>
    <definedName name="FauxwoodDesignerTopFrame140mm">'Designer Shutter Data'!$GE$38</definedName>
    <definedName name="FauxwoodDesignerTopFrame180mm">'Designer Shutter Data'!$GF$38</definedName>
    <definedName name="FauxwoodDesignerTopFrame220mm">'Designer Shutter Data'!$GG$38</definedName>
    <definedName name="FauxwoodDesignerTopFrameAngledDecoZFrame">'Designer Shutter Data'!$GE$26:$GE$28</definedName>
    <definedName name="FauxwoodDesignerTopFrameBullnoseLargeZFrame">'Designer Shutter Data'!$GF$26:$GF$29</definedName>
    <definedName name="FauxwoodDesignerTopFrameBullnoseZFrame">'Designer Shutter Data'!$GG$26:$GG$29</definedName>
    <definedName name="FauxwoodDesignerTopFrameCaseFrame">'Designer Shutter Data'!$GH$26:$GH$28</definedName>
    <definedName name="FauxwoodDesignerTopFrameClassicDecoZFrame">'Designer Shutter Data'!$GI$26:$GI$29</definedName>
    <definedName name="FauxwoodDesignerTopFrameHangingStrip">'Designer Shutter Data'!$GH$38:$GH$41</definedName>
    <definedName name="FauxwoodDesignerTopFrameMediumDecoZFrame">'Designer Shutter Data'!$GK$26:$GK$29</definedName>
    <definedName name="FauxwoodDesignerTopFrameMediumFaceFitLFrame">'Designer Shutter Data'!$GP$26:$GP$28</definedName>
    <definedName name="FauxwoodDesignerTopFrameNoFrame">'Designer Shutter Data'!$GD$26:$GD$27</definedName>
    <definedName name="FauxwoodDesignerTopFrameRevealLFrame">'Designer Shutter Data'!$GL$26:$GL$28</definedName>
    <definedName name="FauxwoodDesignerTopFrameSillFrame">'Designer Shutter Data'!$GM$26:$GM$28</definedName>
    <definedName name="FauxwoodDesignerTopFrameSmallDecoZFrame">'Designer Shutter Data'!$GN$26:$GN$29</definedName>
    <definedName name="FauxwoodDesignerTopFrameSmallFaceFitLFrame">'Designer Shutter Data'!$GJ$26:$GJ$28</definedName>
    <definedName name="FauxwoodDesignerTopFrameSquareZFrame">'Designer Shutter Data'!$GO$26:$GO$29</definedName>
    <definedName name="FauxwoodDesignerTopFrameUChannel">'Designer Shutter Data'!$GE$89</definedName>
    <definedName name="FauxwoodDesignerTrackBiFoldFrameType">'Designer Shutter Data'!$HA$11</definedName>
    <definedName name="FauxwoodDesignerTrackBiFoldLayoutCode">'Designer Shutter Data'!$JA$3:$JA$15</definedName>
    <definedName name="FauxwoodDesignerWindowType">'Designer Shutter Data'!$BJ$3:$BJ$15</definedName>
    <definedName name="FauxwoodDesignerWindowTypeNA">'Designer Shutter Data'!$BI$3</definedName>
    <definedName name="Fluffy_Strip_Fauxwood">'Designer Shutter Data'!$BR$3:$BR$4</definedName>
    <definedName name="Fluffy_Stripe_NA">'Designer Shutter Data'!$BR$10</definedName>
    <definedName name="Luvre_Colour">'Designer Shutter Data'!$D$39:$D$40</definedName>
    <definedName name="LuvreBladeSize">'Designer Shutter Data'!$E$39:$E$40</definedName>
    <definedName name="LuvreTiltrod">'Designer Shutter Data'!$T$16</definedName>
    <definedName name="NightFluffyStrip">'Designer Shutter Data'!$AW$36</definedName>
    <definedName name="Pacific_Sales_Coordinator">'Designer Shutter Data'!$A$3:$A$7</definedName>
    <definedName name="Port">'Designer Shutter Data'!$B$3:$B$7</definedName>
    <definedName name="_xlnm.Print_Area" localSheetId="0">'Designer Shutters Page 1'!$A$1:$AE$52</definedName>
    <definedName name="_xlnm.Print_Area" localSheetId="1">'Designer Shutters Page 2'!$A$1:$AE$52</definedName>
    <definedName name="_xlnm.Print_Area" localSheetId="2">'Designer Shutters Page 3'!$A$1:$AE$52</definedName>
    <definedName name="ShutterEmail">'Designer Shutter Data'!$A$21:$A$23</definedName>
    <definedName name="ShutterPhone">'Designer Shutter Data'!$B$22:$B$24</definedName>
    <definedName name="Sliding_System" localSheetId="1">'Designer Shutters Page 2'!$FH$4:$FH$5</definedName>
    <definedName name="Sliding_System" localSheetId="2">'Designer Shutters Page 3'!$FH$4:$FH$5</definedName>
    <definedName name="Sliding_System">'Designer Shutters Page 1'!$FH$4:$FH$5</definedName>
    <definedName name="SlidingBoth">'Designer Shutter Data'!$KS$2:$KS$3</definedName>
    <definedName name="SlidingClosed">'Designer Shutter Data'!$KT$2</definedName>
    <definedName name="SlidingSystemNA" localSheetId="1">'Designer Shutters Page 2'!$FI$4</definedName>
    <definedName name="SlidingSystemNA" localSheetId="2">'Designer Shutters Page 3'!$FI$4</definedName>
    <definedName name="SlidingSystemNA">'Designer Shutters Page 1'!$FI$4</definedName>
    <definedName name="StandardStile" localSheetId="1">'Designer Shutters Page 2'!$EU$9</definedName>
    <definedName name="StandardStile" localSheetId="2">'Designer Shutters Page 3'!$EU$9</definedName>
    <definedName name="StandardStile">'Designer Shutters Page 1'!$EU$9</definedName>
    <definedName name="Stile_T_Post" localSheetId="1">'Designer Shutters Page 2'!$EO$9:$EO$10</definedName>
    <definedName name="Stile_T_Post" localSheetId="2">'Designer Shutters Page 3'!$EO$9:$EO$10</definedName>
    <definedName name="Stile_T_Post">'Designer Shutters Page 1'!$EO$9:$EO$10</definedName>
    <definedName name="TPostQtyNA">'Designer Shutter Data'!$JP$2</definedName>
    <definedName name="TPostQuantity">'Designer Shutter Data'!$JO$2:$JO$7</definedName>
  </definedNames>
  <calcPr calcId="191029"/>
</workbook>
</file>

<file path=xl/calcChain.xml><?xml version="1.0" encoding="utf-8"?>
<calcChain xmlns="http://schemas.openxmlformats.org/spreadsheetml/2006/main">
  <c r="M5" i="11" l="1"/>
  <c r="M4" i="11"/>
  <c r="M3" i="11"/>
  <c r="M2" i="11"/>
  <c r="M1" i="11"/>
  <c r="K6" i="11"/>
  <c r="K6" i="12"/>
  <c r="M5" i="12"/>
  <c r="M4" i="12"/>
  <c r="M3" i="12"/>
  <c r="M2" i="12"/>
  <c r="M1" i="12"/>
  <c r="EM11" i="2"/>
  <c r="AC1" i="12" s="1"/>
  <c r="EM10" i="2"/>
  <c r="AC1" i="11" s="1"/>
  <c r="AD6" i="11"/>
  <c r="AD6" i="12"/>
  <c r="BD52" i="12"/>
  <c r="AY52" i="12"/>
  <c r="BD51" i="12"/>
  <c r="AY51" i="12"/>
  <c r="BD50" i="12"/>
  <c r="AY50" i="12"/>
  <c r="BD49" i="12"/>
  <c r="AY49" i="12"/>
  <c r="BD48" i="12"/>
  <c r="AY48" i="12"/>
  <c r="BD47" i="12"/>
  <c r="AY47" i="12"/>
  <c r="BD46" i="12"/>
  <c r="AY46" i="12"/>
  <c r="BD45" i="12"/>
  <c r="AY45" i="12"/>
  <c r="BD44" i="12"/>
  <c r="AY44" i="12"/>
  <c r="BD43" i="12"/>
  <c r="AY43" i="12"/>
  <c r="FJ23" i="12"/>
  <c r="FH23" i="12"/>
  <c r="FD23" i="12"/>
  <c r="FC23" i="12"/>
  <c r="FA23" i="12"/>
  <c r="FB23" i="12" s="1"/>
  <c r="EZ23" i="12"/>
  <c r="EX23" i="12"/>
  <c r="EW23" i="12"/>
  <c r="ET23" i="12"/>
  <c r="ER23" i="12"/>
  <c r="EP23" i="12"/>
  <c r="EK23" i="12"/>
  <c r="EJ23" i="12"/>
  <c r="EH23" i="12"/>
  <c r="EF23" i="12"/>
  <c r="EG23" i="12" s="1"/>
  <c r="ED23" i="12"/>
  <c r="EE23" i="12" s="1"/>
  <c r="EC23" i="12"/>
  <c r="EB23" i="12"/>
  <c r="DZ23" i="12"/>
  <c r="DY23" i="12"/>
  <c r="DX23" i="12"/>
  <c r="DV23" i="12"/>
  <c r="DW23" i="12" s="1"/>
  <c r="DU23" i="12"/>
  <c r="DT23" i="12"/>
  <c r="DS23" i="12"/>
  <c r="DR23" i="12"/>
  <c r="DQ23" i="12"/>
  <c r="DP23" i="12"/>
  <c r="DM23" i="12"/>
  <c r="FL23" i="12" s="1"/>
  <c r="DL23" i="12"/>
  <c r="DK23" i="12"/>
  <c r="DH23" i="12"/>
  <c r="DI23" i="12" s="1"/>
  <c r="DJ23" i="12" s="1"/>
  <c r="DO23" i="12" s="1"/>
  <c r="DF23" i="12"/>
  <c r="DE23" i="12"/>
  <c r="DA23" i="12"/>
  <c r="CY23" i="12"/>
  <c r="CR23" i="12"/>
  <c r="CQ23" i="12"/>
  <c r="CP23" i="12"/>
  <c r="CS23" i="12" s="1"/>
  <c r="CO23" i="12"/>
  <c r="CN23" i="12"/>
  <c r="CI23" i="12"/>
  <c r="CJ23" i="12" s="1"/>
  <c r="CH23" i="12"/>
  <c r="CG23" i="12"/>
  <c r="CF23" i="12"/>
  <c r="CD23" i="12"/>
  <c r="BX23" i="12"/>
  <c r="BW23" i="12"/>
  <c r="BV23" i="12"/>
  <c r="BS23" i="12"/>
  <c r="BR23" i="12"/>
  <c r="BP23" i="12"/>
  <c r="BQ23" i="12" s="1"/>
  <c r="BO23" i="12"/>
  <c r="BN23" i="12"/>
  <c r="BM23" i="12"/>
  <c r="BL23" i="12"/>
  <c r="BK23" i="12"/>
  <c r="DN23" i="12" s="1"/>
  <c r="BJ23" i="12"/>
  <c r="BI23" i="12"/>
  <c r="BH23" i="12"/>
  <c r="BE23" i="12"/>
  <c r="BD23" i="12"/>
  <c r="BA23" i="12"/>
  <c r="CC23" i="12" s="1"/>
  <c r="AZ23" i="12"/>
  <c r="AX23" i="12"/>
  <c r="AV23" i="12"/>
  <c r="AT23" i="12"/>
  <c r="AK23" i="12"/>
  <c r="AJ23" i="12"/>
  <c r="AI23" i="12"/>
  <c r="AE23" i="12"/>
  <c r="FJ22" i="12"/>
  <c r="FH22" i="12"/>
  <c r="FD22" i="12"/>
  <c r="FC22" i="12"/>
  <c r="FA22" i="12"/>
  <c r="FB22" i="12" s="1"/>
  <c r="EZ22" i="12"/>
  <c r="EX22" i="12"/>
  <c r="EW22" i="12"/>
  <c r="EY22" i="12" s="1"/>
  <c r="ET22" i="12"/>
  <c r="ER22" i="12"/>
  <c r="EP22" i="12"/>
  <c r="EK22" i="12"/>
  <c r="EL22" i="12" s="1"/>
  <c r="CT22" i="12" s="1"/>
  <c r="AW22" i="12" s="1"/>
  <c r="EJ22" i="12"/>
  <c r="EH22" i="12"/>
  <c r="EF22" i="12"/>
  <c r="EG22" i="12" s="1"/>
  <c r="ED22" i="12"/>
  <c r="EE22" i="12" s="1"/>
  <c r="EC22" i="12"/>
  <c r="EB22" i="12"/>
  <c r="DZ22" i="12"/>
  <c r="DY22" i="12"/>
  <c r="DX22" i="12"/>
  <c r="DV22" i="12"/>
  <c r="DU22" i="12"/>
  <c r="DT22" i="12"/>
  <c r="DS22" i="12"/>
  <c r="DR22" i="12"/>
  <c r="DQ22" i="12"/>
  <c r="DP22" i="12"/>
  <c r="DM22" i="12"/>
  <c r="FL22" i="12" s="1"/>
  <c r="DL22" i="12"/>
  <c r="DK22" i="12"/>
  <c r="DH22" i="12"/>
  <c r="DI22" i="12" s="1"/>
  <c r="DJ22" i="12" s="1"/>
  <c r="DF22" i="12"/>
  <c r="DE22" i="12"/>
  <c r="DA22" i="12"/>
  <c r="CY22" i="12"/>
  <c r="CR22" i="12"/>
  <c r="CQ22" i="12"/>
  <c r="CP22" i="12"/>
  <c r="CS22" i="12" s="1"/>
  <c r="CO22" i="12"/>
  <c r="CN22" i="12"/>
  <c r="CI22" i="12"/>
  <c r="CJ22" i="12" s="1"/>
  <c r="CH22" i="12"/>
  <c r="CF22" i="12"/>
  <c r="CG22" i="12" s="1"/>
  <c r="CD22" i="12"/>
  <c r="CC22" i="12"/>
  <c r="BX22" i="12"/>
  <c r="BW22" i="12"/>
  <c r="BV22" i="12"/>
  <c r="BS22" i="12"/>
  <c r="BR22" i="12"/>
  <c r="BP22" i="12"/>
  <c r="BO22" i="12"/>
  <c r="BN22" i="12"/>
  <c r="BM22" i="12"/>
  <c r="BL22" i="12"/>
  <c r="BK22" i="12"/>
  <c r="DN22" i="12" s="1"/>
  <c r="BJ22" i="12"/>
  <c r="BQ22" i="12" s="1"/>
  <c r="BI22" i="12"/>
  <c r="BH22" i="12"/>
  <c r="BG22" i="12"/>
  <c r="BE22" i="12"/>
  <c r="BD22" i="12"/>
  <c r="BC22" i="12"/>
  <c r="BB22" i="12"/>
  <c r="BA22" i="12"/>
  <c r="AZ22" i="12"/>
  <c r="AX22" i="12"/>
  <c r="AV22" i="12"/>
  <c r="AT22" i="12"/>
  <c r="AK22" i="12"/>
  <c r="AJ22" i="12"/>
  <c r="AI22" i="12"/>
  <c r="AE22" i="12"/>
  <c r="FJ21" i="12"/>
  <c r="FH21" i="12"/>
  <c r="FD21" i="12"/>
  <c r="FC21" i="12"/>
  <c r="FA21" i="12"/>
  <c r="FB21" i="12" s="1"/>
  <c r="EZ21" i="12"/>
  <c r="EX21" i="12"/>
  <c r="EW21" i="12"/>
  <c r="ET21" i="12"/>
  <c r="ER21" i="12"/>
  <c r="EP21" i="12"/>
  <c r="EK21" i="12"/>
  <c r="EJ21" i="12"/>
  <c r="EH21" i="12"/>
  <c r="EF21" i="12"/>
  <c r="EG21" i="12" s="1"/>
  <c r="ED21" i="12"/>
  <c r="EE21" i="12" s="1"/>
  <c r="EC21" i="12"/>
  <c r="EB21" i="12"/>
  <c r="DZ21" i="12"/>
  <c r="DY21" i="12"/>
  <c r="DX21" i="12"/>
  <c r="DV21" i="12"/>
  <c r="DU21" i="12"/>
  <c r="DT21" i="12"/>
  <c r="DS21" i="12"/>
  <c r="DR21" i="12"/>
  <c r="DQ21" i="12"/>
  <c r="DP21" i="12"/>
  <c r="DM21" i="12"/>
  <c r="FL21" i="12" s="1"/>
  <c r="DL21" i="12"/>
  <c r="DK21" i="12"/>
  <c r="DH21" i="12"/>
  <c r="DI21" i="12" s="1"/>
  <c r="DJ21" i="12" s="1"/>
  <c r="DO21" i="12" s="1"/>
  <c r="DF21" i="12"/>
  <c r="DE21" i="12"/>
  <c r="DA21" i="12"/>
  <c r="CY21" i="12"/>
  <c r="CR21" i="12"/>
  <c r="CQ21" i="12"/>
  <c r="CP21" i="12"/>
  <c r="CS21" i="12" s="1"/>
  <c r="CO21" i="12"/>
  <c r="CN21" i="12"/>
  <c r="CI21" i="12"/>
  <c r="CJ21" i="12" s="1"/>
  <c r="CH21" i="12"/>
  <c r="CF21" i="12"/>
  <c r="CG21" i="12" s="1"/>
  <c r="CD21" i="12"/>
  <c r="BX21" i="12"/>
  <c r="BW21" i="12"/>
  <c r="BV21" i="12"/>
  <c r="BS21" i="12"/>
  <c r="BR21" i="12"/>
  <c r="BP21" i="12"/>
  <c r="BQ21" i="12" s="1"/>
  <c r="BO21" i="12"/>
  <c r="BN21" i="12"/>
  <c r="BM21" i="12"/>
  <c r="BL21" i="12"/>
  <c r="BK21" i="12"/>
  <c r="DN21" i="12" s="1"/>
  <c r="BJ21" i="12"/>
  <c r="BI21" i="12"/>
  <c r="BH21" i="12"/>
  <c r="BE21" i="12"/>
  <c r="BD21" i="12"/>
  <c r="BC21" i="12"/>
  <c r="BA21" i="12"/>
  <c r="BB21" i="12" s="1"/>
  <c r="BG21" i="12" s="1"/>
  <c r="AZ21" i="12"/>
  <c r="AX21" i="12"/>
  <c r="AV21" i="12"/>
  <c r="AT21" i="12"/>
  <c r="AK21" i="12"/>
  <c r="AJ21" i="12"/>
  <c r="AI21" i="12"/>
  <c r="AE21" i="12"/>
  <c r="FJ20" i="12"/>
  <c r="FH20" i="12"/>
  <c r="FD20" i="12"/>
  <c r="FE20" i="12" s="1"/>
  <c r="FC20" i="12"/>
  <c r="FA20" i="12"/>
  <c r="FB20" i="12" s="1"/>
  <c r="EZ20" i="12"/>
  <c r="EX20" i="12"/>
  <c r="EW20" i="12"/>
  <c r="EY20" i="12" s="1"/>
  <c r="ET20" i="12"/>
  <c r="ER20" i="12"/>
  <c r="EP20" i="12"/>
  <c r="EK20" i="12"/>
  <c r="EJ20" i="12"/>
  <c r="EH20" i="12"/>
  <c r="EF20" i="12"/>
  <c r="EG20" i="12" s="1"/>
  <c r="ED20" i="12"/>
  <c r="EE20" i="12" s="1"/>
  <c r="EC20" i="12"/>
  <c r="EB20" i="12"/>
  <c r="DZ20" i="12"/>
  <c r="DY20" i="12"/>
  <c r="DX20" i="12"/>
  <c r="DV20" i="12"/>
  <c r="DU20" i="12"/>
  <c r="DT20" i="12"/>
  <c r="DS20" i="12"/>
  <c r="DR20" i="12"/>
  <c r="DQ20" i="12"/>
  <c r="DP20" i="12"/>
  <c r="DM20" i="12"/>
  <c r="FL20" i="12" s="1"/>
  <c r="DL20" i="12"/>
  <c r="DK20" i="12"/>
  <c r="DH20" i="12"/>
  <c r="DI20" i="12" s="1"/>
  <c r="DJ20" i="12" s="1"/>
  <c r="DF20" i="12"/>
  <c r="DE20" i="12"/>
  <c r="DA20" i="12"/>
  <c r="CY20" i="12"/>
  <c r="CR20" i="12"/>
  <c r="CQ20" i="12"/>
  <c r="CP20" i="12"/>
  <c r="CS20" i="12" s="1"/>
  <c r="CO20" i="12"/>
  <c r="CN20" i="12"/>
  <c r="CI20" i="12"/>
  <c r="CJ20" i="12" s="1"/>
  <c r="CH20" i="12"/>
  <c r="CG20" i="12"/>
  <c r="CF20" i="12"/>
  <c r="CD20" i="12"/>
  <c r="BX20" i="12"/>
  <c r="BW20" i="12"/>
  <c r="BV20" i="12"/>
  <c r="BS20" i="12"/>
  <c r="BR20" i="12"/>
  <c r="BP20" i="12"/>
  <c r="BQ20" i="12" s="1"/>
  <c r="BO20" i="12"/>
  <c r="BN20" i="12"/>
  <c r="BM20" i="12"/>
  <c r="BL20" i="12"/>
  <c r="BK20" i="12"/>
  <c r="DN20" i="12" s="1"/>
  <c r="BJ20" i="12"/>
  <c r="BI20" i="12"/>
  <c r="BH20" i="12"/>
  <c r="BE20" i="12"/>
  <c r="BD20" i="12"/>
  <c r="BA20" i="12"/>
  <c r="CC20" i="12" s="1"/>
  <c r="AZ20" i="12"/>
  <c r="AX20" i="12"/>
  <c r="AV20" i="12"/>
  <c r="AT20" i="12"/>
  <c r="AK20" i="12"/>
  <c r="AJ20" i="12"/>
  <c r="AI20" i="12"/>
  <c r="AE20" i="12"/>
  <c r="FJ19" i="12"/>
  <c r="FH19" i="12"/>
  <c r="FD19" i="12"/>
  <c r="FC19" i="12"/>
  <c r="FA19" i="12"/>
  <c r="FB19" i="12" s="1"/>
  <c r="EZ19" i="12"/>
  <c r="EX19" i="12"/>
  <c r="EW19" i="12"/>
  <c r="ET19" i="12"/>
  <c r="ER19" i="12"/>
  <c r="EP19" i="12"/>
  <c r="EK19" i="12"/>
  <c r="EJ19" i="12"/>
  <c r="EH19" i="12"/>
  <c r="EF19" i="12"/>
  <c r="EG19" i="12" s="1"/>
  <c r="EE19" i="12"/>
  <c r="ED19" i="12"/>
  <c r="EC19" i="12"/>
  <c r="EB19" i="12"/>
  <c r="DZ19" i="12"/>
  <c r="DY19" i="12"/>
  <c r="DX19" i="12"/>
  <c r="DV19" i="12"/>
  <c r="DW19" i="12" s="1"/>
  <c r="DU19" i="12"/>
  <c r="DT19" i="12"/>
  <c r="DS19" i="12"/>
  <c r="DR19" i="12"/>
  <c r="DQ19" i="12"/>
  <c r="DP19" i="12"/>
  <c r="DM19" i="12"/>
  <c r="FL19" i="12" s="1"/>
  <c r="DL19" i="12"/>
  <c r="DK19" i="12"/>
  <c r="DH19" i="12"/>
  <c r="DI19" i="12" s="1"/>
  <c r="DJ19" i="12" s="1"/>
  <c r="DF19" i="12"/>
  <c r="DE19" i="12"/>
  <c r="DA19" i="12"/>
  <c r="CY19" i="12"/>
  <c r="CR19" i="12"/>
  <c r="CQ19" i="12"/>
  <c r="CP19" i="12"/>
  <c r="CS19" i="12" s="1"/>
  <c r="CO19" i="12"/>
  <c r="CN19" i="12"/>
  <c r="CI19" i="12"/>
  <c r="CJ19" i="12" s="1"/>
  <c r="CH19" i="12"/>
  <c r="CF19" i="12"/>
  <c r="CG19" i="12" s="1"/>
  <c r="CD19" i="12"/>
  <c r="BX19" i="12"/>
  <c r="BW19" i="12"/>
  <c r="BV19" i="12"/>
  <c r="BS19" i="12"/>
  <c r="BR19" i="12"/>
  <c r="BP19" i="12"/>
  <c r="BO19" i="12"/>
  <c r="BN19" i="12"/>
  <c r="BM19" i="12"/>
  <c r="BL19" i="12"/>
  <c r="BK19" i="12"/>
  <c r="DN19" i="12" s="1"/>
  <c r="BJ19" i="12"/>
  <c r="BQ19" i="12" s="1"/>
  <c r="BI19" i="12"/>
  <c r="BH19" i="12"/>
  <c r="BE19" i="12"/>
  <c r="BD19" i="12"/>
  <c r="BC19" i="12"/>
  <c r="BB19" i="12"/>
  <c r="BG19" i="12" s="1"/>
  <c r="BA19" i="12"/>
  <c r="CC19" i="12" s="1"/>
  <c r="AZ19" i="12"/>
  <c r="AX19" i="12"/>
  <c r="AV19" i="12"/>
  <c r="AT19" i="12"/>
  <c r="AK19" i="12"/>
  <c r="AJ19" i="12"/>
  <c r="AI19" i="12"/>
  <c r="AE19" i="12"/>
  <c r="FJ18" i="12"/>
  <c r="FH18" i="12"/>
  <c r="FD18" i="12"/>
  <c r="FC18" i="12"/>
  <c r="FA18" i="12"/>
  <c r="FB18" i="12" s="1"/>
  <c r="EZ18" i="12"/>
  <c r="EX18" i="12"/>
  <c r="EW18" i="12"/>
  <c r="ET18" i="12"/>
  <c r="ER18" i="12"/>
  <c r="EP18" i="12"/>
  <c r="EK18" i="12"/>
  <c r="EJ18" i="12"/>
  <c r="EH18" i="12"/>
  <c r="EF18" i="12"/>
  <c r="EG18" i="12" s="1"/>
  <c r="ED18" i="12"/>
  <c r="EE18" i="12" s="1"/>
  <c r="EC18" i="12"/>
  <c r="EB18" i="12"/>
  <c r="DZ18" i="12"/>
  <c r="DY18" i="12"/>
  <c r="DX18" i="12"/>
  <c r="DV18" i="12"/>
  <c r="DU18" i="12"/>
  <c r="DW18" i="12" s="1"/>
  <c r="DT18" i="12"/>
  <c r="DS18" i="12"/>
  <c r="DR18" i="12"/>
  <c r="DQ18" i="12"/>
  <c r="DP18" i="12"/>
  <c r="DM18" i="12"/>
  <c r="FL18" i="12" s="1"/>
  <c r="DL18" i="12"/>
  <c r="DK18" i="12"/>
  <c r="DH18" i="12"/>
  <c r="DI18" i="12" s="1"/>
  <c r="DJ18" i="12" s="1"/>
  <c r="DF18" i="12"/>
  <c r="DE18" i="12"/>
  <c r="DA18" i="12"/>
  <c r="CY18" i="12"/>
  <c r="CR18" i="12"/>
  <c r="CQ18" i="12"/>
  <c r="CP18" i="12"/>
  <c r="CS18" i="12" s="1"/>
  <c r="CO18" i="12"/>
  <c r="CN18" i="12"/>
  <c r="CI18" i="12"/>
  <c r="CJ18" i="12" s="1"/>
  <c r="CH18" i="12"/>
  <c r="CF18" i="12"/>
  <c r="CG18" i="12" s="1"/>
  <c r="CD18" i="12"/>
  <c r="BX18" i="12"/>
  <c r="BW18" i="12"/>
  <c r="BV18" i="12"/>
  <c r="BS18" i="12"/>
  <c r="BR18" i="12"/>
  <c r="BP18" i="12"/>
  <c r="BQ18" i="12" s="1"/>
  <c r="BO18" i="12"/>
  <c r="BN18" i="12"/>
  <c r="BM18" i="12"/>
  <c r="BL18" i="12"/>
  <c r="BK18" i="12"/>
  <c r="DN18" i="12" s="1"/>
  <c r="BJ18" i="12"/>
  <c r="BI18" i="12"/>
  <c r="BH18" i="12"/>
  <c r="BE18" i="12"/>
  <c r="BD18" i="12"/>
  <c r="BC18" i="12"/>
  <c r="BA18" i="12"/>
  <c r="BB18" i="12" s="1"/>
  <c r="BG18" i="12" s="1"/>
  <c r="AZ18" i="12"/>
  <c r="AX18" i="12"/>
  <c r="AV18" i="12"/>
  <c r="AT18" i="12"/>
  <c r="AK18" i="12"/>
  <c r="AJ18" i="12"/>
  <c r="AI18" i="12"/>
  <c r="AE18" i="12"/>
  <c r="FJ17" i="12"/>
  <c r="FH17" i="12"/>
  <c r="FD17" i="12"/>
  <c r="FC17" i="12"/>
  <c r="FA17" i="12"/>
  <c r="FB17" i="12" s="1"/>
  <c r="EZ17" i="12"/>
  <c r="EX17" i="12"/>
  <c r="EW17" i="12"/>
  <c r="ET17" i="12"/>
  <c r="ER17" i="12"/>
  <c r="EP17" i="12"/>
  <c r="EK17" i="12"/>
  <c r="EJ17" i="12"/>
  <c r="EH17" i="12"/>
  <c r="EF17" i="12"/>
  <c r="EG17" i="12" s="1"/>
  <c r="ED17" i="12"/>
  <c r="EE17" i="12" s="1"/>
  <c r="EC17" i="12"/>
  <c r="EB17" i="12"/>
  <c r="DZ17" i="12"/>
  <c r="DY17" i="12"/>
  <c r="DX17" i="12"/>
  <c r="DV17" i="12"/>
  <c r="DW17" i="12" s="1"/>
  <c r="DU17" i="12"/>
  <c r="DT17" i="12"/>
  <c r="DS17" i="12"/>
  <c r="DR17" i="12"/>
  <c r="DQ17" i="12"/>
  <c r="DP17" i="12"/>
  <c r="DM17" i="12"/>
  <c r="FL17" i="12" s="1"/>
  <c r="DL17" i="12"/>
  <c r="DK17" i="12"/>
  <c r="DH17" i="12"/>
  <c r="DI17" i="12" s="1"/>
  <c r="DJ17" i="12" s="1"/>
  <c r="DO17" i="12" s="1"/>
  <c r="DF17" i="12"/>
  <c r="DE17" i="12"/>
  <c r="DA17" i="12"/>
  <c r="CY17" i="12"/>
  <c r="CR17" i="12"/>
  <c r="CQ17" i="12"/>
  <c r="CP17" i="12"/>
  <c r="CS17" i="12" s="1"/>
  <c r="CO17" i="12"/>
  <c r="CN17" i="12"/>
  <c r="CI17" i="12"/>
  <c r="CJ17" i="12" s="1"/>
  <c r="CH17" i="12"/>
  <c r="CG17" i="12"/>
  <c r="CF17" i="12"/>
  <c r="CD17" i="12"/>
  <c r="BX17" i="12"/>
  <c r="BW17" i="12"/>
  <c r="BV17" i="12"/>
  <c r="BS17" i="12"/>
  <c r="BR17" i="12"/>
  <c r="BP17" i="12"/>
  <c r="BQ17" i="12" s="1"/>
  <c r="BO17" i="12"/>
  <c r="BN17" i="12"/>
  <c r="BM17" i="12"/>
  <c r="BL17" i="12"/>
  <c r="BK17" i="12"/>
  <c r="DN17" i="12" s="1"/>
  <c r="BJ17" i="12"/>
  <c r="BI17" i="12"/>
  <c r="BH17" i="12"/>
  <c r="BE17" i="12"/>
  <c r="BD17" i="12"/>
  <c r="BA17" i="12"/>
  <c r="CC17" i="12" s="1"/>
  <c r="AZ17" i="12"/>
  <c r="AX17" i="12"/>
  <c r="AV17" i="12"/>
  <c r="AT17" i="12"/>
  <c r="AK17" i="12"/>
  <c r="AJ17" i="12"/>
  <c r="AI17" i="12"/>
  <c r="AE17" i="12"/>
  <c r="FJ16" i="12"/>
  <c r="FH16" i="12"/>
  <c r="FD16" i="12"/>
  <c r="FC16" i="12"/>
  <c r="FA16" i="12"/>
  <c r="FB16" i="12" s="1"/>
  <c r="EZ16" i="12"/>
  <c r="EX16" i="12"/>
  <c r="EW16" i="12"/>
  <c r="ET16" i="12"/>
  <c r="ER16" i="12"/>
  <c r="EP16" i="12"/>
  <c r="EK16" i="12"/>
  <c r="EJ16" i="12"/>
  <c r="EH16" i="12"/>
  <c r="EF16" i="12"/>
  <c r="EG16" i="12" s="1"/>
  <c r="ED16" i="12"/>
  <c r="EE16" i="12" s="1"/>
  <c r="EC16" i="12"/>
  <c r="EB16" i="12"/>
  <c r="DZ16" i="12"/>
  <c r="DY16" i="12"/>
  <c r="DX16" i="12"/>
  <c r="DV16" i="12"/>
  <c r="DU16" i="12"/>
  <c r="DW16" i="12" s="1"/>
  <c r="DT16" i="12"/>
  <c r="DS16" i="12"/>
  <c r="DR16" i="12"/>
  <c r="DQ16" i="12"/>
  <c r="DP16" i="12"/>
  <c r="DM16" i="12"/>
  <c r="FL16" i="12" s="1"/>
  <c r="DL16" i="12"/>
  <c r="DK16" i="12"/>
  <c r="DH16" i="12"/>
  <c r="DI16" i="12" s="1"/>
  <c r="DJ16" i="12" s="1"/>
  <c r="DF16" i="12"/>
  <c r="DE16" i="12"/>
  <c r="DA16" i="12"/>
  <c r="CY16" i="12"/>
  <c r="CR16" i="12"/>
  <c r="CQ16" i="12"/>
  <c r="CP16" i="12"/>
  <c r="CS16" i="12" s="1"/>
  <c r="CO16" i="12"/>
  <c r="CN16" i="12"/>
  <c r="CI16" i="12"/>
  <c r="CJ16" i="12" s="1"/>
  <c r="CH16" i="12"/>
  <c r="CF16" i="12"/>
  <c r="CG16" i="12" s="1"/>
  <c r="CD16" i="12"/>
  <c r="BX16" i="12"/>
  <c r="BW16" i="12"/>
  <c r="BV16" i="12"/>
  <c r="BS16" i="12"/>
  <c r="BR16" i="12"/>
  <c r="BP16" i="12"/>
  <c r="BO16" i="12"/>
  <c r="BN16" i="12"/>
  <c r="BM16" i="12"/>
  <c r="BL16" i="12"/>
  <c r="BK16" i="12"/>
  <c r="DN16" i="12" s="1"/>
  <c r="BJ16" i="12"/>
  <c r="BQ16" i="12" s="1"/>
  <c r="BI16" i="12"/>
  <c r="BH16" i="12"/>
  <c r="BE16" i="12"/>
  <c r="BD16" i="12"/>
  <c r="BC16" i="12"/>
  <c r="BB16" i="12"/>
  <c r="BG16" i="12" s="1"/>
  <c r="BA16" i="12"/>
  <c r="CC16" i="12" s="1"/>
  <c r="AZ16" i="12"/>
  <c r="AX16" i="12"/>
  <c r="AV16" i="12"/>
  <c r="AT16" i="12"/>
  <c r="AK16" i="12"/>
  <c r="AJ16" i="12"/>
  <c r="AI16" i="12"/>
  <c r="AE16" i="12"/>
  <c r="FJ15" i="12"/>
  <c r="FH15" i="12"/>
  <c r="FD15" i="12"/>
  <c r="FC15" i="12"/>
  <c r="FA15" i="12"/>
  <c r="FB15" i="12" s="1"/>
  <c r="EZ15" i="12"/>
  <c r="EX15" i="12"/>
  <c r="EW15" i="12"/>
  <c r="ET15" i="12"/>
  <c r="ER15" i="12"/>
  <c r="EP15" i="12"/>
  <c r="EK15" i="12"/>
  <c r="EJ15" i="12"/>
  <c r="EH15" i="12"/>
  <c r="EF15" i="12"/>
  <c r="EG15" i="12" s="1"/>
  <c r="ED15" i="12"/>
  <c r="EE15" i="12" s="1"/>
  <c r="EC15" i="12"/>
  <c r="EB15" i="12"/>
  <c r="DZ15" i="12"/>
  <c r="DY15" i="12"/>
  <c r="DX15" i="12"/>
  <c r="DV15" i="12"/>
  <c r="DU15" i="12"/>
  <c r="DW15" i="12" s="1"/>
  <c r="DT15" i="12"/>
  <c r="DS15" i="12"/>
  <c r="DR15" i="12"/>
  <c r="DQ15" i="12"/>
  <c r="DP15" i="12"/>
  <c r="DM15" i="12"/>
  <c r="FL15" i="12" s="1"/>
  <c r="DL15" i="12"/>
  <c r="DK15" i="12"/>
  <c r="DH15" i="12"/>
  <c r="DI15" i="12" s="1"/>
  <c r="DJ15" i="12" s="1"/>
  <c r="DF15" i="12"/>
  <c r="DE15" i="12"/>
  <c r="DA15" i="12"/>
  <c r="CY15" i="12"/>
  <c r="CR15" i="12"/>
  <c r="CQ15" i="12"/>
  <c r="CP15" i="12"/>
  <c r="CS15" i="12" s="1"/>
  <c r="CO15" i="12"/>
  <c r="CN15" i="12"/>
  <c r="CI15" i="12"/>
  <c r="CJ15" i="12" s="1"/>
  <c r="CH15" i="12"/>
  <c r="CF15" i="12"/>
  <c r="CG15" i="12" s="1"/>
  <c r="CD15" i="12"/>
  <c r="BX15" i="12"/>
  <c r="BW15" i="12"/>
  <c r="BV15" i="12"/>
  <c r="BS15" i="12"/>
  <c r="BR15" i="12"/>
  <c r="BP15" i="12"/>
  <c r="BQ15" i="12" s="1"/>
  <c r="BO15" i="12"/>
  <c r="BN15" i="12"/>
  <c r="BM15" i="12"/>
  <c r="BL15" i="12"/>
  <c r="BK15" i="12"/>
  <c r="DN15" i="12" s="1"/>
  <c r="BJ15" i="12"/>
  <c r="BI15" i="12"/>
  <c r="BH15" i="12"/>
  <c r="BE15" i="12"/>
  <c r="BD15" i="12"/>
  <c r="BC15" i="12"/>
  <c r="BA15" i="12"/>
  <c r="BB15" i="12" s="1"/>
  <c r="BG15" i="12" s="1"/>
  <c r="AZ15" i="12"/>
  <c r="AX15" i="12"/>
  <c r="AV15" i="12"/>
  <c r="AT15" i="12"/>
  <c r="AK15" i="12"/>
  <c r="AJ15" i="12"/>
  <c r="AI15" i="12"/>
  <c r="AE15" i="12"/>
  <c r="FJ14" i="12"/>
  <c r="FH14" i="12"/>
  <c r="FD14" i="12"/>
  <c r="FC14" i="12"/>
  <c r="FA14" i="12"/>
  <c r="FB14" i="12" s="1"/>
  <c r="EZ14" i="12"/>
  <c r="EX14" i="12"/>
  <c r="EW14" i="12"/>
  <c r="EY14" i="12" s="1"/>
  <c r="ET14" i="12"/>
  <c r="ER14" i="12"/>
  <c r="EP14" i="12"/>
  <c r="EK14" i="12"/>
  <c r="EJ14" i="12"/>
  <c r="EH14" i="12"/>
  <c r="EF14" i="12"/>
  <c r="EG14" i="12" s="1"/>
  <c r="ED14" i="12"/>
  <c r="EE14" i="12" s="1"/>
  <c r="EC14" i="12"/>
  <c r="EB14" i="12"/>
  <c r="DZ14" i="12"/>
  <c r="DY14" i="12"/>
  <c r="DX14" i="12"/>
  <c r="DV14" i="12"/>
  <c r="DU14" i="12"/>
  <c r="DT14" i="12"/>
  <c r="DS14" i="12"/>
  <c r="DR14" i="12"/>
  <c r="DQ14" i="12"/>
  <c r="DP14" i="12"/>
  <c r="DM14" i="12"/>
  <c r="FL14" i="12" s="1"/>
  <c r="DL14" i="12"/>
  <c r="DK14" i="12"/>
  <c r="DH14" i="12"/>
  <c r="DI14" i="12" s="1"/>
  <c r="DJ14" i="12" s="1"/>
  <c r="DO14" i="12" s="1"/>
  <c r="DF14" i="12"/>
  <c r="DE14" i="12"/>
  <c r="DA14" i="12"/>
  <c r="CY14" i="12"/>
  <c r="CR14" i="12"/>
  <c r="CQ14" i="12"/>
  <c r="CP14" i="12"/>
  <c r="CS14" i="12" s="1"/>
  <c r="CO14" i="12"/>
  <c r="CN14" i="12"/>
  <c r="CI14" i="12"/>
  <c r="CJ14" i="12" s="1"/>
  <c r="CH14" i="12"/>
  <c r="CG14" i="12"/>
  <c r="CF14" i="12"/>
  <c r="CD14" i="12"/>
  <c r="BX14" i="12"/>
  <c r="BW14" i="12"/>
  <c r="BV14" i="12"/>
  <c r="BS14" i="12"/>
  <c r="BR14" i="12"/>
  <c r="BP14" i="12"/>
  <c r="BQ14" i="12" s="1"/>
  <c r="BO14" i="12"/>
  <c r="BN14" i="12"/>
  <c r="BM14" i="12"/>
  <c r="BL14" i="12"/>
  <c r="BK14" i="12"/>
  <c r="DN14" i="12" s="1"/>
  <c r="BJ14" i="12"/>
  <c r="BI14" i="12"/>
  <c r="BH14" i="12"/>
  <c r="BE14" i="12"/>
  <c r="BD14" i="12"/>
  <c r="BA14" i="12"/>
  <c r="CC14" i="12" s="1"/>
  <c r="AZ14" i="12"/>
  <c r="AX14" i="12"/>
  <c r="AV14" i="12"/>
  <c r="AT14" i="12"/>
  <c r="AK14" i="12"/>
  <c r="AJ14" i="12"/>
  <c r="AI14" i="12"/>
  <c r="AE14" i="12"/>
  <c r="FJ13" i="12"/>
  <c r="FH13" i="12"/>
  <c r="FD13" i="12"/>
  <c r="FC13" i="12"/>
  <c r="FA13" i="12"/>
  <c r="FB13" i="12" s="1"/>
  <c r="EZ13" i="12"/>
  <c r="EX13" i="12"/>
  <c r="EW13" i="12"/>
  <c r="ET13" i="12"/>
  <c r="ER13" i="12"/>
  <c r="EP13" i="12"/>
  <c r="EK13" i="12"/>
  <c r="EJ13" i="12"/>
  <c r="EH13" i="12"/>
  <c r="EF13" i="12"/>
  <c r="EG13" i="12" s="1"/>
  <c r="ED13" i="12"/>
  <c r="EE13" i="12" s="1"/>
  <c r="EC13" i="12"/>
  <c r="EB13" i="12"/>
  <c r="DZ13" i="12"/>
  <c r="DY13" i="12"/>
  <c r="DX13" i="12"/>
  <c r="DV13" i="12"/>
  <c r="DW13" i="12" s="1"/>
  <c r="DU13" i="12"/>
  <c r="DT13" i="12"/>
  <c r="DS13" i="12"/>
  <c r="DR13" i="12"/>
  <c r="DQ13" i="12"/>
  <c r="DP13" i="12"/>
  <c r="DM13" i="12"/>
  <c r="FL13" i="12" s="1"/>
  <c r="DL13" i="12"/>
  <c r="DK13" i="12"/>
  <c r="DH13" i="12"/>
  <c r="DI13" i="12" s="1"/>
  <c r="DJ13" i="12" s="1"/>
  <c r="DF13" i="12"/>
  <c r="DE13" i="12"/>
  <c r="DA13" i="12"/>
  <c r="CY13" i="12"/>
  <c r="CR13" i="12"/>
  <c r="CQ13" i="12"/>
  <c r="CP13" i="12"/>
  <c r="CS13" i="12" s="1"/>
  <c r="CO13" i="12"/>
  <c r="CN13" i="12"/>
  <c r="CI13" i="12"/>
  <c r="CJ13" i="12" s="1"/>
  <c r="CH13" i="12"/>
  <c r="CF13" i="12"/>
  <c r="CG13" i="12" s="1"/>
  <c r="CD13" i="12"/>
  <c r="CC13" i="12"/>
  <c r="BX13" i="12"/>
  <c r="BW13" i="12"/>
  <c r="BV13" i="12"/>
  <c r="BS13" i="12"/>
  <c r="BR13" i="12"/>
  <c r="BQ13" i="12"/>
  <c r="BP13" i="12"/>
  <c r="BO13" i="12"/>
  <c r="BN13" i="12"/>
  <c r="BM13" i="12"/>
  <c r="BL13" i="12"/>
  <c r="BK13" i="12"/>
  <c r="DN13" i="12" s="1"/>
  <c r="BJ13" i="12"/>
  <c r="BI13" i="12"/>
  <c r="BH13" i="12"/>
  <c r="BE13" i="12"/>
  <c r="BD13" i="12"/>
  <c r="BA13" i="12"/>
  <c r="BC13" i="12" s="1"/>
  <c r="AZ13" i="12"/>
  <c r="AX13" i="12"/>
  <c r="AV13" i="12"/>
  <c r="AT13" i="12"/>
  <c r="AK13" i="12"/>
  <c r="AJ13" i="12"/>
  <c r="AI13" i="12"/>
  <c r="AE13" i="12"/>
  <c r="FJ12" i="12"/>
  <c r="FH12" i="12"/>
  <c r="FD12" i="12"/>
  <c r="FC12" i="12"/>
  <c r="FE12" i="12" s="1"/>
  <c r="FA12" i="12"/>
  <c r="FB12" i="12" s="1"/>
  <c r="EZ12" i="12"/>
  <c r="EX12" i="12"/>
  <c r="EW12" i="12"/>
  <c r="EY12" i="12" s="1"/>
  <c r="ET12" i="12"/>
  <c r="ER12" i="12"/>
  <c r="EP12" i="12"/>
  <c r="EK12" i="12"/>
  <c r="EJ12" i="12"/>
  <c r="EH12" i="12"/>
  <c r="EF12" i="12"/>
  <c r="EG12" i="12" s="1"/>
  <c r="ED12" i="12"/>
  <c r="EE12" i="12" s="1"/>
  <c r="EC12" i="12"/>
  <c r="EB12" i="12"/>
  <c r="DZ12" i="12"/>
  <c r="DY12" i="12"/>
  <c r="DX12" i="12"/>
  <c r="DV12" i="12"/>
  <c r="DW12" i="12" s="1"/>
  <c r="DU12" i="12"/>
  <c r="DT12" i="12"/>
  <c r="DS12" i="12"/>
  <c r="DR12" i="12"/>
  <c r="DQ12" i="12"/>
  <c r="DP12" i="12"/>
  <c r="DM12" i="12"/>
  <c r="FL12" i="12" s="1"/>
  <c r="DL12" i="12"/>
  <c r="DK12" i="12"/>
  <c r="DI12" i="12"/>
  <c r="DJ12" i="12" s="1"/>
  <c r="DO12" i="12" s="1"/>
  <c r="DH12" i="12"/>
  <c r="DF12" i="12"/>
  <c r="DE12" i="12"/>
  <c r="DA12" i="12"/>
  <c r="CY12" i="12"/>
  <c r="CR12" i="12"/>
  <c r="CQ12" i="12"/>
  <c r="CP12" i="12"/>
  <c r="CS12" i="12" s="1"/>
  <c r="CO12" i="12"/>
  <c r="CN12" i="12"/>
  <c r="CM12" i="12"/>
  <c r="CI12" i="12"/>
  <c r="CJ12" i="12" s="1"/>
  <c r="CH12" i="12"/>
  <c r="CG12" i="12"/>
  <c r="CF12" i="12"/>
  <c r="CD12" i="12"/>
  <c r="CC12" i="12"/>
  <c r="BX12" i="12"/>
  <c r="BW12" i="12"/>
  <c r="BV12" i="12"/>
  <c r="BS12" i="12"/>
  <c r="BR12" i="12"/>
  <c r="BP12" i="12"/>
  <c r="BQ12" i="12" s="1"/>
  <c r="BO12" i="12"/>
  <c r="BN12" i="12"/>
  <c r="BM12" i="12"/>
  <c r="BL12" i="12"/>
  <c r="BK12" i="12"/>
  <c r="DN12" i="12" s="1"/>
  <c r="BJ12" i="12"/>
  <c r="BI12" i="12"/>
  <c r="BH12" i="12"/>
  <c r="BE12" i="12"/>
  <c r="BD12" i="12"/>
  <c r="BC12" i="12"/>
  <c r="BB12" i="12"/>
  <c r="BG12" i="12" s="1"/>
  <c r="BA12" i="12"/>
  <c r="AZ12" i="12"/>
  <c r="AX12" i="12"/>
  <c r="AV12" i="12"/>
  <c r="AT12" i="12"/>
  <c r="AK12" i="12"/>
  <c r="AJ12" i="12"/>
  <c r="AI12" i="12"/>
  <c r="AE12" i="12"/>
  <c r="FJ11" i="12"/>
  <c r="FH11" i="12"/>
  <c r="FD11" i="12"/>
  <c r="FC11" i="12"/>
  <c r="FA11" i="12"/>
  <c r="FB11" i="12" s="1"/>
  <c r="EZ11" i="12"/>
  <c r="EX11" i="12"/>
  <c r="EW11" i="12"/>
  <c r="EY11" i="12" s="1"/>
  <c r="ET11" i="12"/>
  <c r="ER11" i="12"/>
  <c r="EP11" i="12"/>
  <c r="EM11" i="12"/>
  <c r="EK11" i="12"/>
  <c r="EJ11" i="12"/>
  <c r="EH11" i="12"/>
  <c r="EF11" i="12"/>
  <c r="EG11" i="12" s="1"/>
  <c r="ED11" i="12"/>
  <c r="EE11" i="12" s="1"/>
  <c r="EC11" i="12"/>
  <c r="EB11" i="12"/>
  <c r="DZ11" i="12"/>
  <c r="DY11" i="12"/>
  <c r="DX11" i="12"/>
  <c r="DV11" i="12"/>
  <c r="DU11" i="12"/>
  <c r="DT11" i="12"/>
  <c r="DS11" i="12"/>
  <c r="DR11" i="12"/>
  <c r="DQ11" i="12"/>
  <c r="DP11" i="12"/>
  <c r="DM11" i="12"/>
  <c r="FL11" i="12" s="1"/>
  <c r="DL11" i="12"/>
  <c r="DK11" i="12"/>
  <c r="DH11" i="12"/>
  <c r="DI11" i="12" s="1"/>
  <c r="DJ11" i="12" s="1"/>
  <c r="DF11" i="12"/>
  <c r="DE11" i="12"/>
  <c r="DA11" i="12"/>
  <c r="CY11" i="12"/>
  <c r="CR11" i="12"/>
  <c r="CQ11" i="12"/>
  <c r="CS11" i="12" s="1"/>
  <c r="CP11" i="12"/>
  <c r="CO11" i="12"/>
  <c r="CN11" i="12"/>
  <c r="CM11" i="12"/>
  <c r="CI11" i="12"/>
  <c r="CJ11" i="12" s="1"/>
  <c r="CH11" i="12"/>
  <c r="CG11" i="12"/>
  <c r="CF11" i="12"/>
  <c r="CD11" i="12"/>
  <c r="BX11" i="12"/>
  <c r="BW11" i="12"/>
  <c r="BV11" i="12"/>
  <c r="BS11" i="12"/>
  <c r="BR11" i="12"/>
  <c r="BP11" i="12"/>
  <c r="BO11" i="12"/>
  <c r="BN11" i="12"/>
  <c r="BM11" i="12"/>
  <c r="BL11" i="12"/>
  <c r="BK11" i="12"/>
  <c r="DN11" i="12" s="1"/>
  <c r="BJ11" i="12"/>
  <c r="BQ11" i="12" s="1"/>
  <c r="BI11" i="12"/>
  <c r="BH11" i="12"/>
  <c r="BE11" i="12"/>
  <c r="BD11" i="12"/>
  <c r="BA11" i="12"/>
  <c r="BB11" i="12" s="1"/>
  <c r="BG11" i="12" s="1"/>
  <c r="AZ11" i="12"/>
  <c r="AX11" i="12"/>
  <c r="AV11" i="12"/>
  <c r="AT11" i="12"/>
  <c r="AK11" i="12"/>
  <c r="AJ11" i="12"/>
  <c r="AI11" i="12"/>
  <c r="AE11" i="12"/>
  <c r="FJ10" i="12"/>
  <c r="DE10" i="12" s="1"/>
  <c r="FH10" i="12"/>
  <c r="FD10" i="12"/>
  <c r="FC10" i="12"/>
  <c r="FA10" i="12"/>
  <c r="FB10" i="12" s="1"/>
  <c r="EZ10" i="12"/>
  <c r="EX10" i="12"/>
  <c r="EW10" i="12"/>
  <c r="ET10" i="12"/>
  <c r="ER10" i="12"/>
  <c r="EP10" i="12"/>
  <c r="EM10" i="12"/>
  <c r="EK10" i="12"/>
  <c r="EJ10" i="12"/>
  <c r="EF10" i="12"/>
  <c r="EG10" i="12" s="1"/>
  <c r="EH10" i="12" s="1"/>
  <c r="ED10" i="12"/>
  <c r="EE10" i="12" s="1"/>
  <c r="EC10" i="12"/>
  <c r="EB10" i="12"/>
  <c r="DZ10" i="12"/>
  <c r="DY10" i="12"/>
  <c r="DX10" i="12"/>
  <c r="DV10" i="12"/>
  <c r="DU10" i="12"/>
  <c r="DT10" i="12"/>
  <c r="DS10" i="12"/>
  <c r="DR10" i="12"/>
  <c r="DQ10" i="12"/>
  <c r="DP10" i="12"/>
  <c r="DN10" i="12"/>
  <c r="DM10" i="12"/>
  <c r="FL10" i="12" s="1"/>
  <c r="DL10" i="12"/>
  <c r="DK10" i="12"/>
  <c r="DH10" i="12"/>
  <c r="DI10" i="12" s="1"/>
  <c r="DJ10" i="12" s="1"/>
  <c r="DO10" i="12" s="1"/>
  <c r="DF10" i="12"/>
  <c r="DA10" i="12"/>
  <c r="CY10" i="12"/>
  <c r="CR10" i="12"/>
  <c r="CQ10" i="12"/>
  <c r="CP10" i="12"/>
  <c r="CS10" i="12" s="1"/>
  <c r="CO10" i="12"/>
  <c r="CN10" i="12"/>
  <c r="CM10" i="12"/>
  <c r="CI10" i="12"/>
  <c r="CJ10" i="12" s="1"/>
  <c r="CH10" i="12"/>
  <c r="CF10" i="12"/>
  <c r="CG10" i="12" s="1"/>
  <c r="CD10" i="12"/>
  <c r="BX10" i="12"/>
  <c r="BW10" i="12"/>
  <c r="BV10" i="12"/>
  <c r="BS10" i="12"/>
  <c r="BR10" i="12"/>
  <c r="BP10" i="12"/>
  <c r="BO10" i="12"/>
  <c r="BN10" i="12"/>
  <c r="BM10" i="12"/>
  <c r="BL10" i="12"/>
  <c r="BK10" i="12"/>
  <c r="BJ10" i="12"/>
  <c r="BI10" i="12"/>
  <c r="BH10" i="12"/>
  <c r="BE10" i="12"/>
  <c r="BD10" i="12"/>
  <c r="BA10" i="12"/>
  <c r="BB10" i="12" s="1"/>
  <c r="BG10" i="12" s="1"/>
  <c r="AZ10" i="12"/>
  <c r="AX10" i="12"/>
  <c r="AV10" i="12"/>
  <c r="AK10" i="12"/>
  <c r="AJ10" i="12"/>
  <c r="AI10" i="12"/>
  <c r="AE10" i="12"/>
  <c r="FJ9" i="12"/>
  <c r="FH9" i="12"/>
  <c r="FD9" i="12"/>
  <c r="FE9" i="12" s="1"/>
  <c r="FC9" i="12"/>
  <c r="FA9" i="12"/>
  <c r="FB9" i="12" s="1"/>
  <c r="EZ9" i="12"/>
  <c r="EX9" i="12"/>
  <c r="EW9" i="12"/>
  <c r="EY9" i="12" s="1"/>
  <c r="ET9" i="12"/>
  <c r="ER9" i="12"/>
  <c r="EP9" i="12"/>
  <c r="EM9" i="12"/>
  <c r="EM12" i="12" s="1"/>
  <c r="EK9" i="12"/>
  <c r="EL9" i="12" s="1"/>
  <c r="CT9" i="12" s="1"/>
  <c r="AW9" i="12" s="1"/>
  <c r="EJ9" i="12"/>
  <c r="EH9" i="12"/>
  <c r="EF9" i="12"/>
  <c r="EG9" i="12" s="1"/>
  <c r="ED9" i="12"/>
  <c r="EE9" i="12" s="1"/>
  <c r="EC9" i="12"/>
  <c r="EB9" i="12"/>
  <c r="EA9" i="12"/>
  <c r="DZ9" i="12"/>
  <c r="DY9" i="12"/>
  <c r="DX9" i="12"/>
  <c r="DV9" i="12"/>
  <c r="DU9" i="12"/>
  <c r="DT9" i="12"/>
  <c r="DS9" i="12"/>
  <c r="DR9" i="12"/>
  <c r="DQ9" i="12"/>
  <c r="DP9" i="12"/>
  <c r="DM9" i="12"/>
  <c r="FL9" i="12" s="1"/>
  <c r="DL9" i="12"/>
  <c r="DK9" i="12"/>
  <c r="DH9" i="12"/>
  <c r="DI9" i="12" s="1"/>
  <c r="DJ9" i="12" s="1"/>
  <c r="DF9" i="12"/>
  <c r="DE9" i="12"/>
  <c r="DD9" i="12"/>
  <c r="DA9" i="12"/>
  <c r="CY9" i="12"/>
  <c r="CS9" i="12"/>
  <c r="CR9" i="12"/>
  <c r="CQ9" i="12"/>
  <c r="CP9" i="12"/>
  <c r="CO9" i="12"/>
  <c r="CN9" i="12"/>
  <c r="CM9" i="12"/>
  <c r="CI9" i="12"/>
  <c r="CJ9" i="12" s="1"/>
  <c r="CH9" i="12"/>
  <c r="CF9" i="12"/>
  <c r="CG9" i="12" s="1"/>
  <c r="CD9" i="12"/>
  <c r="BX9" i="12"/>
  <c r="BW9" i="12"/>
  <c r="BV9" i="12"/>
  <c r="BS9" i="12"/>
  <c r="BR9" i="12"/>
  <c r="BP9" i="12"/>
  <c r="BQ9" i="12" s="1"/>
  <c r="BO9" i="12"/>
  <c r="BN9" i="12"/>
  <c r="BM9" i="12"/>
  <c r="BL9" i="12"/>
  <c r="DN9" i="12" s="1"/>
  <c r="BK9" i="12"/>
  <c r="BJ9" i="12"/>
  <c r="BI9" i="12"/>
  <c r="BH9" i="12"/>
  <c r="BE9" i="12"/>
  <c r="BD9" i="12"/>
  <c r="BC9" i="12"/>
  <c r="BA9" i="12"/>
  <c r="BB9" i="12" s="1"/>
  <c r="BG9" i="12" s="1"/>
  <c r="AZ9" i="12"/>
  <c r="AX9" i="12"/>
  <c r="AV9" i="12"/>
  <c r="AT9" i="12"/>
  <c r="AK9" i="12"/>
  <c r="AJ9" i="12"/>
  <c r="AI9" i="12"/>
  <c r="AE9" i="12"/>
  <c r="AD4" i="12"/>
  <c r="DW9" i="12" l="1"/>
  <c r="FE18" i="12"/>
  <c r="EL14" i="12"/>
  <c r="CT14" i="12" s="1"/>
  <c r="AW14" i="12" s="1"/>
  <c r="EL15" i="12"/>
  <c r="CT15" i="12" s="1"/>
  <c r="AW15" i="12" s="1"/>
  <c r="FE19" i="12"/>
  <c r="EY23" i="12"/>
  <c r="EL13" i="12"/>
  <c r="CT13" i="12" s="1"/>
  <c r="AW13" i="12" s="1"/>
  <c r="EL18" i="12"/>
  <c r="CT18" i="12" s="1"/>
  <c r="AW18" i="12" s="1"/>
  <c r="DW14" i="12"/>
  <c r="EL20" i="12"/>
  <c r="CT20" i="12" s="1"/>
  <c r="AW20" i="12" s="1"/>
  <c r="EL19" i="12"/>
  <c r="CT19" i="12" s="1"/>
  <c r="AW19" i="12" s="1"/>
  <c r="DW20" i="12"/>
  <c r="FE11" i="12"/>
  <c r="EY13" i="12"/>
  <c r="EY18" i="12"/>
  <c r="EY19" i="12"/>
  <c r="EY15" i="12"/>
  <c r="EL16" i="12"/>
  <c r="CT16" i="12" s="1"/>
  <c r="AW16" i="12" s="1"/>
  <c r="EL17" i="12"/>
  <c r="CT17" i="12" s="1"/>
  <c r="AW17" i="12" s="1"/>
  <c r="DW22" i="12"/>
  <c r="EL23" i="12"/>
  <c r="CT23" i="12" s="1"/>
  <c r="AW23" i="12" s="1"/>
  <c r="EL11" i="12"/>
  <c r="CT11" i="12" s="1"/>
  <c r="AW11" i="12" s="1"/>
  <c r="EL12" i="12"/>
  <c r="CT12" i="12" s="1"/>
  <c r="AW12" i="12" s="1"/>
  <c r="FE13" i="12"/>
  <c r="FE14" i="12"/>
  <c r="EY16" i="12"/>
  <c r="EY17" i="12"/>
  <c r="FE21" i="12"/>
  <c r="FE15" i="12"/>
  <c r="EL21" i="12"/>
  <c r="CT21" i="12" s="1"/>
  <c r="AW21" i="12" s="1"/>
  <c r="DW21" i="12"/>
  <c r="FE16" i="12"/>
  <c r="FE17" i="12"/>
  <c r="FE22" i="12"/>
  <c r="FE23" i="12"/>
  <c r="EY21" i="12"/>
  <c r="DW11" i="12"/>
  <c r="AT10" i="12"/>
  <c r="AJ24" i="12"/>
  <c r="BQ10" i="12"/>
  <c r="EL10" i="12"/>
  <c r="CT10" i="12" s="1"/>
  <c r="AW10" i="12" s="1"/>
  <c r="CM13" i="12"/>
  <c r="EA6" i="12" s="1"/>
  <c r="EA11" i="12" s="1"/>
  <c r="M6" i="12" s="1"/>
  <c r="EY10" i="12"/>
  <c r="FE10" i="12"/>
  <c r="DW10" i="12"/>
  <c r="AI24" i="12"/>
  <c r="AD3" i="12"/>
  <c r="BC10" i="12"/>
  <c r="DO20" i="12"/>
  <c r="DO13" i="12"/>
  <c r="DO15" i="12"/>
  <c r="DO9" i="12"/>
  <c r="DJ24" i="12"/>
  <c r="Y7" i="12" s="1"/>
  <c r="DO11" i="12"/>
  <c r="DO16" i="12"/>
  <c r="DO22" i="12"/>
  <c r="DO18" i="12"/>
  <c r="DO19" i="12"/>
  <c r="BB14" i="12"/>
  <c r="BG14" i="12" s="1"/>
  <c r="BB17" i="12"/>
  <c r="BG17" i="12" s="1"/>
  <c r="BB20" i="12"/>
  <c r="BG20" i="12" s="1"/>
  <c r="BB23" i="12"/>
  <c r="BG23" i="12" s="1"/>
  <c r="BC17" i="12"/>
  <c r="BC20" i="12"/>
  <c r="BC23" i="12"/>
  <c r="BC14" i="12"/>
  <c r="CC11" i="12"/>
  <c r="BB13" i="12"/>
  <c r="BG13" i="12" s="1"/>
  <c r="CC9" i="12"/>
  <c r="CC10" i="12"/>
  <c r="CC15" i="12"/>
  <c r="CC18" i="12"/>
  <c r="CC21" i="12"/>
  <c r="BC11" i="12"/>
  <c r="AK24" i="12" l="1"/>
  <c r="BD52" i="11"/>
  <c r="AY52" i="11"/>
  <c r="BD51" i="11"/>
  <c r="AY51" i="11"/>
  <c r="BD50" i="11"/>
  <c r="AY50" i="11"/>
  <c r="BD49" i="11"/>
  <c r="AY49" i="11"/>
  <c r="BD48" i="11"/>
  <c r="AY48" i="11"/>
  <c r="BD47" i="11"/>
  <c r="AY47" i="11"/>
  <c r="BD46" i="11"/>
  <c r="AY46" i="11"/>
  <c r="BD45" i="11"/>
  <c r="AY45" i="11"/>
  <c r="BD44" i="11"/>
  <c r="AY44" i="11"/>
  <c r="BD43" i="11"/>
  <c r="AY43" i="11"/>
  <c r="FJ23" i="11"/>
  <c r="FH23" i="11"/>
  <c r="FD23" i="11"/>
  <c r="FE23" i="11" s="1"/>
  <c r="FC23" i="11"/>
  <c r="FA23" i="11"/>
  <c r="FB23" i="11" s="1"/>
  <c r="EZ23" i="11"/>
  <c r="EX23" i="11"/>
  <c r="EW23" i="11"/>
  <c r="ET23" i="11"/>
  <c r="ER23" i="11"/>
  <c r="EP23" i="11"/>
  <c r="EK23" i="11"/>
  <c r="EJ23" i="11"/>
  <c r="EH23" i="11"/>
  <c r="EF23" i="11"/>
  <c r="EG23" i="11" s="1"/>
  <c r="ED23" i="11"/>
  <c r="EE23" i="11" s="1"/>
  <c r="EC23" i="11"/>
  <c r="EB23" i="11"/>
  <c r="DZ23" i="11"/>
  <c r="DY23" i="11"/>
  <c r="DX23" i="11"/>
  <c r="DV23" i="11"/>
  <c r="DU23" i="11"/>
  <c r="DT23" i="11"/>
  <c r="DS23" i="11"/>
  <c r="DR23" i="11"/>
  <c r="DQ23" i="11"/>
  <c r="DP23" i="11"/>
  <c r="DM23" i="11"/>
  <c r="FL23" i="11" s="1"/>
  <c r="DL23" i="11"/>
  <c r="DK23" i="11"/>
  <c r="DH23" i="11"/>
  <c r="DI23" i="11" s="1"/>
  <c r="DJ23" i="11" s="1"/>
  <c r="DF23" i="11"/>
  <c r="DE23" i="11"/>
  <c r="DA23" i="11"/>
  <c r="CY23" i="11"/>
  <c r="CS23" i="11"/>
  <c r="CR23" i="11"/>
  <c r="CQ23" i="11"/>
  <c r="CP23" i="11"/>
  <c r="CO23" i="11"/>
  <c r="CN23" i="11"/>
  <c r="CI23" i="11"/>
  <c r="CJ23" i="11" s="1"/>
  <c r="CH23" i="11"/>
  <c r="CG23" i="11"/>
  <c r="CF23" i="11"/>
  <c r="CD23" i="11"/>
  <c r="BX23" i="11"/>
  <c r="BW23" i="11"/>
  <c r="BV23" i="11"/>
  <c r="BS23" i="11"/>
  <c r="BR23" i="11"/>
  <c r="BP23" i="11"/>
  <c r="BQ23" i="11" s="1"/>
  <c r="BO23" i="11"/>
  <c r="BN23" i="11"/>
  <c r="BM23" i="11"/>
  <c r="BL23" i="11"/>
  <c r="BK23" i="11"/>
  <c r="DN23" i="11" s="1"/>
  <c r="BJ23" i="11"/>
  <c r="BI23" i="11"/>
  <c r="BH23" i="11"/>
  <c r="BE23" i="11"/>
  <c r="BD23" i="11"/>
  <c r="BC23" i="11"/>
  <c r="BA23" i="11"/>
  <c r="CC23" i="11" s="1"/>
  <c r="AZ23" i="11"/>
  <c r="AX23" i="11"/>
  <c r="AV23" i="11"/>
  <c r="AT23" i="11"/>
  <c r="AK23" i="11"/>
  <c r="AJ23" i="11"/>
  <c r="AI23" i="11"/>
  <c r="AE23" i="11"/>
  <c r="FJ22" i="11"/>
  <c r="FH22" i="11"/>
  <c r="FD22" i="11"/>
  <c r="FC22" i="11"/>
  <c r="FA22" i="11"/>
  <c r="FB22" i="11" s="1"/>
  <c r="EZ22" i="11"/>
  <c r="EX22" i="11"/>
  <c r="EW22" i="11"/>
  <c r="ET22" i="11"/>
  <c r="ER22" i="11"/>
  <c r="EP22" i="11"/>
  <c r="EK22" i="11"/>
  <c r="EJ22" i="11"/>
  <c r="EL22" i="11" s="1"/>
  <c r="CT22" i="11" s="1"/>
  <c r="AW22" i="11" s="1"/>
  <c r="EH22" i="11"/>
  <c r="EF22" i="11"/>
  <c r="EG22" i="11" s="1"/>
  <c r="ED22" i="11"/>
  <c r="EE22" i="11" s="1"/>
  <c r="EC22" i="11"/>
  <c r="EB22" i="11"/>
  <c r="DZ22" i="11"/>
  <c r="DY22" i="11"/>
  <c r="DX22" i="11"/>
  <c r="DV22" i="11"/>
  <c r="DU22" i="11"/>
  <c r="DT22" i="11"/>
  <c r="DS22" i="11"/>
  <c r="DR22" i="11"/>
  <c r="DQ22" i="11"/>
  <c r="DP22" i="11"/>
  <c r="DM22" i="11"/>
  <c r="FL22" i="11" s="1"/>
  <c r="DL22" i="11"/>
  <c r="DK22" i="11"/>
  <c r="DH22" i="11"/>
  <c r="DI22" i="11" s="1"/>
  <c r="DJ22" i="11" s="1"/>
  <c r="DF22" i="11"/>
  <c r="DE22" i="11"/>
  <c r="DA22" i="11"/>
  <c r="CY22" i="11"/>
  <c r="CS22" i="11"/>
  <c r="CR22" i="11"/>
  <c r="CQ22" i="11"/>
  <c r="CP22" i="11"/>
  <c r="CO22" i="11"/>
  <c r="CN22" i="11"/>
  <c r="CI22" i="11"/>
  <c r="CJ22" i="11" s="1"/>
  <c r="CH22" i="11"/>
  <c r="CF22" i="11"/>
  <c r="CG22" i="11" s="1"/>
  <c r="CD22" i="11"/>
  <c r="CC22" i="11"/>
  <c r="BX22" i="11"/>
  <c r="BW22" i="11"/>
  <c r="BV22" i="11"/>
  <c r="BS22" i="11"/>
  <c r="BR22" i="11"/>
  <c r="BP22" i="11"/>
  <c r="BO22" i="11"/>
  <c r="BN22" i="11"/>
  <c r="BM22" i="11"/>
  <c r="BL22" i="11"/>
  <c r="BK22" i="11"/>
  <c r="DN22" i="11" s="1"/>
  <c r="BJ22" i="11"/>
  <c r="BQ22" i="11" s="1"/>
  <c r="BI22" i="11"/>
  <c r="BH22" i="11"/>
  <c r="BE22" i="11"/>
  <c r="BD22" i="11"/>
  <c r="BC22" i="11"/>
  <c r="BA22" i="11"/>
  <c r="BB22" i="11" s="1"/>
  <c r="BG22" i="11" s="1"/>
  <c r="AZ22" i="11"/>
  <c r="AX22" i="11"/>
  <c r="AV22" i="11"/>
  <c r="AT22" i="11"/>
  <c r="AK22" i="11"/>
  <c r="AJ22" i="11"/>
  <c r="AI22" i="11"/>
  <c r="AE22" i="11"/>
  <c r="FJ21" i="11"/>
  <c r="FH21" i="11"/>
  <c r="FD21" i="11"/>
  <c r="FC21" i="11"/>
  <c r="FA21" i="11"/>
  <c r="FB21" i="11" s="1"/>
  <c r="EZ21" i="11"/>
  <c r="EX21" i="11"/>
  <c r="EY21" i="11" s="1"/>
  <c r="EW21" i="11"/>
  <c r="ET21" i="11"/>
  <c r="ER21" i="11"/>
  <c r="EP21" i="11"/>
  <c r="EK21" i="11"/>
  <c r="EJ21" i="11"/>
  <c r="EH21" i="11"/>
  <c r="EF21" i="11"/>
  <c r="EG21" i="11" s="1"/>
  <c r="ED21" i="11"/>
  <c r="EE21" i="11" s="1"/>
  <c r="EC21" i="11"/>
  <c r="EB21" i="11"/>
  <c r="DZ21" i="11"/>
  <c r="DY21" i="11"/>
  <c r="DX21" i="11"/>
  <c r="DV21" i="11"/>
  <c r="DU21" i="11"/>
  <c r="DT21" i="11"/>
  <c r="DS21" i="11"/>
  <c r="DR21" i="11"/>
  <c r="DQ21" i="11"/>
  <c r="DP21" i="11"/>
  <c r="DM21" i="11"/>
  <c r="FL21" i="11" s="1"/>
  <c r="DL21" i="11"/>
  <c r="DK21" i="11"/>
  <c r="DH21" i="11"/>
  <c r="DI21" i="11" s="1"/>
  <c r="DJ21" i="11" s="1"/>
  <c r="DF21" i="11"/>
  <c r="DE21" i="11"/>
  <c r="DA21" i="11"/>
  <c r="CY21" i="11"/>
  <c r="CS21" i="11"/>
  <c r="CR21" i="11"/>
  <c r="CQ21" i="11"/>
  <c r="CP21" i="11"/>
  <c r="CO21" i="11"/>
  <c r="CN21" i="11"/>
  <c r="CI21" i="11"/>
  <c r="CJ21" i="11" s="1"/>
  <c r="CH21" i="11"/>
  <c r="CF21" i="11"/>
  <c r="CG21" i="11" s="1"/>
  <c r="CD21" i="11"/>
  <c r="CC21" i="11"/>
  <c r="BX21" i="11"/>
  <c r="BW21" i="11"/>
  <c r="BV21" i="11"/>
  <c r="BS21" i="11"/>
  <c r="BR21" i="11"/>
  <c r="BP21" i="11"/>
  <c r="BO21" i="11"/>
  <c r="BN21" i="11"/>
  <c r="BM21" i="11"/>
  <c r="BL21" i="11"/>
  <c r="BK21" i="11"/>
  <c r="DN21" i="11" s="1"/>
  <c r="BJ21" i="11"/>
  <c r="BQ21" i="11" s="1"/>
  <c r="BI21" i="11"/>
  <c r="BH21" i="11"/>
  <c r="BE21" i="11"/>
  <c r="BD21" i="11"/>
  <c r="BC21" i="11"/>
  <c r="BB21" i="11"/>
  <c r="BG21" i="11" s="1"/>
  <c r="BA21" i="11"/>
  <c r="AZ21" i="11"/>
  <c r="AX21" i="11"/>
  <c r="AV21" i="11"/>
  <c r="AT21" i="11"/>
  <c r="AK21" i="11"/>
  <c r="AJ21" i="11"/>
  <c r="AI21" i="11"/>
  <c r="AE21" i="11"/>
  <c r="FJ20" i="11"/>
  <c r="FH20" i="11"/>
  <c r="FD20" i="11"/>
  <c r="FC20" i="11"/>
  <c r="FA20" i="11"/>
  <c r="FB20" i="11" s="1"/>
  <c r="EZ20" i="11"/>
  <c r="EX20" i="11"/>
  <c r="EW20" i="11"/>
  <c r="ET20" i="11"/>
  <c r="ER20" i="11"/>
  <c r="EP20" i="11"/>
  <c r="EK20" i="11"/>
  <c r="EJ20" i="11"/>
  <c r="EH20" i="11"/>
  <c r="EF20" i="11"/>
  <c r="EG20" i="11" s="1"/>
  <c r="ED20" i="11"/>
  <c r="EE20" i="11" s="1"/>
  <c r="EC20" i="11"/>
  <c r="EB20" i="11"/>
  <c r="DZ20" i="11"/>
  <c r="DY20" i="11"/>
  <c r="DX20" i="11"/>
  <c r="DV20" i="11"/>
  <c r="DW20" i="11" s="1"/>
  <c r="DU20" i="11"/>
  <c r="DT20" i="11"/>
  <c r="DS20" i="11"/>
  <c r="DR20" i="11"/>
  <c r="DQ20" i="11"/>
  <c r="DP20" i="11"/>
  <c r="DM20" i="11"/>
  <c r="FL20" i="11" s="1"/>
  <c r="DL20" i="11"/>
  <c r="DK20" i="11"/>
  <c r="DH20" i="11"/>
  <c r="DI20" i="11" s="1"/>
  <c r="DJ20" i="11" s="1"/>
  <c r="DF20" i="11"/>
  <c r="DE20" i="11"/>
  <c r="DA20" i="11"/>
  <c r="CY20" i="11"/>
  <c r="CS20" i="11"/>
  <c r="CR20" i="11"/>
  <c r="CQ20" i="11"/>
  <c r="CP20" i="11"/>
  <c r="CO20" i="11"/>
  <c r="CN20" i="11"/>
  <c r="CI20" i="11"/>
  <c r="CJ20" i="11" s="1"/>
  <c r="CH20" i="11"/>
  <c r="CG20" i="11"/>
  <c r="CF20" i="11"/>
  <c r="CD20" i="11"/>
  <c r="BX20" i="11"/>
  <c r="BW20" i="11"/>
  <c r="BV20" i="11"/>
  <c r="BS20" i="11"/>
  <c r="BR20" i="11"/>
  <c r="BP20" i="11"/>
  <c r="BQ20" i="11" s="1"/>
  <c r="BO20" i="11"/>
  <c r="BN20" i="11"/>
  <c r="BM20" i="11"/>
  <c r="BL20" i="11"/>
  <c r="BK20" i="11"/>
  <c r="DN20" i="11" s="1"/>
  <c r="BJ20" i="11"/>
  <c r="BI20" i="11"/>
  <c r="BH20" i="11"/>
  <c r="BE20" i="11"/>
  <c r="BD20" i="11"/>
  <c r="BC20" i="11"/>
  <c r="BA20" i="11"/>
  <c r="CC20" i="11" s="1"/>
  <c r="AZ20" i="11"/>
  <c r="AX20" i="11"/>
  <c r="AV20" i="11"/>
  <c r="AT20" i="11"/>
  <c r="AK20" i="11"/>
  <c r="AJ20" i="11"/>
  <c r="AI20" i="11"/>
  <c r="AE20" i="11"/>
  <c r="FJ19" i="11"/>
  <c r="FH19" i="11"/>
  <c r="FD19" i="11"/>
  <c r="FE19" i="11" s="1"/>
  <c r="FC19" i="11"/>
  <c r="FA19" i="11"/>
  <c r="FB19" i="11" s="1"/>
  <c r="EZ19" i="11"/>
  <c r="EY19" i="11"/>
  <c r="EX19" i="11"/>
  <c r="EW19" i="11"/>
  <c r="ET19" i="11"/>
  <c r="ER19" i="11"/>
  <c r="EP19" i="11"/>
  <c r="EK19" i="11"/>
  <c r="EJ19" i="11"/>
  <c r="EH19" i="11"/>
  <c r="EF19" i="11"/>
  <c r="EG19" i="11" s="1"/>
  <c r="ED19" i="11"/>
  <c r="EE19" i="11" s="1"/>
  <c r="EC19" i="11"/>
  <c r="EB19" i="11"/>
  <c r="DZ19" i="11"/>
  <c r="DY19" i="11"/>
  <c r="DX19" i="11"/>
  <c r="DV19" i="11"/>
  <c r="DU19" i="11"/>
  <c r="DT19" i="11"/>
  <c r="DS19" i="11"/>
  <c r="DR19" i="11"/>
  <c r="DQ19" i="11"/>
  <c r="DP19" i="11"/>
  <c r="DM19" i="11"/>
  <c r="FL19" i="11" s="1"/>
  <c r="DL19" i="11"/>
  <c r="DK19" i="11"/>
  <c r="DH19" i="11"/>
  <c r="DI19" i="11" s="1"/>
  <c r="DJ19" i="11" s="1"/>
  <c r="DF19" i="11"/>
  <c r="DE19" i="11"/>
  <c r="DA19" i="11"/>
  <c r="CY19" i="11"/>
  <c r="CS19" i="11"/>
  <c r="CR19" i="11"/>
  <c r="CQ19" i="11"/>
  <c r="CP19" i="11"/>
  <c r="CO19" i="11"/>
  <c r="CN19" i="11"/>
  <c r="CI19" i="11"/>
  <c r="CJ19" i="11" s="1"/>
  <c r="CH19" i="11"/>
  <c r="CF19" i="11"/>
  <c r="CG19" i="11" s="1"/>
  <c r="CD19" i="11"/>
  <c r="CC19" i="11"/>
  <c r="BX19" i="11"/>
  <c r="BW19" i="11"/>
  <c r="BV19" i="11"/>
  <c r="BS19" i="11"/>
  <c r="BR19" i="11"/>
  <c r="BQ19" i="11"/>
  <c r="BP19" i="11"/>
  <c r="BO19" i="11"/>
  <c r="BN19" i="11"/>
  <c r="BM19" i="11"/>
  <c r="BL19" i="11"/>
  <c r="BK19" i="11"/>
  <c r="DN19" i="11" s="1"/>
  <c r="BJ19" i="11"/>
  <c r="BI19" i="11"/>
  <c r="BH19" i="11"/>
  <c r="BE19" i="11"/>
  <c r="BD19" i="11"/>
  <c r="BC19" i="11"/>
  <c r="BB19" i="11"/>
  <c r="BG19" i="11" s="1"/>
  <c r="BA19" i="11"/>
  <c r="AZ19" i="11"/>
  <c r="AX19" i="11"/>
  <c r="AV19" i="11"/>
  <c r="AT19" i="11"/>
  <c r="AK19" i="11"/>
  <c r="AJ19" i="11"/>
  <c r="AI19" i="11"/>
  <c r="AE19" i="11"/>
  <c r="FJ18" i="11"/>
  <c r="FH18" i="11"/>
  <c r="FD18" i="11"/>
  <c r="FC18" i="11"/>
  <c r="FA18" i="11"/>
  <c r="FB18" i="11" s="1"/>
  <c r="EZ18" i="11"/>
  <c r="EX18" i="11"/>
  <c r="EW18" i="11"/>
  <c r="EY18" i="11" s="1"/>
  <c r="ET18" i="11"/>
  <c r="ER18" i="11"/>
  <c r="EP18" i="11"/>
  <c r="EK18" i="11"/>
  <c r="EJ18" i="11"/>
  <c r="EH18" i="11"/>
  <c r="EF18" i="11"/>
  <c r="EG18" i="11" s="1"/>
  <c r="ED18" i="11"/>
  <c r="EE18" i="11" s="1"/>
  <c r="EC18" i="11"/>
  <c r="EB18" i="11"/>
  <c r="DZ18" i="11"/>
  <c r="DY18" i="11"/>
  <c r="DX18" i="11"/>
  <c r="DV18" i="11"/>
  <c r="DU18" i="11"/>
  <c r="DW18" i="11" s="1"/>
  <c r="DT18" i="11"/>
  <c r="DS18" i="11"/>
  <c r="DR18" i="11"/>
  <c r="DQ18" i="11"/>
  <c r="DP18" i="11"/>
  <c r="DM18" i="11"/>
  <c r="FL18" i="11" s="1"/>
  <c r="DL18" i="11"/>
  <c r="DK18" i="11"/>
  <c r="DH18" i="11"/>
  <c r="DI18" i="11" s="1"/>
  <c r="DJ18" i="11" s="1"/>
  <c r="DF18" i="11"/>
  <c r="DE18" i="11"/>
  <c r="DA18" i="11"/>
  <c r="CY18" i="11"/>
  <c r="CS18" i="11"/>
  <c r="CR18" i="11"/>
  <c r="CQ18" i="11"/>
  <c r="CP18" i="11"/>
  <c r="CO18" i="11"/>
  <c r="CN18" i="11"/>
  <c r="CI18" i="11"/>
  <c r="CJ18" i="11" s="1"/>
  <c r="CH18" i="11"/>
  <c r="CF18" i="11"/>
  <c r="CG18" i="11" s="1"/>
  <c r="CD18" i="11"/>
  <c r="CC18" i="11"/>
  <c r="BX18" i="11"/>
  <c r="BW18" i="11"/>
  <c r="BV18" i="11"/>
  <c r="BS18" i="11"/>
  <c r="BR18" i="11"/>
  <c r="BP18" i="11"/>
  <c r="BO18" i="11"/>
  <c r="BN18" i="11"/>
  <c r="BM18" i="11"/>
  <c r="BL18" i="11"/>
  <c r="BK18" i="11"/>
  <c r="DN18" i="11" s="1"/>
  <c r="BJ18" i="11"/>
  <c r="BQ18" i="11" s="1"/>
  <c r="BI18" i="11"/>
  <c r="BH18" i="11"/>
  <c r="BE18" i="11"/>
  <c r="BD18" i="11"/>
  <c r="BC18" i="11"/>
  <c r="BB18" i="11"/>
  <c r="BG18" i="11" s="1"/>
  <c r="BA18" i="11"/>
  <c r="AZ18" i="11"/>
  <c r="AX18" i="11"/>
  <c r="AV18" i="11"/>
  <c r="AT18" i="11"/>
  <c r="AK18" i="11"/>
  <c r="AJ18" i="11"/>
  <c r="AI18" i="11"/>
  <c r="AE18" i="11"/>
  <c r="FJ17" i="11"/>
  <c r="FH17" i="11"/>
  <c r="FD17" i="11"/>
  <c r="FC17" i="11"/>
  <c r="FA17" i="11"/>
  <c r="FB17" i="11" s="1"/>
  <c r="EZ17" i="11"/>
  <c r="EX17" i="11"/>
  <c r="EW17" i="11"/>
  <c r="ET17" i="11"/>
  <c r="ER17" i="11"/>
  <c r="EP17" i="11"/>
  <c r="EK17" i="11"/>
  <c r="EJ17" i="11"/>
  <c r="EH17" i="11"/>
  <c r="EF17" i="11"/>
  <c r="EG17" i="11" s="1"/>
  <c r="ED17" i="11"/>
  <c r="EE17" i="11" s="1"/>
  <c r="EC17" i="11"/>
  <c r="EB17" i="11"/>
  <c r="DZ17" i="11"/>
  <c r="DY17" i="11"/>
  <c r="DX17" i="11"/>
  <c r="DV17" i="11"/>
  <c r="DU17" i="11"/>
  <c r="DT17" i="11"/>
  <c r="DS17" i="11"/>
  <c r="DR17" i="11"/>
  <c r="DQ17" i="11"/>
  <c r="DP17" i="11"/>
  <c r="DM17" i="11"/>
  <c r="FL17" i="11" s="1"/>
  <c r="DL17" i="11"/>
  <c r="DK17" i="11"/>
  <c r="DH17" i="11"/>
  <c r="DI17" i="11" s="1"/>
  <c r="DJ17" i="11" s="1"/>
  <c r="DF17" i="11"/>
  <c r="DE17" i="11"/>
  <c r="DA17" i="11"/>
  <c r="CY17" i="11"/>
  <c r="CR17" i="11"/>
  <c r="CQ17" i="11"/>
  <c r="CS17" i="11" s="1"/>
  <c r="CP17" i="11"/>
  <c r="CO17" i="11"/>
  <c r="CN17" i="11"/>
  <c r="CI17" i="11"/>
  <c r="CJ17" i="11" s="1"/>
  <c r="CH17" i="11"/>
  <c r="CG17" i="11"/>
  <c r="CF17" i="11"/>
  <c r="CD17" i="11"/>
  <c r="BX17" i="11"/>
  <c r="BW17" i="11"/>
  <c r="BV17" i="11"/>
  <c r="BS17" i="11"/>
  <c r="BR17" i="11"/>
  <c r="BP17" i="11"/>
  <c r="BQ17" i="11" s="1"/>
  <c r="BO17" i="11"/>
  <c r="BN17" i="11"/>
  <c r="BM17" i="11"/>
  <c r="BL17" i="11"/>
  <c r="BK17" i="11"/>
  <c r="DN17" i="11" s="1"/>
  <c r="BJ17" i="11"/>
  <c r="BI17" i="11"/>
  <c r="BH17" i="11"/>
  <c r="BE17" i="11"/>
  <c r="BD17" i="11"/>
  <c r="BC17" i="11"/>
  <c r="BA17" i="11"/>
  <c r="CC17" i="11" s="1"/>
  <c r="AZ17" i="11"/>
  <c r="AX17" i="11"/>
  <c r="AV17" i="11"/>
  <c r="AT17" i="11"/>
  <c r="AK17" i="11"/>
  <c r="AJ17" i="11"/>
  <c r="AI17" i="11"/>
  <c r="AE17" i="11"/>
  <c r="FJ16" i="11"/>
  <c r="FH16" i="11"/>
  <c r="FD16" i="11"/>
  <c r="FC16" i="11"/>
  <c r="FA16" i="11"/>
  <c r="FB16" i="11" s="1"/>
  <c r="EZ16" i="11"/>
  <c r="EX16" i="11"/>
  <c r="EY16" i="11" s="1"/>
  <c r="EW16" i="11"/>
  <c r="ET16" i="11"/>
  <c r="ER16" i="11"/>
  <c r="EP16" i="11"/>
  <c r="EK16" i="11"/>
  <c r="EJ16" i="11"/>
  <c r="EH16" i="11"/>
  <c r="EF16" i="11"/>
  <c r="EG16" i="11" s="1"/>
  <c r="ED16" i="11"/>
  <c r="EE16" i="11" s="1"/>
  <c r="EC16" i="11"/>
  <c r="EB16" i="11"/>
  <c r="DZ16" i="11"/>
  <c r="DY16" i="11"/>
  <c r="DX16" i="11"/>
  <c r="DV16" i="11"/>
  <c r="DU16" i="11"/>
  <c r="DT16" i="11"/>
  <c r="DS16" i="11"/>
  <c r="DR16" i="11"/>
  <c r="DQ16" i="11"/>
  <c r="DP16" i="11"/>
  <c r="DM16" i="11"/>
  <c r="FL16" i="11" s="1"/>
  <c r="DL16" i="11"/>
  <c r="DK16" i="11"/>
  <c r="DH16" i="11"/>
  <c r="DI16" i="11" s="1"/>
  <c r="DJ16" i="11" s="1"/>
  <c r="DO16" i="11" s="1"/>
  <c r="DF16" i="11"/>
  <c r="DE16" i="11"/>
  <c r="DA16" i="11"/>
  <c r="CY16" i="11"/>
  <c r="CS16" i="11"/>
  <c r="CR16" i="11"/>
  <c r="CQ16" i="11"/>
  <c r="CP16" i="11"/>
  <c r="CO16" i="11"/>
  <c r="CN16" i="11"/>
  <c r="CI16" i="11"/>
  <c r="CJ16" i="11" s="1"/>
  <c r="CH16" i="11"/>
  <c r="CF16" i="11"/>
  <c r="CG16" i="11" s="1"/>
  <c r="CD16" i="11"/>
  <c r="CC16" i="11"/>
  <c r="BX16" i="11"/>
  <c r="BW16" i="11"/>
  <c r="BV16" i="11"/>
  <c r="BS16" i="11"/>
  <c r="BR16" i="11"/>
  <c r="BQ16" i="11"/>
  <c r="BP16" i="11"/>
  <c r="BO16" i="11"/>
  <c r="BN16" i="11"/>
  <c r="BM16" i="11"/>
  <c r="BL16" i="11"/>
  <c r="BK16" i="11"/>
  <c r="DN16" i="11" s="1"/>
  <c r="BJ16" i="11"/>
  <c r="BI16" i="11"/>
  <c r="BH16" i="11"/>
  <c r="BE16" i="11"/>
  <c r="BD16" i="11"/>
  <c r="BC16" i="11"/>
  <c r="BB16" i="11"/>
  <c r="BG16" i="11" s="1"/>
  <c r="BA16" i="11"/>
  <c r="AZ16" i="11"/>
  <c r="AX16" i="11"/>
  <c r="AV16" i="11"/>
  <c r="AT16" i="11"/>
  <c r="AK16" i="11"/>
  <c r="AJ16" i="11"/>
  <c r="AI16" i="11"/>
  <c r="AE16" i="11"/>
  <c r="FL15" i="11"/>
  <c r="FJ15" i="11"/>
  <c r="FH15" i="11"/>
  <c r="FD15" i="11"/>
  <c r="FC15" i="11"/>
  <c r="FA15" i="11"/>
  <c r="FB15" i="11" s="1"/>
  <c r="EZ15" i="11"/>
  <c r="EX15" i="11"/>
  <c r="EW15" i="11"/>
  <c r="ET15" i="11"/>
  <c r="ER15" i="11"/>
  <c r="EP15" i="11"/>
  <c r="EK15" i="11"/>
  <c r="EJ15" i="11"/>
  <c r="EH15" i="11"/>
  <c r="EF15" i="11"/>
  <c r="EG15" i="11" s="1"/>
  <c r="ED15" i="11"/>
  <c r="EE15" i="11" s="1"/>
  <c r="EC15" i="11"/>
  <c r="EB15" i="11"/>
  <c r="DZ15" i="11"/>
  <c r="DY15" i="11"/>
  <c r="DX15" i="11"/>
  <c r="DV15" i="11"/>
  <c r="DW15" i="11" s="1"/>
  <c r="DU15" i="11"/>
  <c r="DT15" i="11"/>
  <c r="DS15" i="11"/>
  <c r="DR15" i="11"/>
  <c r="DQ15" i="11"/>
  <c r="DP15" i="11"/>
  <c r="DN15" i="11"/>
  <c r="DM15" i="11"/>
  <c r="DL15" i="11"/>
  <c r="DK15" i="11"/>
  <c r="DH15" i="11"/>
  <c r="DI15" i="11" s="1"/>
  <c r="DJ15" i="11" s="1"/>
  <c r="DO15" i="11" s="1"/>
  <c r="DF15" i="11"/>
  <c r="DE15" i="11"/>
  <c r="DA15" i="11"/>
  <c r="CY15" i="11"/>
  <c r="CS15" i="11"/>
  <c r="CR15" i="11"/>
  <c r="CQ15" i="11"/>
  <c r="CP15" i="11"/>
  <c r="CO15" i="11"/>
  <c r="CN15" i="11"/>
  <c r="CI15" i="11"/>
  <c r="CJ15" i="11" s="1"/>
  <c r="CH15" i="11"/>
  <c r="CF15" i="11"/>
  <c r="CG15" i="11" s="1"/>
  <c r="CD15" i="11"/>
  <c r="CC15" i="11"/>
  <c r="BX15" i="11"/>
  <c r="BW15" i="11"/>
  <c r="BV15" i="11"/>
  <c r="BS15" i="11"/>
  <c r="BR15" i="11"/>
  <c r="BP15" i="11"/>
  <c r="BO15" i="11"/>
  <c r="BN15" i="11"/>
  <c r="BM15" i="11"/>
  <c r="BL15" i="11"/>
  <c r="BK15" i="11"/>
  <c r="BJ15" i="11"/>
  <c r="BQ15" i="11" s="1"/>
  <c r="BI15" i="11"/>
  <c r="BH15" i="11"/>
  <c r="BE15" i="11"/>
  <c r="BD15" i="11"/>
  <c r="BC15" i="11"/>
  <c r="BB15" i="11"/>
  <c r="BG15" i="11" s="1"/>
  <c r="BA15" i="11"/>
  <c r="AZ15" i="11"/>
  <c r="AX15" i="11"/>
  <c r="AV15" i="11"/>
  <c r="AT15" i="11"/>
  <c r="AK15" i="11"/>
  <c r="AJ15" i="11"/>
  <c r="AI15" i="11"/>
  <c r="AE15" i="11"/>
  <c r="FJ14" i="11"/>
  <c r="FH14" i="11"/>
  <c r="FD14" i="11"/>
  <c r="FC14" i="11"/>
  <c r="FE14" i="11" s="1"/>
  <c r="FA14" i="11"/>
  <c r="FB14" i="11" s="1"/>
  <c r="EZ14" i="11"/>
  <c r="EX14" i="11"/>
  <c r="EW14" i="11"/>
  <c r="ET14" i="11"/>
  <c r="ER14" i="11"/>
  <c r="EP14" i="11"/>
  <c r="EK14" i="11"/>
  <c r="EJ14" i="11"/>
  <c r="EL14" i="11" s="1"/>
  <c r="CT14" i="11" s="1"/>
  <c r="AW14" i="11" s="1"/>
  <c r="EH14" i="11"/>
  <c r="EF14" i="11"/>
  <c r="EG14" i="11" s="1"/>
  <c r="ED14" i="11"/>
  <c r="EE14" i="11" s="1"/>
  <c r="EC14" i="11"/>
  <c r="EB14" i="11"/>
  <c r="DZ14" i="11"/>
  <c r="DY14" i="11"/>
  <c r="DX14" i="11"/>
  <c r="DV14" i="11"/>
  <c r="DU14" i="11"/>
  <c r="DT14" i="11"/>
  <c r="DS14" i="11"/>
  <c r="DR14" i="11"/>
  <c r="DQ14" i="11"/>
  <c r="DP14" i="11"/>
  <c r="DM14" i="11"/>
  <c r="FL14" i="11" s="1"/>
  <c r="DL14" i="11"/>
  <c r="DK14" i="11"/>
  <c r="DH14" i="11"/>
  <c r="DI14" i="11" s="1"/>
  <c r="DJ14" i="11" s="1"/>
  <c r="DF14" i="11"/>
  <c r="DE14" i="11"/>
  <c r="DA14" i="11"/>
  <c r="CY14" i="11"/>
  <c r="CR14" i="11"/>
  <c r="CQ14" i="11"/>
  <c r="CP14" i="11"/>
  <c r="CS14" i="11" s="1"/>
  <c r="CO14" i="11"/>
  <c r="CN14" i="11"/>
  <c r="CI14" i="11"/>
  <c r="CJ14" i="11" s="1"/>
  <c r="CH14" i="11"/>
  <c r="CG14" i="11"/>
  <c r="CF14" i="11"/>
  <c r="CD14" i="11"/>
  <c r="BX14" i="11"/>
  <c r="BW14" i="11"/>
  <c r="BV14" i="11"/>
  <c r="BS14" i="11"/>
  <c r="BR14" i="11"/>
  <c r="BP14" i="11"/>
  <c r="BQ14" i="11" s="1"/>
  <c r="BO14" i="11"/>
  <c r="BN14" i="11"/>
  <c r="BM14" i="11"/>
  <c r="BL14" i="11"/>
  <c r="BK14" i="11"/>
  <c r="DN14" i="11" s="1"/>
  <c r="BJ14" i="11"/>
  <c r="BI14" i="11"/>
  <c r="BH14" i="11"/>
  <c r="BE14" i="11"/>
  <c r="BD14" i="11"/>
  <c r="BC14" i="11"/>
  <c r="BA14" i="11"/>
  <c r="CC14" i="11" s="1"/>
  <c r="AZ14" i="11"/>
  <c r="AX14" i="11"/>
  <c r="AV14" i="11"/>
  <c r="AT14" i="11"/>
  <c r="AK14" i="11"/>
  <c r="AJ14" i="11"/>
  <c r="AI14" i="11"/>
  <c r="AE14" i="11"/>
  <c r="FJ13" i="11"/>
  <c r="FH13" i="11"/>
  <c r="FD13" i="11"/>
  <c r="FC13" i="11"/>
  <c r="FA13" i="11"/>
  <c r="FB13" i="11" s="1"/>
  <c r="EZ13" i="11"/>
  <c r="EX13" i="11"/>
  <c r="EW13" i="11"/>
  <c r="EY13" i="11" s="1"/>
  <c r="ET13" i="11"/>
  <c r="ER13" i="11"/>
  <c r="EP13" i="11"/>
  <c r="EK13" i="11"/>
  <c r="EJ13" i="11"/>
  <c r="EH13" i="11"/>
  <c r="EF13" i="11"/>
  <c r="EG13" i="11" s="1"/>
  <c r="ED13" i="11"/>
  <c r="EE13" i="11" s="1"/>
  <c r="EC13" i="11"/>
  <c r="EB13" i="11"/>
  <c r="DZ13" i="11"/>
  <c r="DY13" i="11"/>
  <c r="DX13" i="11"/>
  <c r="DV13" i="11"/>
  <c r="DU13" i="11"/>
  <c r="DT13" i="11"/>
  <c r="DS13" i="11"/>
  <c r="DR13" i="11"/>
  <c r="DQ13" i="11"/>
  <c r="DP13" i="11"/>
  <c r="DM13" i="11"/>
  <c r="FL13" i="11" s="1"/>
  <c r="DL13" i="11"/>
  <c r="DK13" i="11"/>
  <c r="DH13" i="11"/>
  <c r="DI13" i="11" s="1"/>
  <c r="DJ13" i="11" s="1"/>
  <c r="DF13" i="11"/>
  <c r="DE13" i="11"/>
  <c r="DA13" i="11"/>
  <c r="CY13" i="11"/>
  <c r="CR13" i="11"/>
  <c r="CQ13" i="11"/>
  <c r="CP13" i="11"/>
  <c r="CS13" i="11" s="1"/>
  <c r="CO13" i="11"/>
  <c r="CN13" i="11"/>
  <c r="CI13" i="11"/>
  <c r="CJ13" i="11" s="1"/>
  <c r="CH13" i="11"/>
  <c r="CF13" i="11"/>
  <c r="CG13" i="11" s="1"/>
  <c r="CD13" i="11"/>
  <c r="CC13" i="11"/>
  <c r="BX13" i="11"/>
  <c r="BW13" i="11"/>
  <c r="BV13" i="11"/>
  <c r="BS13" i="11"/>
  <c r="BR13" i="11"/>
  <c r="BP13" i="11"/>
  <c r="BQ13" i="11" s="1"/>
  <c r="BO13" i="11"/>
  <c r="BN13" i="11"/>
  <c r="BM13" i="11"/>
  <c r="BL13" i="11"/>
  <c r="BK13" i="11"/>
  <c r="DN13" i="11" s="1"/>
  <c r="BJ13" i="11"/>
  <c r="BI13" i="11"/>
  <c r="BH13" i="11"/>
  <c r="BE13" i="11"/>
  <c r="BD13" i="11"/>
  <c r="BC13" i="11"/>
  <c r="BA13" i="11"/>
  <c r="BB13" i="11" s="1"/>
  <c r="BG13" i="11" s="1"/>
  <c r="AZ13" i="11"/>
  <c r="AX13" i="11"/>
  <c r="AV13" i="11"/>
  <c r="AT13" i="11"/>
  <c r="AK13" i="11"/>
  <c r="AJ13" i="11"/>
  <c r="AI13" i="11"/>
  <c r="AE13" i="11"/>
  <c r="FJ12" i="11"/>
  <c r="DE12" i="11" s="1"/>
  <c r="FH12" i="11"/>
  <c r="FD12" i="11"/>
  <c r="FC12" i="11"/>
  <c r="FA12" i="11"/>
  <c r="FB12" i="11" s="1"/>
  <c r="EZ12" i="11"/>
  <c r="EX12" i="11"/>
  <c r="EW12" i="11"/>
  <c r="EY12" i="11" s="1"/>
  <c r="ET12" i="11"/>
  <c r="ER12" i="11"/>
  <c r="EP12" i="11"/>
  <c r="EK12" i="11"/>
  <c r="EJ12" i="11"/>
  <c r="EF12" i="11"/>
  <c r="EG12" i="11" s="1"/>
  <c r="EH12" i="11" s="1"/>
  <c r="ED12" i="11"/>
  <c r="EE12" i="11" s="1"/>
  <c r="EC12" i="11"/>
  <c r="EB12" i="11"/>
  <c r="DZ12" i="11"/>
  <c r="DY12" i="11"/>
  <c r="DX12" i="11"/>
  <c r="DV12" i="11"/>
  <c r="DU12" i="11"/>
  <c r="DT12" i="11"/>
  <c r="DS12" i="11"/>
  <c r="DR12" i="11"/>
  <c r="DQ12" i="11"/>
  <c r="DP12" i="11"/>
  <c r="DM12" i="11"/>
  <c r="FL12" i="11" s="1"/>
  <c r="DL12" i="11"/>
  <c r="DK12" i="11"/>
  <c r="DH12" i="11"/>
  <c r="DI12" i="11" s="1"/>
  <c r="DJ12" i="11" s="1"/>
  <c r="DF12" i="11"/>
  <c r="DA12" i="11"/>
  <c r="CY12" i="11"/>
  <c r="CR12" i="11"/>
  <c r="CQ12" i="11"/>
  <c r="CP12" i="11"/>
  <c r="CO12" i="11"/>
  <c r="CN12" i="11"/>
  <c r="CM12" i="11"/>
  <c r="CI12" i="11"/>
  <c r="CJ12" i="11" s="1"/>
  <c r="CH12" i="11"/>
  <c r="CG12" i="11"/>
  <c r="CF12" i="11"/>
  <c r="CD12" i="11"/>
  <c r="BX12" i="11"/>
  <c r="BW12" i="11"/>
  <c r="BV12" i="11"/>
  <c r="BS12" i="11"/>
  <c r="BR12" i="11"/>
  <c r="BP12" i="11"/>
  <c r="BO12" i="11"/>
  <c r="BN12" i="11"/>
  <c r="BM12" i="11"/>
  <c r="BL12" i="11"/>
  <c r="BK12" i="11"/>
  <c r="DN12" i="11" s="1"/>
  <c r="BJ12" i="11"/>
  <c r="BQ12" i="11" s="1"/>
  <c r="BI12" i="11"/>
  <c r="BH12" i="11"/>
  <c r="BE12" i="11"/>
  <c r="BD12" i="11"/>
  <c r="BA12" i="11"/>
  <c r="BC12" i="11" s="1"/>
  <c r="AZ12" i="11"/>
  <c r="AX12" i="11"/>
  <c r="AV12" i="11"/>
  <c r="AK12" i="11"/>
  <c r="AJ12" i="11" s="1"/>
  <c r="AI12" i="11"/>
  <c r="AE12" i="11"/>
  <c r="AD3" i="11" s="1"/>
  <c r="FJ11" i="11"/>
  <c r="FH11" i="11"/>
  <c r="FD11" i="11"/>
  <c r="FC11" i="11"/>
  <c r="FA11" i="11"/>
  <c r="FB11" i="11" s="1"/>
  <c r="EZ11" i="11"/>
  <c r="EX11" i="11"/>
  <c r="EW11" i="11"/>
  <c r="ET11" i="11"/>
  <c r="ER11" i="11"/>
  <c r="EP11" i="11"/>
  <c r="EM11" i="11"/>
  <c r="EK11" i="11"/>
  <c r="EJ11" i="11"/>
  <c r="EH11" i="11"/>
  <c r="EF11" i="11"/>
  <c r="EG11" i="11" s="1"/>
  <c r="ED11" i="11"/>
  <c r="EE11" i="11" s="1"/>
  <c r="EC11" i="11"/>
  <c r="EB11" i="11"/>
  <c r="DZ11" i="11"/>
  <c r="DY11" i="11"/>
  <c r="DX11" i="11"/>
  <c r="DV11" i="11"/>
  <c r="DW11" i="11" s="1"/>
  <c r="DU11" i="11"/>
  <c r="DT11" i="11"/>
  <c r="DS11" i="11"/>
  <c r="DR11" i="11"/>
  <c r="DQ11" i="11"/>
  <c r="DP11" i="11"/>
  <c r="DM11" i="11"/>
  <c r="FL11" i="11" s="1"/>
  <c r="DL11" i="11"/>
  <c r="DK11" i="11"/>
  <c r="DH11" i="11"/>
  <c r="DI11" i="11" s="1"/>
  <c r="DJ11" i="11" s="1"/>
  <c r="DO11" i="11" s="1"/>
  <c r="DF11" i="11"/>
  <c r="DE11" i="11"/>
  <c r="DA11" i="11"/>
  <c r="CY11" i="11"/>
  <c r="CR11" i="11"/>
  <c r="CQ11" i="11"/>
  <c r="CP11" i="11"/>
  <c r="CS11" i="11" s="1"/>
  <c r="CO11" i="11"/>
  <c r="CN11" i="11"/>
  <c r="CM11" i="11"/>
  <c r="CI11" i="11"/>
  <c r="CJ11" i="11" s="1"/>
  <c r="CH11" i="11"/>
  <c r="CF11" i="11"/>
  <c r="CG11" i="11" s="1"/>
  <c r="CD11" i="11"/>
  <c r="CC11" i="11"/>
  <c r="BX11" i="11"/>
  <c r="BW11" i="11"/>
  <c r="BV11" i="11"/>
  <c r="BS11" i="11"/>
  <c r="BR11" i="11"/>
  <c r="BP11" i="11"/>
  <c r="BO11" i="11"/>
  <c r="BN11" i="11"/>
  <c r="BM11" i="11"/>
  <c r="BL11" i="11"/>
  <c r="BK11" i="11"/>
  <c r="DN11" i="11" s="1"/>
  <c r="BJ11" i="11"/>
  <c r="BQ11" i="11" s="1"/>
  <c r="BI11" i="11"/>
  <c r="BH11" i="11"/>
  <c r="BE11" i="11"/>
  <c r="BD11" i="11"/>
  <c r="BB11" i="11"/>
  <c r="BG11" i="11" s="1"/>
  <c r="BA11" i="11"/>
  <c r="BC11" i="11" s="1"/>
  <c r="AZ11" i="11"/>
  <c r="AX11" i="11"/>
  <c r="AV11" i="11"/>
  <c r="AT11" i="11"/>
  <c r="AK11" i="11"/>
  <c r="AJ11" i="11"/>
  <c r="AI11" i="11"/>
  <c r="AE11" i="11"/>
  <c r="FJ10" i="11"/>
  <c r="FH10" i="11"/>
  <c r="FD10" i="11"/>
  <c r="FC10" i="11"/>
  <c r="FA10" i="11"/>
  <c r="FB10" i="11" s="1"/>
  <c r="EZ10" i="11"/>
  <c r="EX10" i="11"/>
  <c r="EW10" i="11"/>
  <c r="ET10" i="11"/>
  <c r="ER10" i="11"/>
  <c r="EP10" i="11"/>
  <c r="EM10" i="11"/>
  <c r="EK10" i="11"/>
  <c r="EJ10" i="11"/>
  <c r="EH10" i="11"/>
  <c r="EF10" i="11"/>
  <c r="EG10" i="11" s="1"/>
  <c r="ED10" i="11"/>
  <c r="EE10" i="11" s="1"/>
  <c r="EC10" i="11"/>
  <c r="EB10" i="11"/>
  <c r="DZ10" i="11"/>
  <c r="DY10" i="11"/>
  <c r="DX10" i="11"/>
  <c r="DV10" i="11"/>
  <c r="DU10" i="11"/>
  <c r="DT10" i="11"/>
  <c r="DS10" i="11"/>
  <c r="DR10" i="11"/>
  <c r="DQ10" i="11"/>
  <c r="DP10" i="11"/>
  <c r="DM10" i="11"/>
  <c r="FL10" i="11" s="1"/>
  <c r="DL10" i="11"/>
  <c r="DK10" i="11"/>
  <c r="DH10" i="11"/>
  <c r="DI10" i="11" s="1"/>
  <c r="DJ10" i="11" s="1"/>
  <c r="DF10" i="11"/>
  <c r="DE10" i="11"/>
  <c r="DA10" i="11"/>
  <c r="CY10" i="11"/>
  <c r="CS10" i="11"/>
  <c r="CR10" i="11"/>
  <c r="CQ10" i="11"/>
  <c r="CP10" i="11"/>
  <c r="CO10" i="11"/>
  <c r="CN10" i="11"/>
  <c r="CM10" i="11"/>
  <c r="CI10" i="11"/>
  <c r="CJ10" i="11" s="1"/>
  <c r="CH10" i="11"/>
  <c r="CF10" i="11"/>
  <c r="CG10" i="11" s="1"/>
  <c r="CD10" i="11"/>
  <c r="CC10" i="11"/>
  <c r="BX10" i="11"/>
  <c r="BW10" i="11"/>
  <c r="BV10" i="11"/>
  <c r="BS10" i="11"/>
  <c r="BR10" i="11"/>
  <c r="BP10" i="11"/>
  <c r="BO10" i="11"/>
  <c r="BN10" i="11"/>
  <c r="BM10" i="11"/>
  <c r="BL10" i="11"/>
  <c r="BK10" i="11"/>
  <c r="DN10" i="11" s="1"/>
  <c r="BJ10" i="11"/>
  <c r="BQ10" i="11" s="1"/>
  <c r="BI10" i="11"/>
  <c r="BH10" i="11"/>
  <c r="BE10" i="11"/>
  <c r="BD10" i="11"/>
  <c r="BC10" i="11"/>
  <c r="BB10" i="11"/>
  <c r="BG10" i="11" s="1"/>
  <c r="BA10" i="11"/>
  <c r="AZ10" i="11"/>
  <c r="AX10" i="11"/>
  <c r="AV10" i="11"/>
  <c r="AT10" i="11"/>
  <c r="AK10" i="11"/>
  <c r="AJ10" i="11"/>
  <c r="AI10" i="11"/>
  <c r="AE10" i="11"/>
  <c r="FJ9" i="11"/>
  <c r="FH9" i="11"/>
  <c r="FD9" i="11"/>
  <c r="FC9" i="11"/>
  <c r="FE9" i="11" s="1"/>
  <c r="FA9" i="11"/>
  <c r="FB9" i="11" s="1"/>
  <c r="EZ9" i="11"/>
  <c r="EX9" i="11"/>
  <c r="EW9" i="11"/>
  <c r="ET9" i="11"/>
  <c r="ER9" i="11"/>
  <c r="EP9" i="11"/>
  <c r="EM9" i="11"/>
  <c r="EM12" i="11" s="1"/>
  <c r="EK9" i="11"/>
  <c r="EJ9" i="11"/>
  <c r="EH9" i="11"/>
  <c r="EG9" i="11"/>
  <c r="EF9" i="11"/>
  <c r="EE9" i="11"/>
  <c r="ED9" i="11"/>
  <c r="EC9" i="11"/>
  <c r="EB9" i="11"/>
  <c r="EA9" i="11"/>
  <c r="DZ9" i="11"/>
  <c r="DY9" i="11"/>
  <c r="DX9" i="11"/>
  <c r="DV9" i="11"/>
  <c r="DW9" i="11" s="1"/>
  <c r="DU9" i="11"/>
  <c r="DT9" i="11"/>
  <c r="DS9" i="11"/>
  <c r="DR9" i="11"/>
  <c r="DQ9" i="11"/>
  <c r="DP9" i="11"/>
  <c r="DM9" i="11"/>
  <c r="FL9" i="11" s="1"/>
  <c r="DL9" i="11"/>
  <c r="DK9" i="11"/>
  <c r="DH9" i="11"/>
  <c r="DI9" i="11" s="1"/>
  <c r="DJ9" i="11" s="1"/>
  <c r="DF9" i="11"/>
  <c r="DE9" i="11"/>
  <c r="DD9" i="11"/>
  <c r="DA9" i="11"/>
  <c r="CY9" i="11"/>
  <c r="CS9" i="11"/>
  <c r="CR9" i="11"/>
  <c r="CQ9" i="11"/>
  <c r="CP9" i="11"/>
  <c r="CO9" i="11"/>
  <c r="CN9" i="11"/>
  <c r="CM9" i="11"/>
  <c r="CI9" i="11"/>
  <c r="CJ9" i="11" s="1"/>
  <c r="CH9" i="11"/>
  <c r="CF9" i="11"/>
  <c r="CG9" i="11" s="1"/>
  <c r="CD9" i="11"/>
  <c r="CC9" i="11"/>
  <c r="BX9" i="11"/>
  <c r="BW9" i="11"/>
  <c r="BV9" i="11"/>
  <c r="BS9" i="11"/>
  <c r="BR9" i="11"/>
  <c r="BP9" i="11"/>
  <c r="BO9" i="11"/>
  <c r="BN9" i="11"/>
  <c r="BM9" i="11"/>
  <c r="BL9" i="11"/>
  <c r="BK9" i="11"/>
  <c r="DN9" i="11" s="1"/>
  <c r="BJ9" i="11"/>
  <c r="BQ9" i="11" s="1"/>
  <c r="BI9" i="11"/>
  <c r="BH9" i="11"/>
  <c r="BE9" i="11"/>
  <c r="BD9" i="11"/>
  <c r="BC9" i="11"/>
  <c r="BB9" i="11"/>
  <c r="BG9" i="11" s="1"/>
  <c r="BA9" i="11"/>
  <c r="AZ9" i="11"/>
  <c r="AX9" i="11"/>
  <c r="AV9" i="11"/>
  <c r="AT9" i="11"/>
  <c r="AK9" i="11"/>
  <c r="AJ9" i="11"/>
  <c r="AI9" i="11"/>
  <c r="AE9" i="11"/>
  <c r="AD4" i="11"/>
  <c r="EL11" i="11" l="1"/>
  <c r="CT11" i="11" s="1"/>
  <c r="AW11" i="11" s="1"/>
  <c r="DW14" i="11"/>
  <c r="EL18" i="11"/>
  <c r="CT18" i="11" s="1"/>
  <c r="AW18" i="11" s="1"/>
  <c r="EY20" i="11"/>
  <c r="EL9" i="11"/>
  <c r="CT9" i="11" s="1"/>
  <c r="AW9" i="11" s="1"/>
  <c r="DW23" i="11"/>
  <c r="EL19" i="11"/>
  <c r="CT19" i="11" s="1"/>
  <c r="AW19" i="11" s="1"/>
  <c r="EY11" i="11"/>
  <c r="FE13" i="11"/>
  <c r="EL17" i="11"/>
  <c r="CT17" i="11" s="1"/>
  <c r="AW17" i="11" s="1"/>
  <c r="FE21" i="11"/>
  <c r="FE22" i="11"/>
  <c r="FE10" i="11"/>
  <c r="FE11" i="11"/>
  <c r="DW21" i="11"/>
  <c r="EY10" i="11"/>
  <c r="FE18" i="11"/>
  <c r="EL20" i="11"/>
  <c r="CT20" i="11" s="1"/>
  <c r="AW20" i="11" s="1"/>
  <c r="DW22" i="11"/>
  <c r="DW13" i="11"/>
  <c r="EL13" i="11"/>
  <c r="CT13" i="11" s="1"/>
  <c r="AW13" i="11" s="1"/>
  <c r="EY17" i="11"/>
  <c r="EY15" i="11"/>
  <c r="EY22" i="11"/>
  <c r="EL23" i="11"/>
  <c r="CT23" i="11" s="1"/>
  <c r="AW23" i="11" s="1"/>
  <c r="FE16" i="11"/>
  <c r="FE17" i="11"/>
  <c r="DW16" i="11"/>
  <c r="EL16" i="11"/>
  <c r="CT16" i="11" s="1"/>
  <c r="AW16" i="11" s="1"/>
  <c r="EL21" i="11"/>
  <c r="CT21" i="11" s="1"/>
  <c r="AW21" i="11" s="1"/>
  <c r="EY23" i="11"/>
  <c r="EL10" i="11"/>
  <c r="CT10" i="11" s="1"/>
  <c r="AW10" i="11" s="1"/>
  <c r="EY9" i="11"/>
  <c r="DW10" i="11"/>
  <c r="EY14" i="11"/>
  <c r="FE15" i="11"/>
  <c r="FE20" i="11"/>
  <c r="EL15" i="11"/>
  <c r="CT15" i="11" s="1"/>
  <c r="AW15" i="11" s="1"/>
  <c r="DW17" i="11"/>
  <c r="DW19" i="11"/>
  <c r="CM13" i="11"/>
  <c r="EA6" i="11" s="1"/>
  <c r="EA11" i="11" s="1"/>
  <c r="M6" i="11" s="1"/>
  <c r="EL12" i="11"/>
  <c r="CT12" i="11" s="1"/>
  <c r="AW12" i="11" s="1"/>
  <c r="AT12" i="11"/>
  <c r="AJ24" i="11"/>
  <c r="DW12" i="11"/>
  <c r="FE12" i="11"/>
  <c r="CS12" i="11"/>
  <c r="AI24" i="11"/>
  <c r="DO10" i="11"/>
  <c r="DO17" i="11"/>
  <c r="DO19" i="11"/>
  <c r="DO22" i="11"/>
  <c r="DO13" i="11"/>
  <c r="DO18" i="11"/>
  <c r="DO20" i="11"/>
  <c r="DO9" i="11"/>
  <c r="DJ24" i="11"/>
  <c r="Y7" i="11" s="1"/>
  <c r="DO23" i="11"/>
  <c r="DO14" i="11"/>
  <c r="DO21" i="11"/>
  <c r="DO12" i="11"/>
  <c r="BB14" i="11"/>
  <c r="BG14" i="11" s="1"/>
  <c r="BB17" i="11"/>
  <c r="BG17" i="11" s="1"/>
  <c r="BB20" i="11"/>
  <c r="BG20" i="11" s="1"/>
  <c r="BB23" i="11"/>
  <c r="BG23" i="11" s="1"/>
  <c r="CC12" i="11"/>
  <c r="BB12" i="11"/>
  <c r="BG12" i="11" s="1"/>
  <c r="FB14" i="2"/>
  <c r="FB19" i="2"/>
  <c r="FA10" i="2"/>
  <c r="FB10" i="2" s="1"/>
  <c r="FA11" i="2"/>
  <c r="FB11" i="2" s="1"/>
  <c r="FA12" i="2"/>
  <c r="FB12" i="2" s="1"/>
  <c r="FA13" i="2"/>
  <c r="FB13" i="2" s="1"/>
  <c r="FA14" i="2"/>
  <c r="FA15" i="2"/>
  <c r="FB15" i="2" s="1"/>
  <c r="FA16" i="2"/>
  <c r="FB16" i="2" s="1"/>
  <c r="FA17" i="2"/>
  <c r="FB17" i="2" s="1"/>
  <c r="FA18" i="2"/>
  <c r="FB18" i="2" s="1"/>
  <c r="FA19" i="2"/>
  <c r="FA20" i="2"/>
  <c r="FB20" i="2" s="1"/>
  <c r="FA21" i="2"/>
  <c r="FB21" i="2" s="1"/>
  <c r="FA22" i="2"/>
  <c r="FB22" i="2" s="1"/>
  <c r="FA23" i="2"/>
  <c r="FB23" i="2" s="1"/>
  <c r="FA9" i="2"/>
  <c r="FB9" i="2" s="1"/>
  <c r="EZ10" i="2"/>
  <c r="EZ11" i="2"/>
  <c r="EZ12" i="2"/>
  <c r="EZ13" i="2"/>
  <c r="EZ14" i="2"/>
  <c r="EZ15" i="2"/>
  <c r="EZ16" i="2"/>
  <c r="EZ17" i="2"/>
  <c r="EZ18" i="2"/>
  <c r="EZ19" i="2"/>
  <c r="EZ20" i="2"/>
  <c r="EZ21" i="2"/>
  <c r="EZ22" i="2"/>
  <c r="EZ23" i="2"/>
  <c r="EZ9" i="2"/>
  <c r="EW10" i="2"/>
  <c r="EX10" i="2"/>
  <c r="EW11" i="2"/>
  <c r="EX11" i="2"/>
  <c r="EW12" i="2"/>
  <c r="EX12" i="2"/>
  <c r="EW13" i="2"/>
  <c r="EX13" i="2"/>
  <c r="EW14" i="2"/>
  <c r="EX14" i="2"/>
  <c r="EW15" i="2"/>
  <c r="EX15" i="2"/>
  <c r="EW16" i="2"/>
  <c r="EX16" i="2"/>
  <c r="EW17" i="2"/>
  <c r="EX17" i="2"/>
  <c r="EW18" i="2"/>
  <c r="EX18" i="2"/>
  <c r="EW19" i="2"/>
  <c r="EX19" i="2"/>
  <c r="EW20" i="2"/>
  <c r="EX20" i="2"/>
  <c r="EY20" i="2" s="1"/>
  <c r="EW21" i="2"/>
  <c r="EY21" i="2" s="1"/>
  <c r="EX21" i="2"/>
  <c r="EW22" i="2"/>
  <c r="EY22" i="2" s="1"/>
  <c r="EX22" i="2"/>
  <c r="EW23" i="2"/>
  <c r="EX23" i="2"/>
  <c r="EW9" i="2"/>
  <c r="AX30" i="1"/>
  <c r="AW30" i="1"/>
  <c r="EY16" i="2" l="1"/>
  <c r="EY15" i="2"/>
  <c r="EY19" i="2"/>
  <c r="EY13" i="2"/>
  <c r="EY18" i="2"/>
  <c r="EY14" i="2"/>
  <c r="EY23" i="2"/>
  <c r="EY17" i="2"/>
  <c r="AK24" i="11"/>
  <c r="EY12" i="2"/>
  <c r="EY11" i="2"/>
  <c r="EY10" i="2"/>
  <c r="FC10" i="2"/>
  <c r="FD10" i="2"/>
  <c r="FC11" i="2"/>
  <c r="FD11" i="2"/>
  <c r="FC12" i="2"/>
  <c r="FD12" i="2"/>
  <c r="FC13" i="2"/>
  <c r="FD13" i="2"/>
  <c r="FC14" i="2"/>
  <c r="FD14" i="2"/>
  <c r="FE14" i="2"/>
  <c r="FC15" i="2"/>
  <c r="FD15" i="2"/>
  <c r="FC16" i="2"/>
  <c r="FD16" i="2"/>
  <c r="FE16" i="2"/>
  <c r="FC17" i="2"/>
  <c r="FD17" i="2"/>
  <c r="FC18" i="2"/>
  <c r="FD18" i="2"/>
  <c r="FE18" i="2"/>
  <c r="FC19" i="2"/>
  <c r="FD19" i="2"/>
  <c r="FE19" i="2" s="1"/>
  <c r="FC20" i="2"/>
  <c r="FD20" i="2"/>
  <c r="FC21" i="2"/>
  <c r="FD21" i="2"/>
  <c r="FC22" i="2"/>
  <c r="FD22" i="2"/>
  <c r="FE22" i="2"/>
  <c r="FC23" i="2"/>
  <c r="FD23" i="2"/>
  <c r="FE23" i="2" s="1"/>
  <c r="FC9" i="2"/>
  <c r="IJ18" i="1"/>
  <c r="IJ17" i="1"/>
  <c r="IJ16" i="1"/>
  <c r="ER10" i="2"/>
  <c r="ER11" i="2"/>
  <c r="ER12" i="2"/>
  <c r="ER13" i="2"/>
  <c r="ER14" i="2"/>
  <c r="ER15" i="2"/>
  <c r="ER16" i="2"/>
  <c r="ER17" i="2"/>
  <c r="ER18" i="2"/>
  <c r="ER19" i="2"/>
  <c r="ER20" i="2"/>
  <c r="ER21" i="2"/>
  <c r="ER22" i="2"/>
  <c r="ER23" i="2"/>
  <c r="ER9" i="2"/>
  <c r="AV10" i="2"/>
  <c r="AV11" i="2"/>
  <c r="AV12" i="2"/>
  <c r="AV13" i="2"/>
  <c r="AV14" i="2"/>
  <c r="AV15" i="2"/>
  <c r="AV16" i="2"/>
  <c r="AV17" i="2"/>
  <c r="AV18" i="2"/>
  <c r="AV19" i="2"/>
  <c r="AV20" i="2"/>
  <c r="AV21" i="2"/>
  <c r="AV22" i="2"/>
  <c r="AV23" i="2"/>
  <c r="AV9" i="2"/>
  <c r="FE20" i="2" l="1"/>
  <c r="FE15" i="2"/>
  <c r="FE13" i="2"/>
  <c r="FE17" i="2"/>
  <c r="FE21" i="2"/>
  <c r="FE11" i="2"/>
  <c r="FE10" i="2"/>
  <c r="FE12" i="2"/>
  <c r="AX28" i="1" l="1"/>
  <c r="AX27" i="1"/>
  <c r="BD44" i="2"/>
  <c r="BD45" i="2"/>
  <c r="BD46" i="2"/>
  <c r="BD47" i="2"/>
  <c r="BD48" i="2"/>
  <c r="BD49" i="2"/>
  <c r="BD50" i="2"/>
  <c r="BD51" i="2"/>
  <c r="BD52" i="2"/>
  <c r="BD43" i="2"/>
  <c r="DE10" i="2" l="1"/>
  <c r="DE11" i="2"/>
  <c r="DE13" i="2"/>
  <c r="DE14" i="2"/>
  <c r="DE15" i="2"/>
  <c r="DE16" i="2"/>
  <c r="DE17" i="2"/>
  <c r="DE18" i="2"/>
  <c r="DE19" i="2"/>
  <c r="DE20" i="2"/>
  <c r="DE21" i="2"/>
  <c r="DE22" i="2"/>
  <c r="DE23" i="2"/>
  <c r="FJ10" i="2"/>
  <c r="FJ11" i="2"/>
  <c r="FJ12" i="2"/>
  <c r="DE12" i="2" s="1"/>
  <c r="FJ13" i="2"/>
  <c r="FJ14" i="2"/>
  <c r="FJ15" i="2"/>
  <c r="FJ16" i="2"/>
  <c r="FJ17" i="2"/>
  <c r="FJ18" i="2"/>
  <c r="FJ19" i="2"/>
  <c r="FJ20" i="2"/>
  <c r="FJ21" i="2"/>
  <c r="FJ22" i="2"/>
  <c r="FJ23" i="2"/>
  <c r="FJ9" i="2"/>
  <c r="DE9" i="2" s="1"/>
  <c r="FH10" i="2" l="1"/>
  <c r="FH11" i="2"/>
  <c r="FH12" i="2"/>
  <c r="FH13" i="2"/>
  <c r="FH14" i="2"/>
  <c r="FH15" i="2"/>
  <c r="FH16" i="2"/>
  <c r="FH17" i="2"/>
  <c r="FH18" i="2"/>
  <c r="FH19" i="2"/>
  <c r="FH20" i="2"/>
  <c r="FH21" i="2"/>
  <c r="FH22" i="2"/>
  <c r="FH23" i="2"/>
  <c r="FH9" i="2"/>
  <c r="DM10" i="2" l="1"/>
  <c r="FL10" i="2" s="1"/>
  <c r="DM11" i="2"/>
  <c r="FL11" i="2" s="1"/>
  <c r="DM12" i="2"/>
  <c r="FL12" i="2" s="1"/>
  <c r="DM13" i="2"/>
  <c r="FL13" i="2" s="1"/>
  <c r="DM14" i="2"/>
  <c r="FL14" i="2" s="1"/>
  <c r="DM15" i="2"/>
  <c r="FL15" i="2" s="1"/>
  <c r="DM16" i="2"/>
  <c r="FL16" i="2" s="1"/>
  <c r="DM17" i="2"/>
  <c r="FL17" i="2" s="1"/>
  <c r="DM18" i="2"/>
  <c r="FL18" i="2" s="1"/>
  <c r="DM19" i="2"/>
  <c r="FL19" i="2" s="1"/>
  <c r="DM20" i="2"/>
  <c r="FL20" i="2" s="1"/>
  <c r="DM21" i="2"/>
  <c r="FL21" i="2" s="1"/>
  <c r="DM22" i="2"/>
  <c r="FL22" i="2" s="1"/>
  <c r="DM23" i="2"/>
  <c r="FL23" i="2" s="1"/>
  <c r="DM9" i="2"/>
  <c r="FL9" i="2" s="1"/>
  <c r="DL10" i="2"/>
  <c r="DL11" i="2"/>
  <c r="DL12" i="2"/>
  <c r="DL13" i="2"/>
  <c r="DL14" i="2"/>
  <c r="DL15" i="2"/>
  <c r="DL16" i="2"/>
  <c r="DL17" i="2"/>
  <c r="DL18" i="2"/>
  <c r="DL19" i="2"/>
  <c r="DL20" i="2"/>
  <c r="DL21" i="2"/>
  <c r="DL22" i="2"/>
  <c r="DL23" i="2"/>
  <c r="DL9" i="2"/>
  <c r="DK10" i="2"/>
  <c r="DK11" i="2"/>
  <c r="DK12" i="2"/>
  <c r="DK13" i="2"/>
  <c r="DK14" i="2"/>
  <c r="DK15" i="2"/>
  <c r="DK16" i="2"/>
  <c r="DK17" i="2"/>
  <c r="DK18" i="2"/>
  <c r="DK19" i="2"/>
  <c r="DK20" i="2"/>
  <c r="DK21" i="2"/>
  <c r="DK22" i="2"/>
  <c r="DK23" i="2"/>
  <c r="DK9" i="2"/>
  <c r="N7" i="1"/>
  <c r="HC7" i="1"/>
  <c r="HB7" i="1"/>
  <c r="HD7" i="1"/>
  <c r="EB10" i="2"/>
  <c r="EB11" i="2"/>
  <c r="EB12" i="2"/>
  <c r="EB13" i="2"/>
  <c r="EB14" i="2"/>
  <c r="EB15" i="2"/>
  <c r="EB16" i="2"/>
  <c r="EB17" i="2"/>
  <c r="EB18" i="2"/>
  <c r="EB19" i="2"/>
  <c r="EB20" i="2"/>
  <c r="EB21" i="2"/>
  <c r="EB22" i="2"/>
  <c r="EB23" i="2"/>
  <c r="EB9" i="2"/>
  <c r="FD9" i="2" l="1"/>
  <c r="FE9" i="2" s="1"/>
  <c r="II18" i="1" l="1"/>
  <c r="II17" i="1"/>
  <c r="IH18" i="1"/>
  <c r="IG18" i="1"/>
  <c r="IH17" i="1"/>
  <c r="IG17" i="1"/>
  <c r="II16" i="1"/>
  <c r="IH16" i="1"/>
  <c r="IG16" i="1"/>
  <c r="AI10" i="2" l="1"/>
  <c r="AJ10" i="2"/>
  <c r="AK10" i="2"/>
  <c r="AI11" i="2"/>
  <c r="AJ11" i="2"/>
  <c r="AK11" i="2"/>
  <c r="AI12" i="2"/>
  <c r="AK12" i="2"/>
  <c r="AJ12" i="2" s="1"/>
  <c r="AI13" i="2"/>
  <c r="AJ13" i="2"/>
  <c r="AK13" i="2"/>
  <c r="AI14" i="2"/>
  <c r="AJ14" i="2"/>
  <c r="AK14" i="2"/>
  <c r="AI15" i="2"/>
  <c r="AJ15" i="2"/>
  <c r="AK15" i="2"/>
  <c r="AI16" i="2"/>
  <c r="AJ16" i="2"/>
  <c r="AK16" i="2"/>
  <c r="AI17" i="2"/>
  <c r="AJ17" i="2"/>
  <c r="AK17" i="2"/>
  <c r="AI18" i="2"/>
  <c r="AJ18" i="2"/>
  <c r="AK18" i="2"/>
  <c r="AI19" i="2"/>
  <c r="AJ19" i="2"/>
  <c r="AK19" i="2"/>
  <c r="AI20" i="2"/>
  <c r="AJ20" i="2"/>
  <c r="AK20" i="2"/>
  <c r="AI21" i="2"/>
  <c r="AJ21" i="2"/>
  <c r="AK21" i="2"/>
  <c r="AI22" i="2"/>
  <c r="AJ22" i="2"/>
  <c r="AK22" i="2"/>
  <c r="AI23" i="2"/>
  <c r="AJ23" i="2"/>
  <c r="AK23" i="2"/>
  <c r="AK9" i="2"/>
  <c r="AJ9" i="2" s="1"/>
  <c r="AI9" i="2"/>
  <c r="AJ24" i="2" l="1"/>
  <c r="AI24" i="2"/>
  <c r="AK24" i="2" l="1"/>
  <c r="AD5" i="2" s="1"/>
  <c r="AD5" i="12" l="1"/>
  <c r="AD5" i="11"/>
  <c r="EX9" i="2"/>
  <c r="EY9" i="2" s="1"/>
  <c r="AW29" i="1"/>
  <c r="AW28" i="1"/>
  <c r="AW27" i="1"/>
  <c r="AX29" i="1"/>
  <c r="ET10" i="2" l="1"/>
  <c r="ET11" i="2"/>
  <c r="ET12" i="2"/>
  <c r="ET13" i="2"/>
  <c r="ET14" i="2"/>
  <c r="ET15" i="2"/>
  <c r="ET16" i="2"/>
  <c r="ET17" i="2"/>
  <c r="ET18" i="2"/>
  <c r="ET19" i="2"/>
  <c r="ET20" i="2"/>
  <c r="ET21" i="2"/>
  <c r="ET22" i="2"/>
  <c r="ET23" i="2"/>
  <c r="ET9" i="2"/>
  <c r="DY10" i="2" l="1"/>
  <c r="DY11" i="2"/>
  <c r="DY12" i="2"/>
  <c r="DY13" i="2"/>
  <c r="DY14" i="2"/>
  <c r="DY15" i="2"/>
  <c r="DY16" i="2"/>
  <c r="DY17" i="2"/>
  <c r="DY18" i="2"/>
  <c r="DY19" i="2"/>
  <c r="DY20" i="2"/>
  <c r="DY21" i="2"/>
  <c r="DY22" i="2"/>
  <c r="DY23" i="2"/>
  <c r="DY9" i="2"/>
  <c r="EP10" i="2" l="1"/>
  <c r="EP11" i="2"/>
  <c r="EP12" i="2"/>
  <c r="EP13" i="2"/>
  <c r="EP14" i="2"/>
  <c r="EP15" i="2"/>
  <c r="EP16" i="2"/>
  <c r="EP17" i="2"/>
  <c r="EP18" i="2"/>
  <c r="EP19" i="2"/>
  <c r="EP20" i="2"/>
  <c r="EP21" i="2"/>
  <c r="EP22" i="2"/>
  <c r="EP23" i="2"/>
  <c r="EP9" i="2"/>
  <c r="EJ23" i="2" l="1"/>
  <c r="EK23" i="2"/>
  <c r="BS10" i="2"/>
  <c r="BS11" i="2"/>
  <c r="BS12" i="2"/>
  <c r="BS13" i="2"/>
  <c r="BS14" i="2"/>
  <c r="BS15" i="2"/>
  <c r="BS16" i="2"/>
  <c r="BS17" i="2"/>
  <c r="BS18" i="2"/>
  <c r="BS19" i="2"/>
  <c r="BS20" i="2"/>
  <c r="BS21" i="2"/>
  <c r="BS22" i="2"/>
  <c r="BS23" i="2"/>
  <c r="EL23" i="2" l="1"/>
  <c r="BS9" i="2"/>
  <c r="CM12" i="2" l="1"/>
  <c r="CM11" i="2"/>
  <c r="AZ10" i="2" l="1"/>
  <c r="AZ11" i="2"/>
  <c r="AZ12" i="2"/>
  <c r="AZ13" i="2"/>
  <c r="AZ14" i="2"/>
  <c r="AZ15" i="2"/>
  <c r="AZ16" i="2"/>
  <c r="AZ17" i="2"/>
  <c r="AZ18" i="2"/>
  <c r="AZ19" i="2"/>
  <c r="AZ20" i="2"/>
  <c r="AZ21" i="2"/>
  <c r="AZ22" i="2"/>
  <c r="AZ23" i="2"/>
  <c r="BD10" i="2"/>
  <c r="BD11" i="2"/>
  <c r="BD12" i="2"/>
  <c r="BD13" i="2"/>
  <c r="BD14" i="2"/>
  <c r="BD15" i="2"/>
  <c r="BD16" i="2"/>
  <c r="BD17" i="2"/>
  <c r="BD18" i="2"/>
  <c r="BD19" i="2"/>
  <c r="BD20" i="2"/>
  <c r="BD21" i="2"/>
  <c r="BD22" i="2"/>
  <c r="BD23" i="2"/>
  <c r="BD9" i="2"/>
  <c r="AZ9" i="2"/>
  <c r="EM9" i="2"/>
  <c r="IO54" i="1"/>
  <c r="CM10" i="2"/>
  <c r="EF10" i="2"/>
  <c r="EG10" i="2" s="1"/>
  <c r="EH10" i="2" s="1"/>
  <c r="EF11" i="2"/>
  <c r="EG11" i="2" s="1"/>
  <c r="EF12" i="2"/>
  <c r="EG12" i="2" s="1"/>
  <c r="EH12" i="2" s="1"/>
  <c r="EF13" i="2"/>
  <c r="EG13" i="2" s="1"/>
  <c r="EF14" i="2"/>
  <c r="EG14" i="2" s="1"/>
  <c r="EF15" i="2"/>
  <c r="EG15" i="2" s="1"/>
  <c r="EF16" i="2"/>
  <c r="EG16" i="2" s="1"/>
  <c r="EF17" i="2"/>
  <c r="EG17" i="2" s="1"/>
  <c r="EF18" i="2"/>
  <c r="EG18" i="2" s="1"/>
  <c r="EF19" i="2"/>
  <c r="EG19" i="2" s="1"/>
  <c r="EF20" i="2"/>
  <c r="EG20" i="2" s="1"/>
  <c r="EF21" i="2"/>
  <c r="EG21" i="2" s="1"/>
  <c r="EF22" i="2"/>
  <c r="EG22" i="2" s="1"/>
  <c r="EF23" i="2"/>
  <c r="EG23" i="2" s="1"/>
  <c r="EF9" i="2"/>
  <c r="EG9" i="2" s="1"/>
  <c r="EH9" i="2" s="1"/>
  <c r="DH11" i="2"/>
  <c r="DI11" i="2" s="1"/>
  <c r="DJ11" i="2" s="1"/>
  <c r="DH12" i="2"/>
  <c r="DI12" i="2" s="1"/>
  <c r="DJ12" i="2" s="1"/>
  <c r="DH13" i="2"/>
  <c r="DI13" i="2" s="1"/>
  <c r="DJ13" i="2" s="1"/>
  <c r="DH14" i="2"/>
  <c r="DI14" i="2" s="1"/>
  <c r="DJ14" i="2" s="1"/>
  <c r="DH15" i="2"/>
  <c r="DI15" i="2" s="1"/>
  <c r="DJ15" i="2" s="1"/>
  <c r="DH16" i="2"/>
  <c r="DI16" i="2" s="1"/>
  <c r="DJ16" i="2" s="1"/>
  <c r="DH17" i="2"/>
  <c r="DH18" i="2"/>
  <c r="DI18" i="2" s="1"/>
  <c r="DJ18" i="2" s="1"/>
  <c r="DH19" i="2"/>
  <c r="DI19" i="2" s="1"/>
  <c r="DJ19" i="2" s="1"/>
  <c r="DH20" i="2"/>
  <c r="DI20" i="2" s="1"/>
  <c r="DJ20" i="2" s="1"/>
  <c r="DH21" i="2"/>
  <c r="DI21" i="2" s="1"/>
  <c r="DJ21" i="2" s="1"/>
  <c r="DH22" i="2"/>
  <c r="DI22" i="2" s="1"/>
  <c r="DJ22" i="2" s="1"/>
  <c r="DH23" i="2"/>
  <c r="DI23" i="2" s="1"/>
  <c r="DJ23" i="2" s="1"/>
  <c r="CI10" i="2"/>
  <c r="CJ10" i="2" s="1"/>
  <c r="CI11" i="2"/>
  <c r="CJ11" i="2" s="1"/>
  <c r="CI12" i="2"/>
  <c r="CJ12" i="2" s="1"/>
  <c r="CI13" i="2"/>
  <c r="CJ13" i="2" s="1"/>
  <c r="CI14" i="2"/>
  <c r="CJ14" i="2" s="1"/>
  <c r="CI15" i="2"/>
  <c r="CJ15" i="2" s="1"/>
  <c r="CI16" i="2"/>
  <c r="CJ16" i="2" s="1"/>
  <c r="CI17" i="2"/>
  <c r="CJ17" i="2" s="1"/>
  <c r="CI18" i="2"/>
  <c r="CJ18" i="2" s="1"/>
  <c r="CI19" i="2"/>
  <c r="CJ19" i="2" s="1"/>
  <c r="CI20" i="2"/>
  <c r="CJ20" i="2" s="1"/>
  <c r="CI21" i="2"/>
  <c r="CJ21" i="2" s="1"/>
  <c r="CI22" i="2"/>
  <c r="CJ22" i="2" s="1"/>
  <c r="CI23" i="2"/>
  <c r="CJ23" i="2" s="1"/>
  <c r="CI9" i="2"/>
  <c r="CJ9" i="2" s="1"/>
  <c r="IO141" i="1"/>
  <c r="IO142" i="1"/>
  <c r="IO143" i="1"/>
  <c r="IO144" i="1"/>
  <c r="IO145" i="1"/>
  <c r="IO146" i="1"/>
  <c r="IO147" i="1"/>
  <c r="IO148" i="1"/>
  <c r="IO149" i="1"/>
  <c r="IO150" i="1"/>
  <c r="IO151" i="1"/>
  <c r="IO152" i="1"/>
  <c r="IO153" i="1"/>
  <c r="IO154" i="1"/>
  <c r="IO155" i="1"/>
  <c r="IO156" i="1"/>
  <c r="IO157" i="1"/>
  <c r="IO158" i="1"/>
  <c r="IO159" i="1"/>
  <c r="IO160" i="1"/>
  <c r="IO161" i="1"/>
  <c r="IO162" i="1"/>
  <c r="IO163" i="1"/>
  <c r="IO164" i="1"/>
  <c r="IO165" i="1"/>
  <c r="IO166" i="1"/>
  <c r="IO167" i="1"/>
  <c r="IO168" i="1"/>
  <c r="IO169" i="1"/>
  <c r="IO117" i="1"/>
  <c r="IO118" i="1"/>
  <c r="IO119" i="1"/>
  <c r="IO120" i="1"/>
  <c r="IO121" i="1"/>
  <c r="IO122" i="1"/>
  <c r="IO123" i="1"/>
  <c r="IO124" i="1"/>
  <c r="IO125" i="1"/>
  <c r="IO126" i="1"/>
  <c r="IO127" i="1"/>
  <c r="IO128" i="1"/>
  <c r="IO129" i="1"/>
  <c r="IO130" i="1"/>
  <c r="IO131" i="1"/>
  <c r="IO132" i="1"/>
  <c r="IO133" i="1"/>
  <c r="IO134" i="1"/>
  <c r="IO135" i="1"/>
  <c r="IO136" i="1"/>
  <c r="IO137" i="1"/>
  <c r="IO138" i="1"/>
  <c r="IO139" i="1"/>
  <c r="IO140" i="1"/>
  <c r="CM9" i="2"/>
  <c r="IO3" i="1"/>
  <c r="IO4" i="1"/>
  <c r="IO5" i="1"/>
  <c r="IO6" i="1"/>
  <c r="IO7" i="1"/>
  <c r="IO8" i="1"/>
  <c r="IO9" i="1"/>
  <c r="IO10" i="1"/>
  <c r="IO11" i="1"/>
  <c r="IO12" i="1"/>
  <c r="IO13" i="1"/>
  <c r="IO14" i="1"/>
  <c r="IO15" i="1"/>
  <c r="IO16" i="1"/>
  <c r="IO17" i="1"/>
  <c r="IO18" i="1"/>
  <c r="IO19" i="1"/>
  <c r="IO20" i="1"/>
  <c r="IO21" i="1"/>
  <c r="IO22" i="1"/>
  <c r="IO23" i="1"/>
  <c r="IO24" i="1"/>
  <c r="IO25" i="1"/>
  <c r="IO26" i="1"/>
  <c r="IO27" i="1"/>
  <c r="IO28" i="1"/>
  <c r="IO29" i="1"/>
  <c r="IO30" i="1"/>
  <c r="IO31" i="1"/>
  <c r="IO32" i="1"/>
  <c r="IO33" i="1"/>
  <c r="IO34" i="1"/>
  <c r="IO35" i="1"/>
  <c r="IO36" i="1"/>
  <c r="IO37" i="1"/>
  <c r="IO38" i="1"/>
  <c r="IO39" i="1"/>
  <c r="IO40" i="1"/>
  <c r="IO41" i="1"/>
  <c r="IO42" i="1"/>
  <c r="IO43" i="1"/>
  <c r="IO44" i="1"/>
  <c r="IO45" i="1"/>
  <c r="IO46" i="1"/>
  <c r="DH9" i="2" s="1"/>
  <c r="DI9" i="2" s="1"/>
  <c r="DJ9" i="2" s="1"/>
  <c r="IO47" i="1"/>
  <c r="IO48" i="1"/>
  <c r="IO49" i="1"/>
  <c r="IO50" i="1"/>
  <c r="IO51" i="1"/>
  <c r="IO52" i="1"/>
  <c r="IO53" i="1"/>
  <c r="IO55" i="1"/>
  <c r="IO56" i="1"/>
  <c r="IO57" i="1"/>
  <c r="IO58" i="1"/>
  <c r="IO59" i="1"/>
  <c r="IO60" i="1"/>
  <c r="IO61" i="1"/>
  <c r="IO62" i="1"/>
  <c r="IO63" i="1"/>
  <c r="IO64" i="1"/>
  <c r="IO65" i="1"/>
  <c r="IO66" i="1"/>
  <c r="IO67" i="1"/>
  <c r="IO68" i="1"/>
  <c r="IO69" i="1"/>
  <c r="IO70" i="1"/>
  <c r="IO71" i="1"/>
  <c r="IO72" i="1"/>
  <c r="IO73" i="1"/>
  <c r="IO74" i="1"/>
  <c r="IO75" i="1"/>
  <c r="IO76" i="1"/>
  <c r="IO77" i="1"/>
  <c r="DH10" i="2" s="1"/>
  <c r="DI10" i="2" s="1"/>
  <c r="DJ10" i="2" s="1"/>
  <c r="IO78" i="1"/>
  <c r="IO79" i="1"/>
  <c r="IO80" i="1"/>
  <c r="IO81" i="1"/>
  <c r="IO82" i="1"/>
  <c r="IO83" i="1"/>
  <c r="IO84" i="1"/>
  <c r="IO85" i="1"/>
  <c r="IO86" i="1"/>
  <c r="IO87" i="1"/>
  <c r="IO88" i="1"/>
  <c r="IO89" i="1"/>
  <c r="IO90" i="1"/>
  <c r="IO91" i="1"/>
  <c r="IO92" i="1"/>
  <c r="IO93" i="1"/>
  <c r="IO94" i="1"/>
  <c r="IO95" i="1"/>
  <c r="IO96" i="1"/>
  <c r="IO97" i="1"/>
  <c r="IO98" i="1"/>
  <c r="IO99" i="1"/>
  <c r="IO100" i="1"/>
  <c r="IO101" i="1"/>
  <c r="IO102" i="1"/>
  <c r="IO103" i="1"/>
  <c r="IO104" i="1"/>
  <c r="IO105" i="1"/>
  <c r="IO106" i="1"/>
  <c r="IO107" i="1"/>
  <c r="IO108" i="1"/>
  <c r="IO109" i="1"/>
  <c r="IO110" i="1"/>
  <c r="IO111" i="1"/>
  <c r="IO112" i="1"/>
  <c r="IO113" i="1"/>
  <c r="IO114" i="1"/>
  <c r="IO115" i="1"/>
  <c r="EJ10" i="2"/>
  <c r="EK10" i="2"/>
  <c r="EJ11" i="2"/>
  <c r="EK11" i="2"/>
  <c r="EJ12" i="2"/>
  <c r="EK12" i="2"/>
  <c r="EJ13" i="2"/>
  <c r="EK13" i="2"/>
  <c r="EJ14" i="2"/>
  <c r="EK14" i="2"/>
  <c r="EJ15" i="2"/>
  <c r="EK15" i="2"/>
  <c r="EJ16" i="2"/>
  <c r="EK16" i="2"/>
  <c r="EJ17" i="2"/>
  <c r="EK17" i="2"/>
  <c r="EJ18" i="2"/>
  <c r="EK18" i="2"/>
  <c r="EJ19" i="2"/>
  <c r="EK19" i="2"/>
  <c r="EJ20" i="2"/>
  <c r="EK20" i="2"/>
  <c r="EJ21" i="2"/>
  <c r="EK21" i="2"/>
  <c r="EJ22" i="2"/>
  <c r="EK22" i="2"/>
  <c r="CT23" i="2"/>
  <c r="AW23" i="2" s="1"/>
  <c r="EK9" i="2"/>
  <c r="EJ9" i="2"/>
  <c r="CR11" i="2"/>
  <c r="CR9" i="2"/>
  <c r="CR10" i="2"/>
  <c r="CR12" i="2"/>
  <c r="CP13" i="2"/>
  <c r="CR13" i="2"/>
  <c r="CR14" i="2"/>
  <c r="CR15" i="2"/>
  <c r="CP16" i="2"/>
  <c r="CR16" i="2"/>
  <c r="CP17" i="2"/>
  <c r="CR17" i="2"/>
  <c r="CP18" i="2"/>
  <c r="CR18" i="2"/>
  <c r="CR19" i="2"/>
  <c r="CR20" i="2"/>
  <c r="CP21" i="2"/>
  <c r="CR21" i="2"/>
  <c r="CP22" i="2"/>
  <c r="CR22" i="2"/>
  <c r="CR23" i="2"/>
  <c r="CQ9" i="2"/>
  <c r="CP9" i="2"/>
  <c r="CO10" i="2"/>
  <c r="CO11" i="2"/>
  <c r="CO12" i="2"/>
  <c r="CO13" i="2"/>
  <c r="CO14" i="2"/>
  <c r="CO15" i="2"/>
  <c r="CO16" i="2"/>
  <c r="CO17" i="2"/>
  <c r="CO18" i="2"/>
  <c r="CO19" i="2"/>
  <c r="CO20" i="2"/>
  <c r="CO21" i="2"/>
  <c r="CO22" i="2"/>
  <c r="CO23" i="2"/>
  <c r="CO9" i="2"/>
  <c r="CQ11" i="2"/>
  <c r="CP11" i="2"/>
  <c r="CQ12" i="2"/>
  <c r="CP12" i="2"/>
  <c r="CQ13" i="2"/>
  <c r="CQ14" i="2"/>
  <c r="CP14" i="2"/>
  <c r="CQ15" i="2"/>
  <c r="CP15" i="2"/>
  <c r="CQ16" i="2"/>
  <c r="CQ17" i="2"/>
  <c r="CS17" i="2" s="1"/>
  <c r="CQ18" i="2"/>
  <c r="CQ19" i="2"/>
  <c r="CP19" i="2"/>
  <c r="CQ20" i="2"/>
  <c r="CP20" i="2"/>
  <c r="CQ21" i="2"/>
  <c r="CQ22" i="2"/>
  <c r="CQ23" i="2"/>
  <c r="CP23" i="2"/>
  <c r="CP10" i="2"/>
  <c r="EH11" i="2"/>
  <c r="EH13" i="2"/>
  <c r="EH14" i="2"/>
  <c r="EH15" i="2"/>
  <c r="EH16" i="2"/>
  <c r="EH17" i="2"/>
  <c r="EH18" i="2"/>
  <c r="EH19" i="2"/>
  <c r="EH20" i="2"/>
  <c r="EH21" i="2"/>
  <c r="EH22" i="2"/>
  <c r="EH23" i="2"/>
  <c r="IO116" i="1"/>
  <c r="AX11" i="2"/>
  <c r="AX12" i="2"/>
  <c r="AX13" i="2"/>
  <c r="AX14" i="2"/>
  <c r="AX15" i="2"/>
  <c r="AX16" i="2"/>
  <c r="AX17" i="2"/>
  <c r="AX18" i="2"/>
  <c r="AX19" i="2"/>
  <c r="AX20" i="2"/>
  <c r="AX21" i="2"/>
  <c r="AX22" i="2"/>
  <c r="AX23" i="2"/>
  <c r="JL7" i="1"/>
  <c r="ED10" i="2"/>
  <c r="EE10" i="2" s="1"/>
  <c r="ED11" i="2"/>
  <c r="EE11" i="2" s="1"/>
  <c r="ED12" i="2"/>
  <c r="EE12" i="2" s="1"/>
  <c r="ED13" i="2"/>
  <c r="EE13" i="2" s="1"/>
  <c r="ED14" i="2"/>
  <c r="EE14" i="2" s="1"/>
  <c r="ED15" i="2"/>
  <c r="EE15" i="2" s="1"/>
  <c r="ED16" i="2"/>
  <c r="EE16" i="2" s="1"/>
  <c r="ED17" i="2"/>
  <c r="EE17" i="2" s="1"/>
  <c r="ED18" i="2"/>
  <c r="EE18" i="2" s="1"/>
  <c r="ED19" i="2"/>
  <c r="EE19" i="2" s="1"/>
  <c r="ED20" i="2"/>
  <c r="EE20" i="2" s="1"/>
  <c r="ED21" i="2"/>
  <c r="EE21" i="2" s="1"/>
  <c r="ED22" i="2"/>
  <c r="EE22" i="2" s="1"/>
  <c r="ED23" i="2"/>
  <c r="EE23" i="2" s="1"/>
  <c r="ED9" i="2"/>
  <c r="EE9" i="2" s="1"/>
  <c r="DF11" i="2"/>
  <c r="DF12" i="2"/>
  <c r="DF13" i="2"/>
  <c r="DF14" i="2"/>
  <c r="DF15" i="2"/>
  <c r="DF16" i="2"/>
  <c r="DF17" i="2"/>
  <c r="DF18" i="2"/>
  <c r="DF19" i="2"/>
  <c r="DF20" i="2"/>
  <c r="DF21" i="2"/>
  <c r="DF22" i="2"/>
  <c r="DF23" i="2"/>
  <c r="N8" i="1"/>
  <c r="DU10" i="2"/>
  <c r="DV10" i="2"/>
  <c r="DU11" i="2"/>
  <c r="DV11" i="2"/>
  <c r="DU12" i="2"/>
  <c r="DV12" i="2"/>
  <c r="DU13" i="2"/>
  <c r="DV13" i="2"/>
  <c r="DU14" i="2"/>
  <c r="DV14" i="2"/>
  <c r="DU15" i="2"/>
  <c r="DV15" i="2"/>
  <c r="DU16" i="2"/>
  <c r="DV16" i="2"/>
  <c r="DU17" i="2"/>
  <c r="DV17" i="2"/>
  <c r="DU18" i="2"/>
  <c r="DV18" i="2"/>
  <c r="DU19" i="2"/>
  <c r="DV19" i="2"/>
  <c r="DU20" i="2"/>
  <c r="DV20" i="2"/>
  <c r="DU21" i="2"/>
  <c r="DV21" i="2"/>
  <c r="DU22" i="2"/>
  <c r="DV22" i="2"/>
  <c r="DU23" i="2"/>
  <c r="DV23" i="2"/>
  <c r="DV9" i="2"/>
  <c r="DU9" i="2"/>
  <c r="HC8" i="1"/>
  <c r="HB8" i="1"/>
  <c r="HD8" i="1"/>
  <c r="CQ10" i="2"/>
  <c r="CN10" i="2"/>
  <c r="CN11" i="2"/>
  <c r="CN12" i="2"/>
  <c r="CN13" i="2"/>
  <c r="CN14" i="2"/>
  <c r="CN15" i="2"/>
  <c r="CN16" i="2"/>
  <c r="CN17" i="2"/>
  <c r="CN18" i="2"/>
  <c r="CN19" i="2"/>
  <c r="CN20" i="2"/>
  <c r="CN21" i="2"/>
  <c r="CN22" i="2"/>
  <c r="CN23" i="2"/>
  <c r="BM10" i="2"/>
  <c r="BM11" i="2"/>
  <c r="BM12" i="2"/>
  <c r="BM13" i="2"/>
  <c r="BM14" i="2"/>
  <c r="BM15" i="2"/>
  <c r="BM16" i="2"/>
  <c r="BM17" i="2"/>
  <c r="BM18" i="2"/>
  <c r="BM19" i="2"/>
  <c r="BM20" i="2"/>
  <c r="BM21" i="2"/>
  <c r="BM22" i="2"/>
  <c r="BM23" i="2"/>
  <c r="BL10" i="2"/>
  <c r="BL11" i="2"/>
  <c r="BL12" i="2"/>
  <c r="BL13" i="2"/>
  <c r="BL14" i="2"/>
  <c r="BL15" i="2"/>
  <c r="BL16" i="2"/>
  <c r="BL17" i="2"/>
  <c r="BL18" i="2"/>
  <c r="BL19" i="2"/>
  <c r="BL20" i="2"/>
  <c r="BL21" i="2"/>
  <c r="BL22" i="2"/>
  <c r="BL23" i="2"/>
  <c r="BM9" i="2"/>
  <c r="BL9" i="2"/>
  <c r="BK10" i="2"/>
  <c r="BK11" i="2"/>
  <c r="BK12" i="2"/>
  <c r="BK13" i="2"/>
  <c r="BK14" i="2"/>
  <c r="BK15" i="2"/>
  <c r="BK16" i="2"/>
  <c r="BK17" i="2"/>
  <c r="BK18" i="2"/>
  <c r="BK19" i="2"/>
  <c r="BK20" i="2"/>
  <c r="BK21" i="2"/>
  <c r="BK22" i="2"/>
  <c r="BK23" i="2"/>
  <c r="BK9" i="2"/>
  <c r="JL3" i="1"/>
  <c r="AX9" i="2" s="1"/>
  <c r="AX10" i="2"/>
  <c r="JL6" i="1"/>
  <c r="JL2" i="1"/>
  <c r="JL4" i="1"/>
  <c r="JL5" i="1"/>
  <c r="N4" i="1"/>
  <c r="BH10" i="2"/>
  <c r="BH11" i="2"/>
  <c r="BH12" i="2"/>
  <c r="BH13" i="2"/>
  <c r="BH14" i="2"/>
  <c r="BH15" i="2"/>
  <c r="BH16" i="2"/>
  <c r="BH17" i="2"/>
  <c r="BH18" i="2"/>
  <c r="BH19" i="2"/>
  <c r="BH20" i="2"/>
  <c r="BH21" i="2"/>
  <c r="BH22" i="2"/>
  <c r="BH23" i="2"/>
  <c r="BH9" i="2"/>
  <c r="DZ9" i="2"/>
  <c r="DZ10" i="2"/>
  <c r="DZ11" i="2"/>
  <c r="DZ12" i="2"/>
  <c r="DZ13" i="2"/>
  <c r="DZ14" i="2"/>
  <c r="DZ15" i="2"/>
  <c r="DZ16" i="2"/>
  <c r="DZ17" i="2"/>
  <c r="DZ18" i="2"/>
  <c r="DZ19" i="2"/>
  <c r="DZ20" i="2"/>
  <c r="DZ21" i="2"/>
  <c r="DZ22" i="2"/>
  <c r="DZ23" i="2"/>
  <c r="N3" i="1"/>
  <c r="DF9" i="2" s="1"/>
  <c r="DF10" i="2"/>
  <c r="N6" i="1"/>
  <c r="N2" i="1"/>
  <c r="N5" i="1"/>
  <c r="HC2" i="1"/>
  <c r="HD5" i="1"/>
  <c r="HB6" i="1"/>
  <c r="HD6" i="1"/>
  <c r="HC6" i="1"/>
  <c r="HC5" i="1"/>
  <c r="BJ10" i="2"/>
  <c r="BJ11" i="2"/>
  <c r="BJ12" i="2"/>
  <c r="BJ13" i="2"/>
  <c r="BJ14" i="2"/>
  <c r="BJ15" i="2"/>
  <c r="BJ16" i="2"/>
  <c r="BJ17" i="2"/>
  <c r="BJ18" i="2"/>
  <c r="BJ19" i="2"/>
  <c r="BJ20" i="2"/>
  <c r="BJ21" i="2"/>
  <c r="BJ22" i="2"/>
  <c r="BJ23" i="2"/>
  <c r="BJ9" i="2"/>
  <c r="DI17" i="2"/>
  <c r="DJ17" i="2" s="1"/>
  <c r="BW10" i="2"/>
  <c r="AT10" i="2" s="1"/>
  <c r="BX10" i="2"/>
  <c r="AT13" i="2"/>
  <c r="AT14" i="2"/>
  <c r="AT18" i="2"/>
  <c r="AT19" i="2"/>
  <c r="AT20" i="2"/>
  <c r="AT21" i="2"/>
  <c r="AT22" i="2"/>
  <c r="AT23" i="2"/>
  <c r="BW9" i="2"/>
  <c r="BX9" i="2"/>
  <c r="CH10" i="2"/>
  <c r="CH11" i="2"/>
  <c r="CH12" i="2"/>
  <c r="CH13" i="2"/>
  <c r="CH14" i="2"/>
  <c r="CH15" i="2"/>
  <c r="CH16" i="2"/>
  <c r="CH17" i="2"/>
  <c r="CH18" i="2"/>
  <c r="CH19" i="2"/>
  <c r="CH20" i="2"/>
  <c r="CH21" i="2"/>
  <c r="CH22" i="2"/>
  <c r="CH23" i="2"/>
  <c r="CH9" i="2"/>
  <c r="EC10" i="2"/>
  <c r="EC11" i="2"/>
  <c r="EC12" i="2"/>
  <c r="EC13" i="2"/>
  <c r="EC14" i="2"/>
  <c r="EC15" i="2"/>
  <c r="EC16" i="2"/>
  <c r="EC17" i="2"/>
  <c r="EC18" i="2"/>
  <c r="EC19" i="2"/>
  <c r="EC20" i="2"/>
  <c r="EC21" i="2"/>
  <c r="EC22" i="2"/>
  <c r="EC23" i="2"/>
  <c r="EC9" i="2"/>
  <c r="DD9" i="2"/>
  <c r="CD10" i="2"/>
  <c r="CD11" i="2"/>
  <c r="CD12" i="2"/>
  <c r="CD13" i="2"/>
  <c r="CD14" i="2"/>
  <c r="CD15" i="2"/>
  <c r="CD16" i="2"/>
  <c r="CD17" i="2"/>
  <c r="CD18" i="2"/>
  <c r="CD19" i="2"/>
  <c r="CD20" i="2"/>
  <c r="CD21" i="2"/>
  <c r="CD22" i="2"/>
  <c r="CD23" i="2"/>
  <c r="CD9" i="2"/>
  <c r="EA9" i="2"/>
  <c r="HB4" i="1"/>
  <c r="HB5" i="1"/>
  <c r="DX10" i="2"/>
  <c r="DX11" i="2"/>
  <c r="DX12" i="2"/>
  <c r="DX13" i="2"/>
  <c r="DX14" i="2"/>
  <c r="DX15" i="2"/>
  <c r="DX16" i="2"/>
  <c r="DX17" i="2"/>
  <c r="DX18" i="2"/>
  <c r="DX19" i="2"/>
  <c r="DX20" i="2"/>
  <c r="DX21" i="2"/>
  <c r="DX22" i="2"/>
  <c r="DX23" i="2"/>
  <c r="DX9" i="2"/>
  <c r="HD3" i="1"/>
  <c r="HD4" i="1"/>
  <c r="HD2" i="1"/>
  <c r="HC4" i="1"/>
  <c r="HC3" i="1"/>
  <c r="HB3" i="1"/>
  <c r="HB2" i="1"/>
  <c r="IO2" i="1"/>
  <c r="DT10" i="2"/>
  <c r="DT11" i="2"/>
  <c r="DT12" i="2"/>
  <c r="DT13" i="2"/>
  <c r="DT14" i="2"/>
  <c r="DT15" i="2"/>
  <c r="DT16" i="2"/>
  <c r="DT17" i="2"/>
  <c r="DT18" i="2"/>
  <c r="DT19" i="2"/>
  <c r="DT20" i="2"/>
  <c r="DT21" i="2"/>
  <c r="DT22" i="2"/>
  <c r="DT23" i="2"/>
  <c r="DT9" i="2"/>
  <c r="BX11" i="2"/>
  <c r="BW11" i="2"/>
  <c r="BW12" i="2"/>
  <c r="BW13" i="2"/>
  <c r="BX13" i="2"/>
  <c r="BX14" i="2"/>
  <c r="BW14" i="2"/>
  <c r="BX15" i="2"/>
  <c r="BW15" i="2"/>
  <c r="AT15" i="2" s="1"/>
  <c r="AY52" i="2"/>
  <c r="AY51" i="2"/>
  <c r="AY50" i="2"/>
  <c r="AY49" i="2"/>
  <c r="AY48" i="2"/>
  <c r="AY47" i="2"/>
  <c r="AY46" i="2"/>
  <c r="AY45" i="2"/>
  <c r="AY44" i="2"/>
  <c r="AY43" i="2"/>
  <c r="DS23" i="2"/>
  <c r="DR23" i="2"/>
  <c r="DQ23" i="2"/>
  <c r="DP23" i="2"/>
  <c r="DA23" i="2"/>
  <c r="CY23" i="2"/>
  <c r="CF23" i="2"/>
  <c r="CG23" i="2" s="1"/>
  <c r="BA23" i="2"/>
  <c r="BC23" i="2" s="1"/>
  <c r="BX23" i="2"/>
  <c r="BW23" i="2"/>
  <c r="BV23" i="2"/>
  <c r="BR23" i="2"/>
  <c r="BP23" i="2"/>
  <c r="BQ23" i="2" s="1"/>
  <c r="BO23" i="2"/>
  <c r="BN23" i="2"/>
  <c r="BI23" i="2"/>
  <c r="BE23" i="2"/>
  <c r="AE23" i="2"/>
  <c r="DS22" i="2"/>
  <c r="DR22" i="2"/>
  <c r="DQ22" i="2"/>
  <c r="DP22" i="2"/>
  <c r="DA22" i="2"/>
  <c r="CY22" i="2"/>
  <c r="CF22" i="2"/>
  <c r="CG22" i="2" s="1"/>
  <c r="BA22" i="2"/>
  <c r="CC22" i="2" s="1"/>
  <c r="BX22" i="2"/>
  <c r="BW22" i="2"/>
  <c r="BV22" i="2"/>
  <c r="BR22" i="2"/>
  <c r="BP22" i="2"/>
  <c r="BO22" i="2"/>
  <c r="BN22" i="2"/>
  <c r="BI22" i="2"/>
  <c r="BE22" i="2"/>
  <c r="AE22" i="2"/>
  <c r="DS21" i="2"/>
  <c r="DR21" i="2"/>
  <c r="DQ21" i="2"/>
  <c r="DP21" i="2"/>
  <c r="DA21" i="2"/>
  <c r="CY21" i="2"/>
  <c r="CF21" i="2"/>
  <c r="CG21" i="2" s="1"/>
  <c r="BA21" i="2"/>
  <c r="CC21" i="2" s="1"/>
  <c r="BX21" i="2"/>
  <c r="BW21" i="2"/>
  <c r="BV21" i="2"/>
  <c r="BR21" i="2"/>
  <c r="BP21" i="2"/>
  <c r="BO21" i="2"/>
  <c r="BN21" i="2"/>
  <c r="BI21" i="2"/>
  <c r="BE21" i="2"/>
  <c r="AE21" i="2"/>
  <c r="DS20" i="2"/>
  <c r="DR20" i="2"/>
  <c r="DQ20" i="2"/>
  <c r="DP20" i="2"/>
  <c r="DA20" i="2"/>
  <c r="CY20" i="2"/>
  <c r="CF20" i="2"/>
  <c r="CG20" i="2" s="1"/>
  <c r="BA20" i="2"/>
  <c r="CC20" i="2" s="1"/>
  <c r="BX20" i="2"/>
  <c r="BW20" i="2"/>
  <c r="BV20" i="2"/>
  <c r="BR20" i="2"/>
  <c r="BP20" i="2"/>
  <c r="BO20" i="2"/>
  <c r="BN20" i="2"/>
  <c r="BI20" i="2"/>
  <c r="BE20" i="2"/>
  <c r="AE20" i="2"/>
  <c r="DS19" i="2"/>
  <c r="DR19" i="2"/>
  <c r="DQ19" i="2"/>
  <c r="DP19" i="2"/>
  <c r="DA19" i="2"/>
  <c r="CY19" i="2"/>
  <c r="CF19" i="2"/>
  <c r="CG19" i="2" s="1"/>
  <c r="BA19" i="2"/>
  <c r="CC19" i="2" s="1"/>
  <c r="BX19" i="2"/>
  <c r="BW19" i="2"/>
  <c r="BV19" i="2"/>
  <c r="BR19" i="2"/>
  <c r="BP19" i="2"/>
  <c r="BO19" i="2"/>
  <c r="BN19" i="2"/>
  <c r="BI19" i="2"/>
  <c r="BE19" i="2"/>
  <c r="AE19" i="2"/>
  <c r="DS18" i="2"/>
  <c r="DR18" i="2"/>
  <c r="DQ18" i="2"/>
  <c r="DP18" i="2"/>
  <c r="DA18" i="2"/>
  <c r="CY18" i="2"/>
  <c r="CF18" i="2"/>
  <c r="CG18" i="2" s="1"/>
  <c r="BA18" i="2"/>
  <c r="CC18" i="2" s="1"/>
  <c r="BX18" i="2"/>
  <c r="BW18" i="2"/>
  <c r="BV18" i="2"/>
  <c r="BR18" i="2"/>
  <c r="BP18" i="2"/>
  <c r="BO18" i="2"/>
  <c r="BN18" i="2"/>
  <c r="BI18" i="2"/>
  <c r="BE18" i="2"/>
  <c r="AE18" i="2"/>
  <c r="DS17" i="2"/>
  <c r="DR17" i="2"/>
  <c r="DQ17" i="2"/>
  <c r="DP17" i="2"/>
  <c r="DA17" i="2"/>
  <c r="CY17" i="2"/>
  <c r="CF17" i="2"/>
  <c r="CG17" i="2" s="1"/>
  <c r="BA17" i="2"/>
  <c r="CC17" i="2" s="1"/>
  <c r="BX17" i="2"/>
  <c r="BW17" i="2"/>
  <c r="AT17" i="2" s="1"/>
  <c r="BV17" i="2"/>
  <c r="BR17" i="2"/>
  <c r="BP17" i="2"/>
  <c r="BO17" i="2"/>
  <c r="BN17" i="2"/>
  <c r="BI17" i="2"/>
  <c r="BE17" i="2"/>
  <c r="AE17" i="2"/>
  <c r="DS16" i="2"/>
  <c r="DR16" i="2"/>
  <c r="DQ16" i="2"/>
  <c r="DP16" i="2"/>
  <c r="DA16" i="2"/>
  <c r="CY16" i="2"/>
  <c r="CF16" i="2"/>
  <c r="CG16" i="2" s="1"/>
  <c r="BA16" i="2"/>
  <c r="CC16" i="2" s="1"/>
  <c r="BX16" i="2"/>
  <c r="BW16" i="2"/>
  <c r="AT16" i="2" s="1"/>
  <c r="BV16" i="2"/>
  <c r="BR16" i="2"/>
  <c r="BP16" i="2"/>
  <c r="BO16" i="2"/>
  <c r="BN16" i="2"/>
  <c r="BI16" i="2"/>
  <c r="BE16" i="2"/>
  <c r="AE16" i="2"/>
  <c r="DS15" i="2"/>
  <c r="DR15" i="2"/>
  <c r="DQ15" i="2"/>
  <c r="DP15" i="2"/>
  <c r="DA15" i="2"/>
  <c r="CY15" i="2"/>
  <c r="CF15" i="2"/>
  <c r="CG15" i="2" s="1"/>
  <c r="BA15" i="2"/>
  <c r="CC15" i="2" s="1"/>
  <c r="BV15" i="2"/>
  <c r="BR15" i="2"/>
  <c r="BP15" i="2"/>
  <c r="BO15" i="2"/>
  <c r="BN15" i="2"/>
  <c r="BI15" i="2"/>
  <c r="BE15" i="2"/>
  <c r="AE15" i="2"/>
  <c r="DS14" i="2"/>
  <c r="DR14" i="2"/>
  <c r="DQ14" i="2"/>
  <c r="DP14" i="2"/>
  <c r="DA14" i="2"/>
  <c r="CY14" i="2"/>
  <c r="CF14" i="2"/>
  <c r="CG14" i="2" s="1"/>
  <c r="BA14" i="2"/>
  <c r="BB14" i="2" s="1"/>
  <c r="BG14" i="2" s="1"/>
  <c r="BV14" i="2"/>
  <c r="BR14" i="2"/>
  <c r="BP14" i="2"/>
  <c r="BO14" i="2"/>
  <c r="BN14" i="2"/>
  <c r="BI14" i="2"/>
  <c r="BE14" i="2"/>
  <c r="AE14" i="2"/>
  <c r="DS13" i="2"/>
  <c r="DR13" i="2"/>
  <c r="DQ13" i="2"/>
  <c r="DP13" i="2"/>
  <c r="DA13" i="2"/>
  <c r="CY13" i="2"/>
  <c r="CF13" i="2"/>
  <c r="CG13" i="2" s="1"/>
  <c r="BA13" i="2"/>
  <c r="BC13" i="2" s="1"/>
  <c r="BV13" i="2"/>
  <c r="BR13" i="2"/>
  <c r="BP13" i="2"/>
  <c r="BO13" i="2"/>
  <c r="BN13" i="2"/>
  <c r="BI13" i="2"/>
  <c r="BE13" i="2"/>
  <c r="AE13" i="2"/>
  <c r="DS12" i="2"/>
  <c r="DR12" i="2"/>
  <c r="DQ12" i="2"/>
  <c r="DP12" i="2"/>
  <c r="DA12" i="2"/>
  <c r="CY12" i="2"/>
  <c r="CF12" i="2"/>
  <c r="CG12" i="2" s="1"/>
  <c r="BA12" i="2"/>
  <c r="BC12" i="2" s="1"/>
  <c r="BX12" i="2"/>
  <c r="BV12" i="2"/>
  <c r="BR12" i="2"/>
  <c r="BP12" i="2"/>
  <c r="BO12" i="2"/>
  <c r="BN12" i="2"/>
  <c r="BI12" i="2"/>
  <c r="BE12" i="2"/>
  <c r="AE12" i="2"/>
  <c r="AD2" i="2" s="1"/>
  <c r="DS11" i="2"/>
  <c r="DR11" i="2"/>
  <c r="DQ11" i="2"/>
  <c r="DP11" i="2"/>
  <c r="DA11" i="2"/>
  <c r="CY11" i="2"/>
  <c r="CF11" i="2"/>
  <c r="CG11" i="2" s="1"/>
  <c r="BA11" i="2"/>
  <c r="CC11" i="2" s="1"/>
  <c r="BV11" i="2"/>
  <c r="BR11" i="2"/>
  <c r="BP11" i="2"/>
  <c r="BQ11" i="2" s="1"/>
  <c r="BO11" i="2"/>
  <c r="BN11" i="2"/>
  <c r="BI11" i="2"/>
  <c r="BE11" i="2"/>
  <c r="AE11" i="2"/>
  <c r="DS10" i="2"/>
  <c r="DR10" i="2"/>
  <c r="DQ10" i="2"/>
  <c r="DP10" i="2"/>
  <c r="DA10" i="2"/>
  <c r="CY10" i="2"/>
  <c r="CF10" i="2"/>
  <c r="CG10" i="2" s="1"/>
  <c r="BA10" i="2"/>
  <c r="BB10" i="2" s="1"/>
  <c r="BV10" i="2"/>
  <c r="BR10" i="2"/>
  <c r="BP10" i="2"/>
  <c r="BO10" i="2"/>
  <c r="BN10" i="2"/>
  <c r="BI10" i="2"/>
  <c r="BE10" i="2"/>
  <c r="AE10" i="2"/>
  <c r="DS9" i="2"/>
  <c r="DR9" i="2"/>
  <c r="DQ9" i="2"/>
  <c r="DP9" i="2"/>
  <c r="DA9" i="2"/>
  <c r="CY9" i="2"/>
  <c r="CN9" i="2"/>
  <c r="CF9" i="2"/>
  <c r="CG9" i="2" s="1"/>
  <c r="BA9" i="2"/>
  <c r="CC9" i="2" s="1"/>
  <c r="BV9" i="2"/>
  <c r="BR9" i="2"/>
  <c r="BP9" i="2"/>
  <c r="BO9" i="2"/>
  <c r="BN9" i="2"/>
  <c r="BI9" i="2"/>
  <c r="BE9" i="2"/>
  <c r="AE9" i="2"/>
  <c r="AD4" i="2"/>
  <c r="BB20" i="2"/>
  <c r="BB18" i="2"/>
  <c r="AT12" i="2" l="1"/>
  <c r="AD2" i="11"/>
  <c r="AD2" i="12"/>
  <c r="AT11" i="2"/>
  <c r="DN13" i="2"/>
  <c r="DO13" i="2" s="1"/>
  <c r="BQ21" i="2"/>
  <c r="BQ22" i="2"/>
  <c r="DN17" i="2"/>
  <c r="DN11" i="2"/>
  <c r="AT9" i="2"/>
  <c r="BC15" i="2"/>
  <c r="DW23" i="2"/>
  <c r="BB13" i="2"/>
  <c r="BG13" i="2" s="1"/>
  <c r="BQ17" i="2"/>
  <c r="CS16" i="2"/>
  <c r="BB15" i="2"/>
  <c r="BG15" i="2" s="1"/>
  <c r="CS23" i="2"/>
  <c r="BB19" i="2"/>
  <c r="BC19" i="2"/>
  <c r="BC18" i="2"/>
  <c r="BC10" i="2"/>
  <c r="DN20" i="2"/>
  <c r="BQ13" i="2"/>
  <c r="BC22" i="2"/>
  <c r="BQ20" i="2"/>
  <c r="CS15" i="2"/>
  <c r="CS9" i="2"/>
  <c r="CC23" i="2"/>
  <c r="DN16" i="2"/>
  <c r="DN22" i="2"/>
  <c r="DO22" i="2" s="1"/>
  <c r="BB17" i="2"/>
  <c r="BG17" i="2" s="1"/>
  <c r="BB12" i="2"/>
  <c r="BG12" i="2" s="1"/>
  <c r="BC17" i="2"/>
  <c r="BB9" i="2"/>
  <c r="BG9" i="2" s="1"/>
  <c r="BB21" i="2"/>
  <c r="BG21" i="2" s="1"/>
  <c r="BB22" i="2"/>
  <c r="BG22" i="2" s="1"/>
  <c r="BQ10" i="2"/>
  <c r="DN12" i="2"/>
  <c r="DO12" i="2" s="1"/>
  <c r="DN18" i="2"/>
  <c r="DO18" i="2" s="1"/>
  <c r="DN21" i="2"/>
  <c r="DO21" i="2" s="1"/>
  <c r="CS22" i="2"/>
  <c r="BQ14" i="2"/>
  <c r="BB16" i="2"/>
  <c r="BG16" i="2" s="1"/>
  <c r="CS18" i="2"/>
  <c r="CS13" i="2"/>
  <c r="CS11" i="2"/>
  <c r="DO20" i="2"/>
  <c r="BC9" i="2"/>
  <c r="CC13" i="2"/>
  <c r="CC10" i="2"/>
  <c r="CC12" i="2"/>
  <c r="BC16" i="2"/>
  <c r="BQ9" i="2"/>
  <c r="CS20" i="2"/>
  <c r="CS12" i="2"/>
  <c r="DO16" i="2"/>
  <c r="DN9" i="2"/>
  <c r="DO9" i="2" s="1"/>
  <c r="CS10" i="2"/>
  <c r="CS19" i="2"/>
  <c r="CS14" i="2"/>
  <c r="EM12" i="2"/>
  <c r="AE1" i="2" s="1"/>
  <c r="DW22" i="2"/>
  <c r="DW12" i="2"/>
  <c r="EL13" i="2"/>
  <c r="CT13" i="2" s="1"/>
  <c r="AW13" i="2" s="1"/>
  <c r="BQ19" i="2"/>
  <c r="DO11" i="2"/>
  <c r="BC20" i="2"/>
  <c r="BQ16" i="2"/>
  <c r="BG18" i="2"/>
  <c r="BB23" i="2"/>
  <c r="BG23" i="2" s="1"/>
  <c r="BQ18" i="2"/>
  <c r="DN23" i="2"/>
  <c r="DO23" i="2" s="1"/>
  <c r="DN19" i="2"/>
  <c r="DO19" i="2" s="1"/>
  <c r="DN15" i="2"/>
  <c r="DO15" i="2" s="1"/>
  <c r="CS21" i="2"/>
  <c r="BG20" i="2"/>
  <c r="AD3" i="2"/>
  <c r="BQ15" i="2"/>
  <c r="CC14" i="2"/>
  <c r="BQ12" i="2"/>
  <c r="DO17" i="2"/>
  <c r="DN14" i="2"/>
  <c r="DO14" i="2" s="1"/>
  <c r="DN10" i="2"/>
  <c r="DO10" i="2" s="1"/>
  <c r="BG19" i="2"/>
  <c r="EL9" i="2"/>
  <c r="CT9" i="2" s="1"/>
  <c r="AW9" i="2" s="1"/>
  <c r="CM13" i="2"/>
  <c r="EA6" i="2" s="1"/>
  <c r="EA11" i="2" s="1"/>
  <c r="M6" i="2" s="1"/>
  <c r="EL21" i="2"/>
  <c r="CT21" i="2" s="1"/>
  <c r="AW21" i="2" s="1"/>
  <c r="EL19" i="2"/>
  <c r="CT19" i="2" s="1"/>
  <c r="AW19" i="2" s="1"/>
  <c r="EL17" i="2"/>
  <c r="CT17" i="2" s="1"/>
  <c r="AW17" i="2" s="1"/>
  <c r="EL15" i="2"/>
  <c r="CT15" i="2" s="1"/>
  <c r="AW15" i="2" s="1"/>
  <c r="EL11" i="2"/>
  <c r="CT11" i="2" s="1"/>
  <c r="AW11" i="2" s="1"/>
  <c r="EL22" i="2"/>
  <c r="CT22" i="2" s="1"/>
  <c r="AW22" i="2" s="1"/>
  <c r="EL20" i="2"/>
  <c r="CT20" i="2" s="1"/>
  <c r="AW20" i="2" s="1"/>
  <c r="EL18" i="2"/>
  <c r="CT18" i="2" s="1"/>
  <c r="AW18" i="2" s="1"/>
  <c r="EL16" i="2"/>
  <c r="CT16" i="2" s="1"/>
  <c r="AW16" i="2" s="1"/>
  <c r="EL14" i="2"/>
  <c r="CT14" i="2" s="1"/>
  <c r="AW14" i="2" s="1"/>
  <c r="EL12" i="2"/>
  <c r="CT12" i="2" s="1"/>
  <c r="AW12" i="2" s="1"/>
  <c r="EL10" i="2"/>
  <c r="CT10" i="2" s="1"/>
  <c r="AW10" i="2" s="1"/>
  <c r="DW21" i="2"/>
  <c r="DW19" i="2"/>
  <c r="DW17" i="2"/>
  <c r="DW15" i="2"/>
  <c r="DW13" i="2"/>
  <c r="DW11" i="2"/>
  <c r="DW9" i="2"/>
  <c r="DW20" i="2"/>
  <c r="DW18" i="2"/>
  <c r="DW16" i="2"/>
  <c r="DW14" i="2"/>
  <c r="DW10" i="2"/>
  <c r="BG10" i="2"/>
  <c r="DJ24" i="2"/>
  <c r="Y7" i="2" s="1"/>
  <c r="BB11" i="2"/>
  <c r="BG11" i="2" s="1"/>
  <c r="BC21" i="2"/>
  <c r="BC11" i="2"/>
  <c r="BC14" i="2"/>
  <c r="AE1" i="12" l="1"/>
  <c r="AE1"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PWD</author>
  </authors>
  <commentList>
    <comment ref="C8" authorId="0" shapeId="0" xr:uid="{C6C10D01-F2DF-4E2D-BB39-211BC721AEB1}">
      <text>
        <r>
          <rPr>
            <sz val="8"/>
            <color indexed="81"/>
            <rFont val="Tahoma"/>
            <family val="2"/>
          </rPr>
          <t xml:space="preserve">Minimum Width is 180mm.
Maximum Fauxwood Standard Size 
Width is 650mm.
Maximum Fauxwood Designer Eco Width with 
63mm Blades is 900mm.
Maximum Fauxwood Designer Eco Width with 
89mm Blades is 900mm.
Maximum Fauxwood Designer Eco Plus Width with 
63mm Blades is 950mm.
Maximum Fauxwood Designer Eco Plus Width with 
89mm Blades is 950mm.
Maximum Fauxwood Designer Eco Night 
Width is 650mm.
Maximum Luvre Width is 950mm.
Fauxwood Designer Eco &amp; 
Fauxwood Designer Eco Plus Panels 
with a Width larger than 650mm will require 
Aluminium Inserts.
Conditions apply.
</t>
        </r>
        <r>
          <rPr>
            <i/>
            <sz val="8"/>
            <color indexed="81"/>
            <rFont val="Tahoma"/>
            <family val="2"/>
          </rPr>
          <t>Please note: 
Larger Panels may sometimes require lifting in to the frame.</t>
        </r>
      </text>
    </comment>
    <comment ref="D8" authorId="0" shapeId="0" xr:uid="{00000000-0006-0000-0000-000003000000}">
      <text>
        <r>
          <rPr>
            <sz val="8"/>
            <color indexed="81"/>
            <rFont val="Tahoma"/>
            <family val="2"/>
          </rPr>
          <t>Minimum Height is 350mm.
Maximum Fauxwood Height is 2600mm.</t>
        </r>
      </text>
    </comment>
    <comment ref="E8" authorId="0" shapeId="0" xr:uid="{00000000-0006-0000-0000-000004000000}">
      <text>
        <r>
          <rPr>
            <sz val="8"/>
            <color indexed="81"/>
            <rFont val="Tahoma"/>
            <family val="2"/>
          </rPr>
          <t xml:space="preserve">In - Inside or Reveal Fit
Out - Outside or Face Fit
Alternative Option:
MS - Make Size
Panel Only Option
</t>
        </r>
        <r>
          <rPr>
            <i/>
            <sz val="8"/>
            <color indexed="81"/>
            <rFont val="Tahoma"/>
            <family val="2"/>
          </rPr>
          <t>(Used for specific requirements only)</t>
        </r>
      </text>
    </comment>
    <comment ref="F8" authorId="0" shapeId="0" xr:uid="{00000000-0006-0000-0000-000005000000}">
      <text>
        <r>
          <rPr>
            <sz val="8"/>
            <color indexed="81"/>
            <rFont val="Tahoma"/>
            <family val="2"/>
          </rPr>
          <t>Quantity is the number of Panels 
within the opening. 
If ordering Make Size (MS), 
this will be the number of Panels 
at this size.</t>
        </r>
      </text>
    </comment>
    <comment ref="G8" authorId="0" shapeId="0" xr:uid="{3FF9911E-3950-4B28-87B7-9910C3FB0D6A}">
      <text>
        <r>
          <rPr>
            <sz val="8"/>
            <color indexed="81"/>
            <rFont val="Tahoma"/>
            <family val="2"/>
          </rPr>
          <t>Fauxwood Designer Eco will be made with the standard profile 
Bottom Rail,  Mid Rail &amp; Top Rail.
Fauxwood Designer Eco Plus will be made with the 
reinforced curved profile Bottom Rail, Mid Rail &amp; Top Rail.
Fauxwood Designer Eco Night will be made with the 
curved grooved profile Bottom Rail, Mid Rail &amp; Top Rail.
Luvre will be made with the reinforced
curved profile Bottom Rail, Mid Rail &amp; Top Rail.
Fauxwood Designer Eco Plus, Fauxwood Designer Eco Night &amp; Luvre 
Surcharge applies.</t>
        </r>
      </text>
    </comment>
    <comment ref="H8" authorId="0" shapeId="0" xr:uid="{576B0C73-4A6A-4F2E-9974-B07E07C0C958}">
      <text>
        <r>
          <rPr>
            <sz val="8"/>
            <color indexed="81"/>
            <rFont val="Tahoma"/>
            <family val="2"/>
          </rPr>
          <t xml:space="preserve">Fauxwood Designer Colours options available;
Standard Colours;
Bright White
Classic White
Snow White
Super White
Vanilla
Specialty Colours;
Ceylon
Earl Grey
French White
Infinite White
Polar White
Quiet White
Snow Gum Grey
Snowy Mountains White
</t>
        </r>
        <r>
          <rPr>
            <i/>
            <sz val="8"/>
            <color indexed="81"/>
            <rFont val="Tahoma"/>
            <family val="2"/>
          </rPr>
          <t>Specialty Colours Surcharge applies.</t>
        </r>
        <r>
          <rPr>
            <sz val="8"/>
            <color indexed="81"/>
            <rFont val="Tahoma"/>
            <family val="2"/>
          </rPr>
          <t xml:space="preserve">
Luvre with Therme &amp; Scratch Resistant Paint 
Colours options available;
Snow White
Super White
</t>
        </r>
      </text>
    </comment>
    <comment ref="J8" authorId="0" shapeId="0" xr:uid="{2F7462D5-BADE-4C1B-B1BE-359444FB86D5}">
      <text>
        <r>
          <rPr>
            <sz val="8"/>
            <color indexed="81"/>
            <rFont val="Tahoma"/>
            <family val="2"/>
          </rPr>
          <t>Fauxwood Designer Eco &amp; 
Fauxwood Designer Eco Plus 
Blade sizes options are;
63mm
89mm
Fauxwood Designer Eco Night  
Blade sizes options are;
92mm
Luvre Blade sizes options are;
89mm
114mm</t>
        </r>
      </text>
    </comment>
    <comment ref="K8" authorId="0" shapeId="0" xr:uid="{00000000-0006-0000-0000-000007000000}">
      <text>
        <r>
          <rPr>
            <sz val="8"/>
            <color indexed="81"/>
            <rFont val="Tahoma"/>
            <family val="2"/>
          </rPr>
          <t>Mid Rail is required on Fauxwood Panels over 1500mm.
Cell will highlight yellow when Mid Rail is required.
Only one Critical Mid Rail is allowed.
A Mid Rail that is not marked "Critical" may be moved up or down 
up to 40mm to stop any gaps and increase/decrease the blade quantity.
Fauxwood Designer Eco will be made with the standard profile 
Bottom Rail,  Mid Rail &amp; Top Rail.
Fauxwood Designer Eco Plus will be made with the 
reinforced curved profile Bottom Rail, Mid Rail &amp; Top Rail.
Fauxwood Designer Eco Night will be made with the 
curved grooved profile Bottom Rail, Mid Rail &amp; Top Rail.
Luvre will be made with the reinforced
curved profile Bottom Rail, Mid Rail &amp; Top Rail.
Fauxwood Designer Eco Plus, Fauxwood Designer Eco Night &amp; Luvre Surcharge applies.</t>
        </r>
      </text>
    </comment>
    <comment ref="L8" authorId="0" shapeId="0" xr:uid="{C56FB615-E05E-4B4B-A451-960BA6E64097}">
      <text>
        <r>
          <rPr>
            <sz val="8"/>
            <color indexed="81"/>
            <rFont val="Tahoma"/>
            <family val="2"/>
          </rPr>
          <t xml:space="preserve">The Fauxwood Designer Eco, 
Fauxwood Designer Eco Plus 
&amp; Luvre Window Type options are;
Standard
Bay Window
Corner Window
Door Cut Out
Shaped Arch
Shaped Hexagon
Shaped Octagon
Shaped Oval
Shaped Parallelogram
Shaped Raked
Shaped Round
Shaped Sunburst
Shaped Triangle
These Shapes are not available
with the Rack &amp; Pinion Tiltrod;
Shaped Arch
Shaped Hexagon
Shaped Octagon
Shaped Oval
Shaped Round
Shaped Sunburst
The Fauxwood Designer Eco Night Window Type 
options are;
Standard
Bay Window
Corner Window
</t>
        </r>
        <r>
          <rPr>
            <i/>
            <sz val="8"/>
            <color indexed="81"/>
            <rFont val="Tahoma"/>
            <family val="2"/>
          </rPr>
          <t xml:space="preserve">
</t>
        </r>
        <r>
          <rPr>
            <sz val="8"/>
            <color indexed="81"/>
            <rFont val="Tahoma"/>
            <family val="2"/>
          </rPr>
          <t>Shaped Shutters will need the Panel Layout to be 
compatible with the Hidden Tiltrod system.</t>
        </r>
      </text>
    </comment>
    <comment ref="M8" authorId="0" shapeId="0" xr:uid="{550DB3E8-FFA4-438C-8047-3404F3CADD72}">
      <text>
        <r>
          <rPr>
            <sz val="8"/>
            <color indexed="81"/>
            <rFont val="Tahoma"/>
            <family val="2"/>
          </rPr>
          <t>Mounting Method is dependent 
on  MS, In Or Out &amp; Product.
For IN &amp; Fauxwood Designer Eco,  
Fauxwood Designer Eco Plus 
&amp; Luvre the options are;
Double Hinged
Fixed
Hinged
Pivot Hinged
Sliding
Track Bi Fold
For OUT &amp; Fauxwood Designer Eco,  
Fauxwood Designer Eco Plus 
&amp; Luvre the options are;
Double Hinged
Hinged
Pivot Hinged
Sliding
Track Bi Fold
For IN &amp; Fauxwood Designer Eco Night 
the options are;
Fixed
Hinged
For OUT &amp; Fauxwood Designer Eco Night 
the options are;
Fixed
Hinged
For MS, the options are;
N/A
Pivot Hinged is not recommended for 
Designer Eco Plus or Luvre.</t>
        </r>
      </text>
    </comment>
    <comment ref="N8" authorId="0" shapeId="0" xr:uid="{372F4EAB-EC88-4A95-8BF9-7EDB50C63FD2}">
      <text>
        <r>
          <rPr>
            <sz val="8"/>
            <color indexed="81"/>
            <rFont val="Tahoma"/>
            <family val="2"/>
          </rPr>
          <t>For Sliding Track System options are;
Top Hung (Original System)
Bottom Wheel (New System)
The Top Hung (Original System) uses 
Top Wheels Mounting.
The Bottom Wheel (New System) uses a 
U Channel at the Top and 
Wheels at the Bottom.
This option cannot have a Floor Guide or 
Track On Board.</t>
        </r>
      </text>
    </comment>
    <comment ref="O8" authorId="0" shapeId="0" xr:uid="{00000000-0006-0000-0000-000008000000}">
      <text>
        <r>
          <rPr>
            <sz val="8"/>
            <color indexed="81"/>
            <rFont val="Tahoma"/>
            <family val="2"/>
          </rPr>
          <t>Please refer to the Shutter Manual 
when selecting Layout Code.
The list provides the most common options, 
which are dependent on Mounting Method.
More complex Layout Codes can still be entered manually.</t>
        </r>
      </text>
    </comment>
    <comment ref="P8" authorId="0" shapeId="0" xr:uid="{E6FDCD2B-2CC8-4B4C-AD99-BCB4E863ECF5}">
      <text>
        <r>
          <rPr>
            <sz val="8"/>
            <color indexed="81"/>
            <rFont val="Tahoma"/>
            <family val="2"/>
          </rPr>
          <t>Frame Type is dependent on
 Mounting Method.
If a Flat (unbeaded) Small L Frame 
is selected, a matching Stile &amp; T Post can be 
ordered in the Stile &amp; T Post column.</t>
        </r>
      </text>
    </comment>
    <comment ref="V8" authorId="0" shapeId="0" xr:uid="{DEE54BF7-AA2E-4755-944C-CA81F8AAF751}">
      <text>
        <r>
          <rPr>
            <sz val="8"/>
            <color indexed="81"/>
            <rFont val="Tahoma"/>
            <family val="2"/>
          </rPr>
          <t>This option is dependent on the 
Material &amp; Product 
and will only be available once this 
option is selected.
For Fauxwood Designer Eco
&amp; Fauxwood Designer Eco Plus 
the options are;
Hidden
Centre
Off-Set
Rack &amp; Pinion
These Shapes are not available
with the Rack &amp; Pinion Tiltrod;
Shaped Arch
Shaped Hexagon
Shaped Octagon
Shaped Oval
Shaped Round
Shaped Sunburst
For Fauxwood Designer Eco Night
the options are;
Hidden
For Luvre the options are;
Hidden</t>
        </r>
      </text>
    </comment>
    <comment ref="W8" authorId="0" shapeId="0" xr:uid="{13B42750-DB5B-4468-A82A-4C35F94F464B}">
      <text>
        <r>
          <rPr>
            <sz val="8"/>
            <color indexed="81"/>
            <rFont val="Tahoma"/>
            <family val="2"/>
          </rPr>
          <t xml:space="preserve">If no Hinge Colour is selected, 
then the default Hinge Colour and hardware 
will be supplied. 
The Hinge Colour options are;
Default
Stainless Steel
N/A
When Default is selected, the Hinge will be supplied 
as per the matching Hinge Colour list below;
Shutter Colour - </t>
        </r>
        <r>
          <rPr>
            <i/>
            <sz val="8"/>
            <color indexed="81"/>
            <rFont val="Tahoma"/>
            <family val="2"/>
          </rPr>
          <t>Hinge Colour</t>
        </r>
        <r>
          <rPr>
            <sz val="8"/>
            <color indexed="81"/>
            <rFont val="Tahoma"/>
            <family val="2"/>
          </rPr>
          <t xml:space="preserve">
   Bright White - </t>
        </r>
        <r>
          <rPr>
            <i/>
            <sz val="8"/>
            <color indexed="81"/>
            <rFont val="Tahoma"/>
            <family val="2"/>
          </rPr>
          <t>Bright White</t>
        </r>
        <r>
          <rPr>
            <sz val="8"/>
            <color indexed="81"/>
            <rFont val="Tahoma"/>
            <family val="2"/>
          </rPr>
          <t xml:space="preserve">
Classic White - </t>
        </r>
        <r>
          <rPr>
            <i/>
            <sz val="8"/>
            <color indexed="81"/>
            <rFont val="Tahoma"/>
            <family val="2"/>
          </rPr>
          <t>White</t>
        </r>
        <r>
          <rPr>
            <sz val="8"/>
            <color indexed="81"/>
            <rFont val="Tahoma"/>
            <family val="2"/>
          </rPr>
          <t xml:space="preserve">
Snow White - </t>
        </r>
        <r>
          <rPr>
            <i/>
            <sz val="8"/>
            <color indexed="81"/>
            <rFont val="Tahoma"/>
            <family val="2"/>
          </rPr>
          <t>Snow White</t>
        </r>
        <r>
          <rPr>
            <sz val="8"/>
            <color indexed="81"/>
            <rFont val="Tahoma"/>
            <family val="2"/>
          </rPr>
          <t xml:space="preserve">
Super White - </t>
        </r>
        <r>
          <rPr>
            <i/>
            <sz val="8"/>
            <color indexed="81"/>
            <rFont val="Tahoma"/>
            <family val="2"/>
          </rPr>
          <t>Snow White</t>
        </r>
        <r>
          <rPr>
            <sz val="8"/>
            <color indexed="81"/>
            <rFont val="Tahoma"/>
            <family val="2"/>
          </rPr>
          <t xml:space="preserve">
Vanilla - </t>
        </r>
        <r>
          <rPr>
            <i/>
            <sz val="8"/>
            <color indexed="81"/>
            <rFont val="Tahoma"/>
            <family val="2"/>
          </rPr>
          <t xml:space="preserve">Ivory
</t>
        </r>
        <r>
          <rPr>
            <sz val="8"/>
            <color indexed="81"/>
            <rFont val="Tahoma"/>
            <family val="2"/>
          </rPr>
          <t xml:space="preserve">Ceylon - </t>
        </r>
        <r>
          <rPr>
            <i/>
            <sz val="8"/>
            <color indexed="81"/>
            <rFont val="Tahoma"/>
            <family val="2"/>
          </rPr>
          <t>Ceylon</t>
        </r>
        <r>
          <rPr>
            <sz val="8"/>
            <color indexed="81"/>
            <rFont val="Tahoma"/>
            <family val="2"/>
          </rPr>
          <t xml:space="preserve">
Earl Grey - </t>
        </r>
        <r>
          <rPr>
            <i/>
            <sz val="8"/>
            <color indexed="81"/>
            <rFont val="Tahoma"/>
            <family val="2"/>
          </rPr>
          <t>Earl Grey</t>
        </r>
        <r>
          <rPr>
            <sz val="8"/>
            <color indexed="81"/>
            <rFont val="Tahoma"/>
            <family val="2"/>
          </rPr>
          <t xml:space="preserve">
French White - </t>
        </r>
        <r>
          <rPr>
            <i/>
            <sz val="8"/>
            <color indexed="81"/>
            <rFont val="Tahoma"/>
            <family val="2"/>
          </rPr>
          <t>French White</t>
        </r>
        <r>
          <rPr>
            <sz val="8"/>
            <color indexed="81"/>
            <rFont val="Tahoma"/>
            <family val="2"/>
          </rPr>
          <t xml:space="preserve">
Infinite White -</t>
        </r>
        <r>
          <rPr>
            <i/>
            <sz val="8"/>
            <color indexed="81"/>
            <rFont val="Tahoma"/>
            <family val="2"/>
          </rPr>
          <t xml:space="preserve"> Infinite White</t>
        </r>
        <r>
          <rPr>
            <sz val="8"/>
            <color indexed="81"/>
            <rFont val="Tahoma"/>
            <family val="2"/>
          </rPr>
          <t xml:space="preserve">
Polar White - </t>
        </r>
        <r>
          <rPr>
            <i/>
            <sz val="8"/>
            <color indexed="81"/>
            <rFont val="Tahoma"/>
            <family val="2"/>
          </rPr>
          <t>Polar White</t>
        </r>
        <r>
          <rPr>
            <sz val="8"/>
            <color indexed="81"/>
            <rFont val="Tahoma"/>
            <family val="2"/>
          </rPr>
          <t xml:space="preserve">
Quiet White - </t>
        </r>
        <r>
          <rPr>
            <i/>
            <sz val="8"/>
            <color indexed="81"/>
            <rFont val="Tahoma"/>
            <family val="2"/>
          </rPr>
          <t>Quiet White</t>
        </r>
        <r>
          <rPr>
            <sz val="8"/>
            <color indexed="81"/>
            <rFont val="Tahoma"/>
            <family val="2"/>
          </rPr>
          <t xml:space="preserve">
Snow Gum Grey - </t>
        </r>
        <r>
          <rPr>
            <i/>
            <sz val="8"/>
            <color indexed="81"/>
            <rFont val="Tahoma"/>
            <family val="2"/>
          </rPr>
          <t>Snow Gum Grey</t>
        </r>
        <r>
          <rPr>
            <sz val="8"/>
            <color indexed="81"/>
            <rFont val="Tahoma"/>
            <family val="2"/>
          </rPr>
          <t xml:space="preserve">
Snowy Mountains White - </t>
        </r>
        <r>
          <rPr>
            <i/>
            <sz val="8"/>
            <color indexed="81"/>
            <rFont val="Tahoma"/>
            <family val="2"/>
          </rPr>
          <t>Snowy Mountains White</t>
        </r>
        <r>
          <rPr>
            <sz val="8"/>
            <color indexed="81"/>
            <rFont val="Tahoma"/>
            <family val="2"/>
          </rPr>
          <t xml:space="preserve">
For standard Shutters in Fauxwood Designer Eco 
Standard 77mm Hinges will be used.
For standard Shutters in Fauxwood Designer Eco Plus, 
Fauxwood Designer Eco Night &amp; Luvre
Standard 90mm Hinges will be used.
The Pivot Hinged Colour options are;
White
Stainless Steel
Please refer to the Shutter Manual. 
</t>
        </r>
        <r>
          <rPr>
            <i/>
            <sz val="8"/>
            <color indexed="81"/>
            <rFont val="Tahoma"/>
            <family val="2"/>
          </rPr>
          <t>Stainless Steel Surcharge applies.</t>
        </r>
      </text>
    </comment>
    <comment ref="X8" authorId="0" shapeId="0" xr:uid="{B0580996-9349-4B1F-8A56-095988D4E671}">
      <text>
        <r>
          <rPr>
            <sz val="8"/>
            <color indexed="81"/>
            <rFont val="Tahoma"/>
            <family val="2"/>
          </rPr>
          <t>Please Note: 
If Closed option is chosen then the blades 
can be damaged if they are left open 
when Sliding the Panel.
Open is not an option for 3 Tracks.</t>
        </r>
      </text>
    </comment>
    <comment ref="Y8" authorId="0" shapeId="0" xr:uid="{00000000-0006-0000-0000-00000C000000}">
      <text>
        <r>
          <rPr>
            <sz val="8"/>
            <color indexed="81"/>
            <rFont val="Tahoma"/>
            <family val="2"/>
          </rPr>
          <t>If any T Posts are required then the measurements 
must be supplied under the next columns.
Measurements should be made from the left.
A Flat (Unbeaded) T Post can be ordered to match 
the Flat Stile Shutter in the Stile &amp; T Post column.</t>
        </r>
      </text>
    </comment>
    <comment ref="AC8" authorId="0" shapeId="0" xr:uid="{4DCB942F-4849-41E4-8043-A9D6DA90675E}">
      <text>
        <r>
          <rPr>
            <sz val="8"/>
            <color indexed="81"/>
            <rFont val="Tahoma"/>
            <family val="2"/>
          </rPr>
          <t>The Stile &amp; T Post 
options are;
Default (Beaded)
Flat Stile &amp; T Post
A Flat (unbeaded) Small L Frame can be ordered 
under the Frame Type.</t>
        </r>
      </text>
    </comment>
    <comment ref="AD8" authorId="0" shapeId="0" xr:uid="{5B333A17-0267-412C-B9AE-3E3E53C5150B}">
      <text>
        <r>
          <rPr>
            <sz val="8"/>
            <color indexed="81"/>
            <rFont val="Tahoma"/>
            <family val="2"/>
          </rPr>
          <t xml:space="preserve">The Designer Eco,  
Designer Eco Plus &amp; Luvre
Fluffy Strip options are;
No
Yes
Fluffy Strip is supplied with the Fauxwood Designer Eco Night Shutter.
</t>
        </r>
        <r>
          <rPr>
            <i/>
            <sz val="8"/>
            <color indexed="81"/>
            <rFont val="Tahoma"/>
            <family val="2"/>
          </rPr>
          <t>Fluffy Strip Surcharge applies.</t>
        </r>
      </text>
    </comment>
    <comment ref="AT8" authorId="0" shapeId="0" xr:uid="{00000000-0006-0000-0000-00000D000000}">
      <text>
        <r>
          <rPr>
            <sz val="8"/>
            <color indexed="81"/>
            <rFont val="Tahoma"/>
            <family val="2"/>
          </rPr>
          <t>The Hinge Quantity is  calculated automatically.</t>
        </r>
      </text>
    </comment>
    <comment ref="BH8" authorId="0" shapeId="0" xr:uid="{00000000-0006-0000-0000-00000E000000}">
      <text>
        <r>
          <rPr>
            <sz val="8"/>
            <color indexed="81"/>
            <rFont val="Tahoma"/>
            <family val="2"/>
          </rPr>
          <t>Please Note: 
If Closed option is chosen then the blades can be damaged if they are left open 
when sliding the Panel.</t>
        </r>
      </text>
    </comment>
    <comment ref="C9" authorId="0" shapeId="0" xr:uid="{D9CDF2D3-C24C-47A5-8152-C49A847AF1C3}">
      <text>
        <r>
          <rPr>
            <sz val="8"/>
            <color indexed="81"/>
            <rFont val="Tahoma"/>
            <family val="2"/>
          </rPr>
          <t xml:space="preserve">Minimum Width is 180mm.
Maximum Fauxwood Standard Size 
Width is 650mm.
Maximum Fauxwood Designer Eco Width with 
63mm Blades is 900mm.
Maximum Fauxwood Designer Eco Width with 
89mm Blades is 900mm.
Maximum Fauxwood Designer Eco Plus Width with 
63mm Blades is 950mm.
Maximum Fauxwood Designer Eco Plus Width with 
89mm Blades is 950mm.
Maximum Fauxwood Designer Eco Night 
Width is 650mm.
Maximum Luvre Width is 950mm.
Fauxwood Designer Eco &amp; 
Fauxwood Designer Eco Plus Panels 
with a Width larger than 650mm will require 
Aluminium Inserts.
Conditions apply.
</t>
        </r>
        <r>
          <rPr>
            <i/>
            <sz val="8"/>
            <color indexed="81"/>
            <rFont val="Tahoma"/>
            <family val="2"/>
          </rPr>
          <t>Please note: 
Larger Panels may sometimes require lifting in to the frame.</t>
        </r>
      </text>
    </comment>
    <comment ref="D9" authorId="0" shapeId="0" xr:uid="{8B2B855D-FF76-4A37-B50D-DA7AB33D5BAC}">
      <text>
        <r>
          <rPr>
            <sz val="8"/>
            <color indexed="81"/>
            <rFont val="Tahoma"/>
            <family val="2"/>
          </rPr>
          <t>Minimum Height is 350mm.
Maximum Fauxwood Height is 2600mm.</t>
        </r>
      </text>
    </comment>
    <comment ref="E9" authorId="0" shapeId="0" xr:uid="{6BB24D3E-43AE-4DA2-AED7-431BE6374CF5}">
      <text>
        <r>
          <rPr>
            <sz val="8"/>
            <color indexed="81"/>
            <rFont val="Tahoma"/>
            <family val="2"/>
          </rPr>
          <t xml:space="preserve">In - Inside or Reveal Fit
Out - Outside or Face Fit
Alternative Option:
MS - Make Size
Panel Only Option
</t>
        </r>
        <r>
          <rPr>
            <i/>
            <sz val="8"/>
            <color indexed="81"/>
            <rFont val="Tahoma"/>
            <family val="2"/>
          </rPr>
          <t>(Used for specific requirements only)</t>
        </r>
      </text>
    </comment>
    <comment ref="F9" authorId="0" shapeId="0" xr:uid="{73AD35BC-1AB3-4CCF-92E8-82118E01F137}">
      <text>
        <r>
          <rPr>
            <sz val="8"/>
            <color indexed="81"/>
            <rFont val="Tahoma"/>
            <family val="2"/>
          </rPr>
          <t>Quantity is the number of Panels 
within the opening. 
If ordering Make Size (MS), 
this will be the number of Panels 
at this size.</t>
        </r>
      </text>
    </comment>
    <comment ref="G9" authorId="0" shapeId="0" xr:uid="{57692CD5-FC15-4F80-8813-46D917A1E91E}">
      <text>
        <r>
          <rPr>
            <sz val="8"/>
            <color indexed="81"/>
            <rFont val="Tahoma"/>
            <family val="2"/>
          </rPr>
          <t>Fauxwood Designer Eco will be made with the standard profile 
Bottom Rail,  Mid Rail &amp; Top Rail.
Fauxwood Designer Eco Plus will be made with the 
reinforced curved profile Bottom Rail, Mid Rail &amp; Top Rail.
Fauxwood Designer Eco Night will be made with the 
curved grooved profile Bottom Rail, Mid Rail &amp; Top Rail.
Luvre will be made with the reinforced
curved profile Bottom Rail, Mid Rail &amp; Top Rail.
Fauxwood Designer Eco Plus, Fauxwood Designer Eco Night &amp; Luvre 
Surcharge applies.</t>
        </r>
      </text>
    </comment>
    <comment ref="H9" authorId="0" shapeId="0" xr:uid="{1054F030-9286-4A71-8A22-B168E79E3610}">
      <text>
        <r>
          <rPr>
            <sz val="8"/>
            <color indexed="81"/>
            <rFont val="Tahoma"/>
            <family val="2"/>
          </rPr>
          <t xml:space="preserve">Fauxwood Designer Colours options available;
Standard Colours;
Bright White
Classic White
Snow White
Super White
Vanilla
Specialty Colours;
Ceylon
Earl Grey
French White
Infinite White
Polar White
Quiet White
Snow Gum Grey
Snowy Mountains White
</t>
        </r>
        <r>
          <rPr>
            <i/>
            <sz val="8"/>
            <color indexed="81"/>
            <rFont val="Tahoma"/>
            <family val="2"/>
          </rPr>
          <t>Specialty Colours Surcharge applies.</t>
        </r>
        <r>
          <rPr>
            <sz val="8"/>
            <color indexed="81"/>
            <rFont val="Tahoma"/>
            <family val="2"/>
          </rPr>
          <t xml:space="preserve">
Luvre with Therme &amp; Scratch Resistant Paint 
Colours options available;
Snow White
Super White
</t>
        </r>
      </text>
    </comment>
    <comment ref="J9" authorId="0" shapeId="0" xr:uid="{8F3F123A-FBC0-4401-8F6B-41B0B332376D}">
      <text>
        <r>
          <rPr>
            <sz val="8"/>
            <color indexed="81"/>
            <rFont val="Tahoma"/>
            <family val="2"/>
          </rPr>
          <t>Fauxwood Designer Eco &amp; 
Fauxwood Designer Eco Plus 
Blade sizes options are;
63mm
89mm
Fauxwood Designer Eco Night  
Blade sizes options are;
92mm
Luvre Blade sizes options are;
89mm
114mm</t>
        </r>
      </text>
    </comment>
    <comment ref="K9" authorId="0" shapeId="0" xr:uid="{6AB56E4C-93EE-4CF4-BCB7-74511324385B}">
      <text>
        <r>
          <rPr>
            <sz val="8"/>
            <color indexed="81"/>
            <rFont val="Tahoma"/>
            <family val="2"/>
          </rPr>
          <t>Mid Rail is required on Fauxwood Panels over 1500mm.
Cell will highlight yellow when Mid Rail is required.
Only one Critical Mid Rail is allowed.
A Mid Rail that is not marked "Critical" may be moved up or down 
up to 40mm to stop any gaps and increase/decrease the blade quantity.
Fauxwood Designer Eco will be made with the standard profile 
Bottom Rail,  Mid Rail &amp; Top Rail.
Fauxwood Designer Eco Plus will be made with the 
reinforced curved profile Bottom Rail, Mid Rail &amp; Top Rail.
Fauxwood Designer Eco Night will be made with the 
curved grooved profile Bottom Rail, Mid Rail &amp; Top Rail.
Luvre will be made with the reinforced
curved profile Bottom Rail, Mid Rail &amp; Top Rail.
Fauxwood Designer Eco Plus, Fauxwood Designer Eco Night &amp; Luvre Surcharge applies.</t>
        </r>
      </text>
    </comment>
    <comment ref="L9" authorId="0" shapeId="0" xr:uid="{4F1E55E3-50A6-4E64-BE56-9538B00F6936}">
      <text>
        <r>
          <rPr>
            <sz val="8"/>
            <color indexed="81"/>
            <rFont val="Tahoma"/>
            <family val="2"/>
          </rPr>
          <t xml:space="preserve">The Fauxwood Designer Eco, 
Fauxwood Designer Eco Plus 
&amp; Luvre Window Type options are;
Standard
Bay Window
Corner Window
Door Cut Out
Shaped Arch
Shaped Hexagon
Shaped Octagon
Shaped Oval
Shaped Parallelogram
Shaped Raked
Shaped Round
Shaped Sunburst
Shaped Triangle
These Shapes are not available
with the Rack &amp; Pinion Tiltrod;
Shaped Arch
Shaped Hexagon
Shaped Octagon
Shaped Oval
Shaped Round
Shaped Sunburst
The Fauxwood Designer Eco Night Window Type 
options are;
Standard
Bay Window
Corner Window
</t>
        </r>
        <r>
          <rPr>
            <i/>
            <sz val="8"/>
            <color indexed="81"/>
            <rFont val="Tahoma"/>
            <family val="2"/>
          </rPr>
          <t xml:space="preserve">
</t>
        </r>
        <r>
          <rPr>
            <sz val="8"/>
            <color indexed="81"/>
            <rFont val="Tahoma"/>
            <family val="2"/>
          </rPr>
          <t>Shaped Shutters will need the Panel Layout to be 
compatible with the Hidden Tiltrod system.</t>
        </r>
      </text>
    </comment>
    <comment ref="M9" authorId="0" shapeId="0" xr:uid="{89B53DC4-553A-449B-B3C9-415EFB49EC0F}">
      <text>
        <r>
          <rPr>
            <sz val="8"/>
            <color indexed="81"/>
            <rFont val="Tahoma"/>
            <family val="2"/>
          </rPr>
          <t>Mounting Method is dependent 
on  MS, In Or Out &amp; Product.
For IN &amp; Fauxwood Designer Eco,  
Fauxwood Designer Eco Plus 
&amp; Luvre the options are;
Double Hinged
Fixed
Hinged
Pivot Hinged
Sliding
Track Bi Fold
For OUT &amp; Fauxwood Designer Eco,  
Fauxwood Designer Eco Plus 
&amp; Luvre the options are;
Double Hinged
Hinged
Pivot Hinged
Sliding
Track Bi Fold
For IN &amp; Fauxwood Designer Eco Night 
the options are;
Fixed
Hinged
For OUT &amp; Fauxwood Designer Eco Night 
the options are;
Fixed
Hinged
For MS, the options are;
N/A
Pivot Hinged is not recommended for 
Designer Eco Plus or Luvre.</t>
        </r>
      </text>
    </comment>
    <comment ref="N9" authorId="0" shapeId="0" xr:uid="{E46AE6FB-79F5-4FEB-84E8-C9D1DDB62374}">
      <text>
        <r>
          <rPr>
            <sz val="8"/>
            <color indexed="81"/>
            <rFont val="Tahoma"/>
            <family val="2"/>
          </rPr>
          <t>For Sliding Track System options are;
Top Hung (Original System)
Bottom Wheel (New System)
The Top Hung (Original System) uses 
Top Wheels Mounting.
The Bottom Wheel (New System) uses a 
U Channel at the Top and 
Wheels at the Bottom.
This option cannot have a Floor Guide or 
Track On Board.</t>
        </r>
      </text>
    </comment>
    <comment ref="O9" authorId="0" shapeId="0" xr:uid="{4CC88BA2-DBA8-4951-ACA1-6CCA229A9C66}">
      <text>
        <r>
          <rPr>
            <sz val="8"/>
            <color indexed="81"/>
            <rFont val="Tahoma"/>
            <family val="2"/>
          </rPr>
          <t>Please refer to the Shutter Manual 
when selecting Layout Code.
The list provides the most common options, 
which are dependent on Mounting Method.
More complex Layout Codes can still be entered manually.</t>
        </r>
      </text>
    </comment>
    <comment ref="P9" authorId="0" shapeId="0" xr:uid="{6E19677A-5659-4241-9D2A-5AAD15DE0555}">
      <text>
        <r>
          <rPr>
            <sz val="8"/>
            <color indexed="81"/>
            <rFont val="Tahoma"/>
            <family val="2"/>
          </rPr>
          <t>Frame Type is dependent on
 Mounting Method.
If a Flat (unbeaded) Small L Frame 
is selected, a matching Stile &amp; T Post can be 
ordered in the Stile &amp; T Post column.</t>
        </r>
      </text>
    </comment>
    <comment ref="V9" authorId="0" shapeId="0" xr:uid="{A0B7F2C6-26D6-4276-B9C3-2CA01BC04FEE}">
      <text>
        <r>
          <rPr>
            <sz val="8"/>
            <color indexed="81"/>
            <rFont val="Tahoma"/>
            <family val="2"/>
          </rPr>
          <t>This option is dependent on the 
Material &amp; Product 
and will only be available once this 
option is selected.
For Fauxwood Designer Eco
&amp; Fauxwood Designer Eco Plus 
the options are;
Hidden
Centre
Off-Set
Rack &amp; Pinion
These Shapes are not available
with the Rack &amp; Pinion Tiltrod;
Shaped Arch
Shaped Hexagon
Shaped Octagon
Shaped Oval
Shaped Round
Shaped Sunburst
For Fauxwood Designer Eco Night
the options are;
Hidden
For Luvre the options are;
Hidden</t>
        </r>
      </text>
    </comment>
    <comment ref="W9" authorId="0" shapeId="0" xr:uid="{2DC93D68-2B12-4DF7-B136-60FCFFD8A063}">
      <text>
        <r>
          <rPr>
            <sz val="8"/>
            <color indexed="81"/>
            <rFont val="Tahoma"/>
            <family val="2"/>
          </rPr>
          <t xml:space="preserve">If no Hinge Colour is selected, 
then the default Hinge Colour and hardware 
will be supplied. 
The Hinge Colour options are;
Default
Stainless Steel
N/A
When Default is selected, the Hinge will be supplied 
as per the matching Hinge Colour list below;
Shutter Colour - </t>
        </r>
        <r>
          <rPr>
            <i/>
            <sz val="8"/>
            <color indexed="81"/>
            <rFont val="Tahoma"/>
            <family val="2"/>
          </rPr>
          <t>Hinge Colour</t>
        </r>
        <r>
          <rPr>
            <sz val="8"/>
            <color indexed="81"/>
            <rFont val="Tahoma"/>
            <family val="2"/>
          </rPr>
          <t xml:space="preserve">
   Bright White - </t>
        </r>
        <r>
          <rPr>
            <i/>
            <sz val="8"/>
            <color indexed="81"/>
            <rFont val="Tahoma"/>
            <family val="2"/>
          </rPr>
          <t>Bright White</t>
        </r>
        <r>
          <rPr>
            <sz val="8"/>
            <color indexed="81"/>
            <rFont val="Tahoma"/>
            <family val="2"/>
          </rPr>
          <t xml:space="preserve">
Classic White - </t>
        </r>
        <r>
          <rPr>
            <i/>
            <sz val="8"/>
            <color indexed="81"/>
            <rFont val="Tahoma"/>
            <family val="2"/>
          </rPr>
          <t>White</t>
        </r>
        <r>
          <rPr>
            <sz val="8"/>
            <color indexed="81"/>
            <rFont val="Tahoma"/>
            <family val="2"/>
          </rPr>
          <t xml:space="preserve">
Snow White - </t>
        </r>
        <r>
          <rPr>
            <i/>
            <sz val="8"/>
            <color indexed="81"/>
            <rFont val="Tahoma"/>
            <family val="2"/>
          </rPr>
          <t>Snow White</t>
        </r>
        <r>
          <rPr>
            <sz val="8"/>
            <color indexed="81"/>
            <rFont val="Tahoma"/>
            <family val="2"/>
          </rPr>
          <t xml:space="preserve">
Super White - </t>
        </r>
        <r>
          <rPr>
            <i/>
            <sz val="8"/>
            <color indexed="81"/>
            <rFont val="Tahoma"/>
            <family val="2"/>
          </rPr>
          <t>Snow White</t>
        </r>
        <r>
          <rPr>
            <sz val="8"/>
            <color indexed="81"/>
            <rFont val="Tahoma"/>
            <family val="2"/>
          </rPr>
          <t xml:space="preserve">
Vanilla - </t>
        </r>
        <r>
          <rPr>
            <i/>
            <sz val="8"/>
            <color indexed="81"/>
            <rFont val="Tahoma"/>
            <family val="2"/>
          </rPr>
          <t xml:space="preserve">Ivory
</t>
        </r>
        <r>
          <rPr>
            <sz val="8"/>
            <color indexed="81"/>
            <rFont val="Tahoma"/>
            <family val="2"/>
          </rPr>
          <t xml:space="preserve">Ceylon - </t>
        </r>
        <r>
          <rPr>
            <i/>
            <sz val="8"/>
            <color indexed="81"/>
            <rFont val="Tahoma"/>
            <family val="2"/>
          </rPr>
          <t>Ceylon</t>
        </r>
        <r>
          <rPr>
            <sz val="8"/>
            <color indexed="81"/>
            <rFont val="Tahoma"/>
            <family val="2"/>
          </rPr>
          <t xml:space="preserve">
Earl Grey - </t>
        </r>
        <r>
          <rPr>
            <i/>
            <sz val="8"/>
            <color indexed="81"/>
            <rFont val="Tahoma"/>
            <family val="2"/>
          </rPr>
          <t>Earl Grey</t>
        </r>
        <r>
          <rPr>
            <sz val="8"/>
            <color indexed="81"/>
            <rFont val="Tahoma"/>
            <family val="2"/>
          </rPr>
          <t xml:space="preserve">
French White - </t>
        </r>
        <r>
          <rPr>
            <i/>
            <sz val="8"/>
            <color indexed="81"/>
            <rFont val="Tahoma"/>
            <family val="2"/>
          </rPr>
          <t>French White</t>
        </r>
        <r>
          <rPr>
            <sz val="8"/>
            <color indexed="81"/>
            <rFont val="Tahoma"/>
            <family val="2"/>
          </rPr>
          <t xml:space="preserve">
Infinite White -</t>
        </r>
        <r>
          <rPr>
            <i/>
            <sz val="8"/>
            <color indexed="81"/>
            <rFont val="Tahoma"/>
            <family val="2"/>
          </rPr>
          <t xml:space="preserve"> Infinite White</t>
        </r>
        <r>
          <rPr>
            <sz val="8"/>
            <color indexed="81"/>
            <rFont val="Tahoma"/>
            <family val="2"/>
          </rPr>
          <t xml:space="preserve">
Polar White - </t>
        </r>
        <r>
          <rPr>
            <i/>
            <sz val="8"/>
            <color indexed="81"/>
            <rFont val="Tahoma"/>
            <family val="2"/>
          </rPr>
          <t>Polar White</t>
        </r>
        <r>
          <rPr>
            <sz val="8"/>
            <color indexed="81"/>
            <rFont val="Tahoma"/>
            <family val="2"/>
          </rPr>
          <t xml:space="preserve">
Quiet White - </t>
        </r>
        <r>
          <rPr>
            <i/>
            <sz val="8"/>
            <color indexed="81"/>
            <rFont val="Tahoma"/>
            <family val="2"/>
          </rPr>
          <t>Quiet White</t>
        </r>
        <r>
          <rPr>
            <sz val="8"/>
            <color indexed="81"/>
            <rFont val="Tahoma"/>
            <family val="2"/>
          </rPr>
          <t xml:space="preserve">
Snow Gum Grey - </t>
        </r>
        <r>
          <rPr>
            <i/>
            <sz val="8"/>
            <color indexed="81"/>
            <rFont val="Tahoma"/>
            <family val="2"/>
          </rPr>
          <t>Snow Gum Grey</t>
        </r>
        <r>
          <rPr>
            <sz val="8"/>
            <color indexed="81"/>
            <rFont val="Tahoma"/>
            <family val="2"/>
          </rPr>
          <t xml:space="preserve">
Snowy Mountains White - </t>
        </r>
        <r>
          <rPr>
            <i/>
            <sz val="8"/>
            <color indexed="81"/>
            <rFont val="Tahoma"/>
            <family val="2"/>
          </rPr>
          <t>Snowy Mountains White</t>
        </r>
        <r>
          <rPr>
            <sz val="8"/>
            <color indexed="81"/>
            <rFont val="Tahoma"/>
            <family val="2"/>
          </rPr>
          <t xml:space="preserve">
For standard Shutters in Fauxwood Designer Eco 
Standard 77mm Hinges will be used.
For standard Shutters in Fauxwood Designer Eco Plus, 
Fauxwood Designer Eco Night &amp; Luvre
Standard 90mm Hinges will be used.
The Pivot Hinged Colour options are;
White
Stainless Steel
Please refer to the Shutter Manual. 
</t>
        </r>
        <r>
          <rPr>
            <i/>
            <sz val="8"/>
            <color indexed="81"/>
            <rFont val="Tahoma"/>
            <family val="2"/>
          </rPr>
          <t>Stainless Steel Surcharge applies.</t>
        </r>
      </text>
    </comment>
    <comment ref="X9" authorId="0" shapeId="0" xr:uid="{1417E92F-0404-49B4-B4D9-04B5FE2C361F}">
      <text>
        <r>
          <rPr>
            <sz val="8"/>
            <color indexed="81"/>
            <rFont val="Tahoma"/>
            <family val="2"/>
          </rPr>
          <t>Please Note: 
If Closed option is chosen then the blades 
can be damaged if they are left open 
when Sliding the Panel.
Open is not an option for 3 Tracks.</t>
        </r>
      </text>
    </comment>
    <comment ref="Y9" authorId="0" shapeId="0" xr:uid="{43F35CDD-4088-4D96-A081-8BCD9130EF66}">
      <text>
        <r>
          <rPr>
            <sz val="8"/>
            <color indexed="81"/>
            <rFont val="Tahoma"/>
            <family val="2"/>
          </rPr>
          <t>If any T Posts are required then the measurements 
must be supplied under the next columns.
Measurements should be made from the left.
A Flat (Unbeaded) T Post can be ordered to match 
the Flat Stile Shutter in the Stile &amp; T Post column.</t>
        </r>
      </text>
    </comment>
    <comment ref="AC9" authorId="0" shapeId="0" xr:uid="{55560570-CB7A-4391-9CDF-20540CD25D9F}">
      <text>
        <r>
          <rPr>
            <sz val="8"/>
            <color indexed="81"/>
            <rFont val="Tahoma"/>
            <family val="2"/>
          </rPr>
          <t>The Stile &amp; T Post 
options are;
Default (Beaded)
Flat Stile &amp; T Post
A Flat (unbeaded) Small L Frame can be ordered 
under the Frame Type.</t>
        </r>
      </text>
    </comment>
    <comment ref="AD9" authorId="0" shapeId="0" xr:uid="{92B41CF4-2C2C-4771-B2F1-A37537963F41}">
      <text>
        <r>
          <rPr>
            <sz val="8"/>
            <color indexed="81"/>
            <rFont val="Tahoma"/>
            <family val="2"/>
          </rPr>
          <t xml:space="preserve">The Designer Eco,  
Designer Eco Plus &amp; Luvre
Fluffy Strip options are;
No
Yes
Fluffy Strip is supplied with the Fauxwood Designer Eco Night Shutter.
</t>
        </r>
        <r>
          <rPr>
            <i/>
            <sz val="8"/>
            <color indexed="81"/>
            <rFont val="Tahoma"/>
            <family val="2"/>
          </rPr>
          <t>Fluffy Strip Surcharge applies.</t>
        </r>
      </text>
    </comment>
    <comment ref="C10" authorId="0" shapeId="0" xr:uid="{5D7AFF2E-A6F6-4007-BE09-FB7C00500EAC}">
      <text>
        <r>
          <rPr>
            <sz val="8"/>
            <color indexed="81"/>
            <rFont val="Tahoma"/>
            <family val="2"/>
          </rPr>
          <t xml:space="preserve">Minimum Width is 180mm.
Maximum Fauxwood Standard Size 
Width is 650mm.
Maximum Fauxwood Designer Eco Width with 
63mm Blades is 900mm.
Maximum Fauxwood Designer Eco Width with 
89mm Blades is 900mm.
Maximum Fauxwood Designer Eco Plus Width with 
63mm Blades is 950mm.
Maximum Fauxwood Designer Eco Plus Width with 
89mm Blades is 950mm.
Maximum Fauxwood Designer Eco Night 
Width is 650mm.
Maximum Luvre Width is 950mm.
Fauxwood Designer Eco &amp; 
Fauxwood Designer Eco Plus Panels 
with a Width larger than 650mm will require 
Aluminium Inserts.
Conditions apply.
</t>
        </r>
        <r>
          <rPr>
            <i/>
            <sz val="8"/>
            <color indexed="81"/>
            <rFont val="Tahoma"/>
            <family val="2"/>
          </rPr>
          <t>Please note: 
Larger Panels may sometimes require lifting in to the frame.</t>
        </r>
      </text>
    </comment>
    <comment ref="D10" authorId="0" shapeId="0" xr:uid="{DEB5FFE1-F78D-44D7-8231-3580320D4939}">
      <text>
        <r>
          <rPr>
            <sz val="8"/>
            <color indexed="81"/>
            <rFont val="Tahoma"/>
            <family val="2"/>
          </rPr>
          <t>Minimum Height is 350mm.
Maximum Fauxwood Height is 2600mm.</t>
        </r>
      </text>
    </comment>
    <comment ref="E10" authorId="0" shapeId="0" xr:uid="{B2B30B10-BC0D-4514-8617-6AB9B52DB302}">
      <text>
        <r>
          <rPr>
            <sz val="8"/>
            <color indexed="81"/>
            <rFont val="Tahoma"/>
            <family val="2"/>
          </rPr>
          <t xml:space="preserve">In - Inside or Reveal Fit
Out - Outside or Face Fit
Alternative Option:
MS - Make Size
Panel Only Option
</t>
        </r>
        <r>
          <rPr>
            <i/>
            <sz val="8"/>
            <color indexed="81"/>
            <rFont val="Tahoma"/>
            <family val="2"/>
          </rPr>
          <t>(Used for specific requirements only)</t>
        </r>
      </text>
    </comment>
    <comment ref="F10" authorId="0" shapeId="0" xr:uid="{A19232A9-7ACC-49C1-8351-08CBFEBB7EED}">
      <text>
        <r>
          <rPr>
            <sz val="8"/>
            <color indexed="81"/>
            <rFont val="Tahoma"/>
            <family val="2"/>
          </rPr>
          <t>Quantity is the number of Panels 
within the opening. 
If ordering Make Size (MS), 
this will be the number of Panels 
at this size.</t>
        </r>
      </text>
    </comment>
    <comment ref="G10" authorId="0" shapeId="0" xr:uid="{6BD0BBCC-7D4B-42D9-AFD6-59D394DCBDBC}">
      <text>
        <r>
          <rPr>
            <sz val="8"/>
            <color indexed="81"/>
            <rFont val="Tahoma"/>
            <family val="2"/>
          </rPr>
          <t>Fauxwood Designer Eco will be made with the standard profile 
Bottom Rail,  Mid Rail &amp; Top Rail.
Fauxwood Designer Eco Plus will be made with the 
reinforced curved profile Bottom Rail, Mid Rail &amp; Top Rail.
Fauxwood Designer Eco Night will be made with the 
curved grooved profile Bottom Rail, Mid Rail &amp; Top Rail.
Luvre will be made with the reinforced
curved profile Bottom Rail, Mid Rail &amp; Top Rail.
Fauxwood Designer Eco Plus, Fauxwood Designer Eco Night &amp; Luvre 
Surcharge applies.</t>
        </r>
      </text>
    </comment>
    <comment ref="H10" authorId="0" shapeId="0" xr:uid="{0DA48338-BDF7-4737-B655-8D40B2BC9757}">
      <text>
        <r>
          <rPr>
            <sz val="8"/>
            <color indexed="81"/>
            <rFont val="Tahoma"/>
            <family val="2"/>
          </rPr>
          <t xml:space="preserve">Fauxwood Designer Colours options available;
Standard Colours;
Bright White
Classic White
Snow White
Super White
Vanilla
Specialty Colours;
Ceylon
Earl Grey
French White
Infinite White
Polar White
Quiet White
Snow Gum Grey
Snowy Mountains White
</t>
        </r>
        <r>
          <rPr>
            <i/>
            <sz val="8"/>
            <color indexed="81"/>
            <rFont val="Tahoma"/>
            <family val="2"/>
          </rPr>
          <t>Specialty Colours Surcharge applies.</t>
        </r>
        <r>
          <rPr>
            <sz val="8"/>
            <color indexed="81"/>
            <rFont val="Tahoma"/>
            <family val="2"/>
          </rPr>
          <t xml:space="preserve">
Luvre with Therme &amp; Scratch Resistant Paint 
Colours options available;
Snow White
Super White
</t>
        </r>
      </text>
    </comment>
    <comment ref="J10" authorId="0" shapeId="0" xr:uid="{33E65295-7F72-4ECB-A959-53B497B2BD9F}">
      <text>
        <r>
          <rPr>
            <sz val="8"/>
            <color indexed="81"/>
            <rFont val="Tahoma"/>
            <family val="2"/>
          </rPr>
          <t>Fauxwood Designer Eco &amp; 
Fauxwood Designer Eco Plus 
Blade sizes options are;
63mm
89mm
Fauxwood Designer Eco Night  
Blade sizes options are;
92mm
Luvre Blade sizes options are;
89mm
114mm</t>
        </r>
      </text>
    </comment>
    <comment ref="K10" authorId="0" shapeId="0" xr:uid="{36079D94-D933-48B9-8A45-E0439C54BF23}">
      <text>
        <r>
          <rPr>
            <sz val="8"/>
            <color indexed="81"/>
            <rFont val="Tahoma"/>
            <family val="2"/>
          </rPr>
          <t>Mid Rail is required on Fauxwood Panels over 1500mm.
Cell will highlight yellow when Mid Rail is required.
Only one Critical Mid Rail is allowed.
A Mid Rail that is not marked "Critical" may be moved up or down 
up to 40mm to stop any gaps and increase/decrease the blade quantity.
Fauxwood Designer Eco will be made with the standard profile 
Bottom Rail,  Mid Rail &amp; Top Rail.
Fauxwood Designer Eco Plus will be made with the 
reinforced curved profile Bottom Rail, Mid Rail &amp; Top Rail.
Fauxwood Designer Eco Night will be made with the 
curved grooved profile Bottom Rail, Mid Rail &amp; Top Rail.
Luvre will be made with the reinforced
curved profile Bottom Rail, Mid Rail &amp; Top Rail.
Fauxwood Designer Eco Plus, Fauxwood Designer Eco Night &amp; Luvre Surcharge applies.</t>
        </r>
      </text>
    </comment>
    <comment ref="L10" authorId="0" shapeId="0" xr:uid="{05906EFC-188E-4EEE-9685-E416A89E68D7}">
      <text>
        <r>
          <rPr>
            <sz val="8"/>
            <color indexed="81"/>
            <rFont val="Tahoma"/>
            <family val="2"/>
          </rPr>
          <t xml:space="preserve">The Fauxwood Designer Eco, 
Fauxwood Designer Eco Plus 
&amp; Luvre Window Type options are;
Standard
Bay Window
Corner Window
Door Cut Out
Shaped Arch
Shaped Hexagon
Shaped Octagon
Shaped Oval
Shaped Parallelogram
Shaped Raked
Shaped Round
Shaped Sunburst
Shaped Triangle
These Shapes are not available
with the Rack &amp; Pinion Tiltrod;
Shaped Arch
Shaped Hexagon
Shaped Octagon
Shaped Oval
Shaped Round
Shaped Sunburst
The Fauxwood Designer Eco Night Window Type 
options are;
Standard
Bay Window
Corner Window
</t>
        </r>
        <r>
          <rPr>
            <i/>
            <sz val="8"/>
            <color indexed="81"/>
            <rFont val="Tahoma"/>
            <family val="2"/>
          </rPr>
          <t xml:space="preserve">
</t>
        </r>
        <r>
          <rPr>
            <sz val="8"/>
            <color indexed="81"/>
            <rFont val="Tahoma"/>
            <family val="2"/>
          </rPr>
          <t>Shaped Shutters will need the Panel Layout to be 
compatible with the Hidden Tiltrod system.</t>
        </r>
      </text>
    </comment>
    <comment ref="M10" authorId="0" shapeId="0" xr:uid="{0D6AB80E-ED8A-4FB8-AFA5-41B07F740D15}">
      <text>
        <r>
          <rPr>
            <sz val="8"/>
            <color indexed="81"/>
            <rFont val="Tahoma"/>
            <family val="2"/>
          </rPr>
          <t>Mounting Method is dependent 
on  MS, In Or Out &amp; Product.
For IN &amp; Fauxwood Designer Eco,  
Fauxwood Designer Eco Plus 
&amp; Luvre the options are;
Double Hinged
Fixed
Hinged
Pivot Hinged
Sliding
Track Bi Fold
For OUT &amp; Fauxwood Designer Eco,  
Fauxwood Designer Eco Plus 
&amp; Luvre the options are;
Double Hinged
Hinged
Pivot Hinged
Sliding
Track Bi Fold
For IN &amp; Fauxwood Designer Eco Night 
the options are;
Fixed
Hinged
For OUT &amp; Fauxwood Designer Eco Night 
the options are;
Fixed
Hinged
For MS, the options are;
N/A
Pivot Hinged is not recommended for 
Designer Eco Plus or Luvre.</t>
        </r>
      </text>
    </comment>
    <comment ref="N10" authorId="0" shapeId="0" xr:uid="{C8EAFFF6-D88B-4616-95E5-775CA4E940BE}">
      <text>
        <r>
          <rPr>
            <sz val="8"/>
            <color indexed="81"/>
            <rFont val="Tahoma"/>
            <family val="2"/>
          </rPr>
          <t>For Sliding Track System options are;
Top Hung (Original System)
Bottom Wheel (New System)
The Top Hung (Original System) uses 
Top Wheels Mounting.
The Bottom Wheel (New System) uses a 
U Channel at the Top and 
Wheels at the Bottom.
This option cannot have a Floor Guide or 
Track On Board.</t>
        </r>
      </text>
    </comment>
    <comment ref="O10" authorId="0" shapeId="0" xr:uid="{BCA5F45F-A25D-438B-9417-622C5CE0B14F}">
      <text>
        <r>
          <rPr>
            <sz val="8"/>
            <color indexed="81"/>
            <rFont val="Tahoma"/>
            <family val="2"/>
          </rPr>
          <t>Please refer to the Shutter Manual 
when selecting Layout Code.
The list provides the most common options, 
which are dependent on Mounting Method.
More complex Layout Codes can still be entered manually.</t>
        </r>
      </text>
    </comment>
    <comment ref="P10" authorId="0" shapeId="0" xr:uid="{0762A3F8-F0E0-4F0C-9F3D-88D4F7A5CEBC}">
      <text>
        <r>
          <rPr>
            <sz val="8"/>
            <color indexed="81"/>
            <rFont val="Tahoma"/>
            <family val="2"/>
          </rPr>
          <t>Frame Type is dependent on
 Mounting Method.
If a Flat (unbeaded) Small L Frame 
is selected, a matching Stile &amp; T Post can be 
ordered in the Stile &amp; T Post column.</t>
        </r>
      </text>
    </comment>
    <comment ref="V10" authorId="0" shapeId="0" xr:uid="{17093BB3-93E3-4E86-B653-C270BC00727A}">
      <text>
        <r>
          <rPr>
            <sz val="8"/>
            <color indexed="81"/>
            <rFont val="Tahoma"/>
            <family val="2"/>
          </rPr>
          <t>This option is dependent on the 
Material &amp; Product 
and will only be available once this 
option is selected.
For Fauxwood Designer Eco
&amp; Fauxwood Designer Eco Plus 
the options are;
Hidden
Centre
Off-Set
Rack &amp; Pinion
These Shapes are not available
with the Rack &amp; Pinion Tiltrod;
Shaped Arch
Shaped Hexagon
Shaped Octagon
Shaped Oval
Shaped Round
Shaped Sunburst
For Fauxwood Designer Eco Night
the options are;
Hidden
For Luvre the options are;
Hidden</t>
        </r>
      </text>
    </comment>
    <comment ref="W10" authorId="0" shapeId="0" xr:uid="{1DF17529-B898-402F-8586-2F8DA4031B01}">
      <text>
        <r>
          <rPr>
            <sz val="8"/>
            <color indexed="81"/>
            <rFont val="Tahoma"/>
            <family val="2"/>
          </rPr>
          <t xml:space="preserve">If no Hinge Colour is selected, 
then the default Hinge Colour and hardware 
will be supplied. 
The Hinge Colour options are;
Default
Stainless Steel
N/A
When Default is selected, the Hinge will be supplied 
as per the matching Hinge Colour list below;
Shutter Colour - </t>
        </r>
        <r>
          <rPr>
            <i/>
            <sz val="8"/>
            <color indexed="81"/>
            <rFont val="Tahoma"/>
            <family val="2"/>
          </rPr>
          <t>Hinge Colour</t>
        </r>
        <r>
          <rPr>
            <sz val="8"/>
            <color indexed="81"/>
            <rFont val="Tahoma"/>
            <family val="2"/>
          </rPr>
          <t xml:space="preserve">
   Bright White - </t>
        </r>
        <r>
          <rPr>
            <i/>
            <sz val="8"/>
            <color indexed="81"/>
            <rFont val="Tahoma"/>
            <family val="2"/>
          </rPr>
          <t>Bright White</t>
        </r>
        <r>
          <rPr>
            <sz val="8"/>
            <color indexed="81"/>
            <rFont val="Tahoma"/>
            <family val="2"/>
          </rPr>
          <t xml:space="preserve">
Classic White - </t>
        </r>
        <r>
          <rPr>
            <i/>
            <sz val="8"/>
            <color indexed="81"/>
            <rFont val="Tahoma"/>
            <family val="2"/>
          </rPr>
          <t>White</t>
        </r>
        <r>
          <rPr>
            <sz val="8"/>
            <color indexed="81"/>
            <rFont val="Tahoma"/>
            <family val="2"/>
          </rPr>
          <t xml:space="preserve">
Snow White - </t>
        </r>
        <r>
          <rPr>
            <i/>
            <sz val="8"/>
            <color indexed="81"/>
            <rFont val="Tahoma"/>
            <family val="2"/>
          </rPr>
          <t>Snow White</t>
        </r>
        <r>
          <rPr>
            <sz val="8"/>
            <color indexed="81"/>
            <rFont val="Tahoma"/>
            <family val="2"/>
          </rPr>
          <t xml:space="preserve">
Super White - </t>
        </r>
        <r>
          <rPr>
            <i/>
            <sz val="8"/>
            <color indexed="81"/>
            <rFont val="Tahoma"/>
            <family val="2"/>
          </rPr>
          <t>Snow White</t>
        </r>
        <r>
          <rPr>
            <sz val="8"/>
            <color indexed="81"/>
            <rFont val="Tahoma"/>
            <family val="2"/>
          </rPr>
          <t xml:space="preserve">
Vanilla - </t>
        </r>
        <r>
          <rPr>
            <i/>
            <sz val="8"/>
            <color indexed="81"/>
            <rFont val="Tahoma"/>
            <family val="2"/>
          </rPr>
          <t xml:space="preserve">Ivory
</t>
        </r>
        <r>
          <rPr>
            <sz val="8"/>
            <color indexed="81"/>
            <rFont val="Tahoma"/>
            <family val="2"/>
          </rPr>
          <t xml:space="preserve">Ceylon - </t>
        </r>
        <r>
          <rPr>
            <i/>
            <sz val="8"/>
            <color indexed="81"/>
            <rFont val="Tahoma"/>
            <family val="2"/>
          </rPr>
          <t>Ceylon</t>
        </r>
        <r>
          <rPr>
            <sz val="8"/>
            <color indexed="81"/>
            <rFont val="Tahoma"/>
            <family val="2"/>
          </rPr>
          <t xml:space="preserve">
Earl Grey - </t>
        </r>
        <r>
          <rPr>
            <i/>
            <sz val="8"/>
            <color indexed="81"/>
            <rFont val="Tahoma"/>
            <family val="2"/>
          </rPr>
          <t>Earl Grey</t>
        </r>
        <r>
          <rPr>
            <sz val="8"/>
            <color indexed="81"/>
            <rFont val="Tahoma"/>
            <family val="2"/>
          </rPr>
          <t xml:space="preserve">
French White - </t>
        </r>
        <r>
          <rPr>
            <i/>
            <sz val="8"/>
            <color indexed="81"/>
            <rFont val="Tahoma"/>
            <family val="2"/>
          </rPr>
          <t>French White</t>
        </r>
        <r>
          <rPr>
            <sz val="8"/>
            <color indexed="81"/>
            <rFont val="Tahoma"/>
            <family val="2"/>
          </rPr>
          <t xml:space="preserve">
Infinite White -</t>
        </r>
        <r>
          <rPr>
            <i/>
            <sz val="8"/>
            <color indexed="81"/>
            <rFont val="Tahoma"/>
            <family val="2"/>
          </rPr>
          <t xml:space="preserve"> Infinite White</t>
        </r>
        <r>
          <rPr>
            <sz val="8"/>
            <color indexed="81"/>
            <rFont val="Tahoma"/>
            <family val="2"/>
          </rPr>
          <t xml:space="preserve">
Polar White - </t>
        </r>
        <r>
          <rPr>
            <i/>
            <sz val="8"/>
            <color indexed="81"/>
            <rFont val="Tahoma"/>
            <family val="2"/>
          </rPr>
          <t>Polar White</t>
        </r>
        <r>
          <rPr>
            <sz val="8"/>
            <color indexed="81"/>
            <rFont val="Tahoma"/>
            <family val="2"/>
          </rPr>
          <t xml:space="preserve">
Quiet White - </t>
        </r>
        <r>
          <rPr>
            <i/>
            <sz val="8"/>
            <color indexed="81"/>
            <rFont val="Tahoma"/>
            <family val="2"/>
          </rPr>
          <t>Quiet White</t>
        </r>
        <r>
          <rPr>
            <sz val="8"/>
            <color indexed="81"/>
            <rFont val="Tahoma"/>
            <family val="2"/>
          </rPr>
          <t xml:space="preserve">
Snow Gum Grey - </t>
        </r>
        <r>
          <rPr>
            <i/>
            <sz val="8"/>
            <color indexed="81"/>
            <rFont val="Tahoma"/>
            <family val="2"/>
          </rPr>
          <t>Snow Gum Grey</t>
        </r>
        <r>
          <rPr>
            <sz val="8"/>
            <color indexed="81"/>
            <rFont val="Tahoma"/>
            <family val="2"/>
          </rPr>
          <t xml:space="preserve">
Snowy Mountains White - </t>
        </r>
        <r>
          <rPr>
            <i/>
            <sz val="8"/>
            <color indexed="81"/>
            <rFont val="Tahoma"/>
            <family val="2"/>
          </rPr>
          <t>Snowy Mountains White</t>
        </r>
        <r>
          <rPr>
            <sz val="8"/>
            <color indexed="81"/>
            <rFont val="Tahoma"/>
            <family val="2"/>
          </rPr>
          <t xml:space="preserve">
For standard Shutters in Fauxwood Designer Eco 
Standard 77mm Hinges will be used.
For standard Shutters in Fauxwood Designer Eco Plus, 
Fauxwood Designer Eco Night &amp; Luvre
Standard 90mm Hinges will be used.
The Pivot Hinged Colour options are;
White
Stainless Steel
Please refer to the Shutter Manual. 
</t>
        </r>
        <r>
          <rPr>
            <i/>
            <sz val="8"/>
            <color indexed="81"/>
            <rFont val="Tahoma"/>
            <family val="2"/>
          </rPr>
          <t>Stainless Steel Surcharge applies.</t>
        </r>
      </text>
    </comment>
    <comment ref="X10" authorId="0" shapeId="0" xr:uid="{C560ACD2-B558-4E03-977C-06D0E09D261C}">
      <text>
        <r>
          <rPr>
            <sz val="8"/>
            <color indexed="81"/>
            <rFont val="Tahoma"/>
            <family val="2"/>
          </rPr>
          <t>Please Note: 
If Closed option is chosen then the blades 
can be damaged if they are left open 
when Sliding the Panel.
Open is not an option for 3 Tracks.</t>
        </r>
      </text>
    </comment>
    <comment ref="Y10" authorId="0" shapeId="0" xr:uid="{CC341087-ABF5-4827-9017-F22CA8A599C7}">
      <text>
        <r>
          <rPr>
            <sz val="8"/>
            <color indexed="81"/>
            <rFont val="Tahoma"/>
            <family val="2"/>
          </rPr>
          <t>If any T Posts are required then the measurements 
must be supplied under the next columns.
Measurements should be made from the left.
A Flat (Unbeaded) T Post can be ordered to match 
the Flat Stile Shutter in the Stile &amp; T Post column.</t>
        </r>
      </text>
    </comment>
    <comment ref="AC10" authorId="0" shapeId="0" xr:uid="{6534BA20-48FF-4E5B-8CDA-5289DE5BC83A}">
      <text>
        <r>
          <rPr>
            <sz val="8"/>
            <color indexed="81"/>
            <rFont val="Tahoma"/>
            <family val="2"/>
          </rPr>
          <t>The Stile &amp; T Post 
options are;
Default (Beaded)
Flat Stile &amp; T Post
A Flat (unbeaded) Small L Frame can be ordered 
under the Frame Type.</t>
        </r>
      </text>
    </comment>
    <comment ref="AD10" authorId="0" shapeId="0" xr:uid="{4DB9C5D7-A746-485E-A58D-052445C53FB6}">
      <text>
        <r>
          <rPr>
            <sz val="8"/>
            <color indexed="81"/>
            <rFont val="Tahoma"/>
            <family val="2"/>
          </rPr>
          <t xml:space="preserve">The Designer Eco,  
Designer Eco Plus &amp; Luvre
Fluffy Strip options are;
No
Yes
Fluffy Strip is supplied with the Fauxwood Designer Eco Night Shutter.
</t>
        </r>
        <r>
          <rPr>
            <i/>
            <sz val="8"/>
            <color indexed="81"/>
            <rFont val="Tahoma"/>
            <family val="2"/>
          </rPr>
          <t>Fluffy Strip Surcharge applies.</t>
        </r>
      </text>
    </comment>
    <comment ref="C11" authorId="0" shapeId="0" xr:uid="{FCF02D06-232B-4868-8115-D5DA929710D8}">
      <text>
        <r>
          <rPr>
            <sz val="8"/>
            <color indexed="81"/>
            <rFont val="Tahoma"/>
            <family val="2"/>
          </rPr>
          <t xml:space="preserve">Minimum Width is 180mm.
Maximum Fauxwood Standard Size 
Width is 650mm.
Maximum Fauxwood Designer Eco Width with 
63mm Blades is 900mm.
Maximum Fauxwood Designer Eco Width with 
89mm Blades is 900mm.
Maximum Fauxwood Designer Eco Plus Width with 
63mm Blades is 950mm.
Maximum Fauxwood Designer Eco Plus Width with 
89mm Blades is 950mm.
Maximum Fauxwood Designer Eco Night 
Width is 650mm.
Maximum Luvre Width is 950mm.
Fauxwood Designer Eco &amp; 
Fauxwood Designer Eco Plus Panels 
with a Width larger than 650mm will require 
Aluminium Inserts.
Conditions apply.
</t>
        </r>
        <r>
          <rPr>
            <i/>
            <sz val="8"/>
            <color indexed="81"/>
            <rFont val="Tahoma"/>
            <family val="2"/>
          </rPr>
          <t>Please note: 
Larger Panels may sometimes require lifting in to the frame.</t>
        </r>
      </text>
    </comment>
    <comment ref="D11" authorId="0" shapeId="0" xr:uid="{7538A183-9B8A-4767-A8AB-7ABB508D93F8}">
      <text>
        <r>
          <rPr>
            <sz val="8"/>
            <color indexed="81"/>
            <rFont val="Tahoma"/>
            <family val="2"/>
          </rPr>
          <t>Minimum Height is 350mm.
Maximum Fauxwood Height is 2600mm.</t>
        </r>
      </text>
    </comment>
    <comment ref="E11" authorId="0" shapeId="0" xr:uid="{2903C4B4-814E-432D-BF8B-8EE67FA17DA5}">
      <text>
        <r>
          <rPr>
            <sz val="8"/>
            <color indexed="81"/>
            <rFont val="Tahoma"/>
            <family val="2"/>
          </rPr>
          <t xml:space="preserve">In - Inside or Reveal Fit
Out - Outside or Face Fit
Alternative Option:
MS - Make Size
Panel Only Option
</t>
        </r>
        <r>
          <rPr>
            <i/>
            <sz val="8"/>
            <color indexed="81"/>
            <rFont val="Tahoma"/>
            <family val="2"/>
          </rPr>
          <t>(Used for specific requirements only)</t>
        </r>
      </text>
    </comment>
    <comment ref="F11" authorId="0" shapeId="0" xr:uid="{D0D93EEE-C3DE-4404-B5F7-43F4C6133F94}">
      <text>
        <r>
          <rPr>
            <sz val="8"/>
            <color indexed="81"/>
            <rFont val="Tahoma"/>
            <family val="2"/>
          </rPr>
          <t>Quantity is the number of Panels 
within the opening. 
If ordering Make Size (MS), 
this will be the number of Panels 
at this size.</t>
        </r>
      </text>
    </comment>
    <comment ref="G11" authorId="0" shapeId="0" xr:uid="{3E0311D3-C5B3-4781-BE3D-E99453B7581E}">
      <text>
        <r>
          <rPr>
            <sz val="8"/>
            <color indexed="81"/>
            <rFont val="Tahoma"/>
            <family val="2"/>
          </rPr>
          <t>Fauxwood Designer Eco will be made with the standard profile 
Bottom Rail,  Mid Rail &amp; Top Rail.
Fauxwood Designer Eco Plus will be made with the 
reinforced curved profile Bottom Rail, Mid Rail &amp; Top Rail.
Fauxwood Designer Eco Night will be made with the 
curved grooved profile Bottom Rail, Mid Rail &amp; Top Rail.
Luvre will be made with the reinforced
curved profile Bottom Rail, Mid Rail &amp; Top Rail.
Fauxwood Designer Eco Plus, Fauxwood Designer Eco Night &amp; Luvre 
Surcharge applies.</t>
        </r>
      </text>
    </comment>
    <comment ref="H11" authorId="0" shapeId="0" xr:uid="{06BBF1A9-4A89-479E-8158-D43090F33530}">
      <text>
        <r>
          <rPr>
            <sz val="8"/>
            <color indexed="81"/>
            <rFont val="Tahoma"/>
            <family val="2"/>
          </rPr>
          <t xml:space="preserve">Fauxwood Designer Colours options available;
Standard Colours;
Bright White
Classic White
Snow White
Super White
Vanilla
Specialty Colours;
Ceylon
Earl Grey
French White
Infinite White
Polar White
Quiet White
Snow Gum Grey
Snowy Mountains White
</t>
        </r>
        <r>
          <rPr>
            <i/>
            <sz val="8"/>
            <color indexed="81"/>
            <rFont val="Tahoma"/>
            <family val="2"/>
          </rPr>
          <t>Specialty Colours Surcharge applies.</t>
        </r>
        <r>
          <rPr>
            <sz val="8"/>
            <color indexed="81"/>
            <rFont val="Tahoma"/>
            <family val="2"/>
          </rPr>
          <t xml:space="preserve">
Luvre with Therme &amp; Scratch Resistant Paint 
Colours options available;
Snow White
Super White
</t>
        </r>
      </text>
    </comment>
    <comment ref="J11" authorId="0" shapeId="0" xr:uid="{8067E06D-455F-4D8D-BFA9-A61DCE9E30F9}">
      <text>
        <r>
          <rPr>
            <sz val="8"/>
            <color indexed="81"/>
            <rFont val="Tahoma"/>
            <family val="2"/>
          </rPr>
          <t>Fauxwood Designer Eco &amp; 
Fauxwood Designer Eco Plus 
Blade sizes options are;
63mm
89mm
Fauxwood Designer Eco Night  
Blade sizes options are;
92mm
Luvre Blade sizes options are;
89mm
114mm</t>
        </r>
      </text>
    </comment>
    <comment ref="K11" authorId="0" shapeId="0" xr:uid="{9F0CB472-7883-4FEC-B385-8CF85C2CD7AE}">
      <text>
        <r>
          <rPr>
            <sz val="8"/>
            <color indexed="81"/>
            <rFont val="Tahoma"/>
            <family val="2"/>
          </rPr>
          <t>Mid Rail is required on Fauxwood Panels over 1500mm.
Cell will highlight yellow when Mid Rail is required.
Only one Critical Mid Rail is allowed.
A Mid Rail that is not marked "Critical" may be moved up or down 
up to 40mm to stop any gaps and increase/decrease the blade quantity.
Fauxwood Designer Eco will be made with the standard profile 
Bottom Rail,  Mid Rail &amp; Top Rail.
Fauxwood Designer Eco Plus will be made with the 
reinforced curved profile Bottom Rail, Mid Rail &amp; Top Rail.
Fauxwood Designer Eco Night will be made with the 
curved grooved profile Bottom Rail, Mid Rail &amp; Top Rail.
Luvre will be made with the reinforced
curved profile Bottom Rail, Mid Rail &amp; Top Rail.
Fauxwood Designer Eco Plus, Fauxwood Designer Eco Night &amp; Luvre Surcharge applies.</t>
        </r>
      </text>
    </comment>
    <comment ref="L11" authorId="0" shapeId="0" xr:uid="{5E220860-F1A0-459C-A0DD-87A7FFAC0E4D}">
      <text>
        <r>
          <rPr>
            <sz val="8"/>
            <color indexed="81"/>
            <rFont val="Tahoma"/>
            <family val="2"/>
          </rPr>
          <t xml:space="preserve">The Fauxwood Designer Eco, 
Fauxwood Designer Eco Plus 
&amp; Luvre Window Type options are;
Standard
Bay Window
Corner Window
Door Cut Out
Shaped Arch
Shaped Hexagon
Shaped Octagon
Shaped Oval
Shaped Parallelogram
Shaped Raked
Shaped Round
Shaped Sunburst
Shaped Triangle
These Shapes are not available
with the Rack &amp; Pinion Tiltrod;
Shaped Arch
Shaped Hexagon
Shaped Octagon
Shaped Oval
Shaped Round
Shaped Sunburst
The Fauxwood Designer Eco Night Window Type 
options are;
Standard
Bay Window
Corner Window
</t>
        </r>
        <r>
          <rPr>
            <i/>
            <sz val="8"/>
            <color indexed="81"/>
            <rFont val="Tahoma"/>
            <family val="2"/>
          </rPr>
          <t xml:space="preserve">
</t>
        </r>
        <r>
          <rPr>
            <sz val="8"/>
            <color indexed="81"/>
            <rFont val="Tahoma"/>
            <family val="2"/>
          </rPr>
          <t>Shaped Shutters will need the Panel Layout to be 
compatible with the Hidden Tiltrod system.</t>
        </r>
      </text>
    </comment>
    <comment ref="M11" authorId="0" shapeId="0" xr:uid="{E5152465-899A-4456-943D-52425F91BCF6}">
      <text>
        <r>
          <rPr>
            <sz val="8"/>
            <color indexed="81"/>
            <rFont val="Tahoma"/>
            <family val="2"/>
          </rPr>
          <t>Mounting Method is dependent 
on  MS, In Or Out &amp; Product.
For IN &amp; Fauxwood Designer Eco,  
Fauxwood Designer Eco Plus 
&amp; Luvre the options are;
Double Hinged
Fixed
Hinged
Pivot Hinged
Sliding
Track Bi Fold
For OUT &amp; Fauxwood Designer Eco,  
Fauxwood Designer Eco Plus 
&amp; Luvre the options are;
Double Hinged
Hinged
Pivot Hinged
Sliding
Track Bi Fold
For IN &amp; Fauxwood Designer Eco Night 
the options are;
Fixed
Hinged
For OUT &amp; Fauxwood Designer Eco Night 
the options are;
Fixed
Hinged
For MS, the options are;
N/A
Pivot Hinged is not recommended for 
Designer Eco Plus or Luvre.</t>
        </r>
      </text>
    </comment>
    <comment ref="N11" authorId="0" shapeId="0" xr:uid="{F043998D-DBAA-4525-9885-D14787078466}">
      <text>
        <r>
          <rPr>
            <sz val="8"/>
            <color indexed="81"/>
            <rFont val="Tahoma"/>
            <family val="2"/>
          </rPr>
          <t>For Sliding Track System options are;
Top Hung (Original System)
Bottom Wheel (New System)
The Top Hung (Original System) uses 
Top Wheels Mounting.
The Bottom Wheel (New System) uses a 
U Channel at the Top and 
Wheels at the Bottom.
This option cannot have a Floor Guide or 
Track On Board.</t>
        </r>
      </text>
    </comment>
    <comment ref="O11" authorId="0" shapeId="0" xr:uid="{37A62520-79BD-442B-8E81-92835DBDDCD9}">
      <text>
        <r>
          <rPr>
            <sz val="8"/>
            <color indexed="81"/>
            <rFont val="Tahoma"/>
            <family val="2"/>
          </rPr>
          <t>Please refer to the Shutter Manual 
when selecting Layout Code.
The list provides the most common options, 
which are dependent on Mounting Method.
More complex Layout Codes can still be entered manually.</t>
        </r>
      </text>
    </comment>
    <comment ref="P11" authorId="0" shapeId="0" xr:uid="{68568D3C-DA43-4AC2-98D9-B97D727777D9}">
      <text>
        <r>
          <rPr>
            <sz val="8"/>
            <color indexed="81"/>
            <rFont val="Tahoma"/>
            <family val="2"/>
          </rPr>
          <t>Frame Type is dependent on
 Mounting Method.
If a Flat (unbeaded) Small L Frame 
is selected, a matching Stile &amp; T Post can be 
ordered in the Stile &amp; T Post column.</t>
        </r>
      </text>
    </comment>
    <comment ref="V11" authorId="0" shapeId="0" xr:uid="{612718ED-165F-42D7-9BBE-A3B143565819}">
      <text>
        <r>
          <rPr>
            <sz val="8"/>
            <color indexed="81"/>
            <rFont val="Tahoma"/>
            <family val="2"/>
          </rPr>
          <t>This option is dependent on the 
Material &amp; Product 
and will only be available once this 
option is selected.
For Fauxwood Designer Eco
&amp; Fauxwood Designer Eco Plus 
the options are;
Hidden
Centre
Off-Set
Rack &amp; Pinion
These Shapes are not available
with the Rack &amp; Pinion Tiltrod;
Shaped Arch
Shaped Hexagon
Shaped Octagon
Shaped Oval
Shaped Round
Shaped Sunburst
For Fauxwood Designer Eco Night
the options are;
Hidden
For Luvre the options are;
Hidden</t>
        </r>
      </text>
    </comment>
    <comment ref="W11" authorId="0" shapeId="0" xr:uid="{D6F6BA11-8021-4B67-B7D6-13DB0F2F13C8}">
      <text>
        <r>
          <rPr>
            <sz val="8"/>
            <color indexed="81"/>
            <rFont val="Tahoma"/>
            <family val="2"/>
          </rPr>
          <t xml:space="preserve">If no Hinge Colour is selected, 
then the default Hinge Colour and hardware 
will be supplied. 
The Hinge Colour options are;
Default
Stainless Steel
N/A
When Default is selected, the Hinge will be supplied 
as per the matching Hinge Colour list below;
Shutter Colour - </t>
        </r>
        <r>
          <rPr>
            <i/>
            <sz val="8"/>
            <color indexed="81"/>
            <rFont val="Tahoma"/>
            <family val="2"/>
          </rPr>
          <t>Hinge Colour</t>
        </r>
        <r>
          <rPr>
            <sz val="8"/>
            <color indexed="81"/>
            <rFont val="Tahoma"/>
            <family val="2"/>
          </rPr>
          <t xml:space="preserve">
   Bright White - </t>
        </r>
        <r>
          <rPr>
            <i/>
            <sz val="8"/>
            <color indexed="81"/>
            <rFont val="Tahoma"/>
            <family val="2"/>
          </rPr>
          <t>Bright White</t>
        </r>
        <r>
          <rPr>
            <sz val="8"/>
            <color indexed="81"/>
            <rFont val="Tahoma"/>
            <family val="2"/>
          </rPr>
          <t xml:space="preserve">
Classic White - </t>
        </r>
        <r>
          <rPr>
            <i/>
            <sz val="8"/>
            <color indexed="81"/>
            <rFont val="Tahoma"/>
            <family val="2"/>
          </rPr>
          <t>White</t>
        </r>
        <r>
          <rPr>
            <sz val="8"/>
            <color indexed="81"/>
            <rFont val="Tahoma"/>
            <family val="2"/>
          </rPr>
          <t xml:space="preserve">
Snow White - </t>
        </r>
        <r>
          <rPr>
            <i/>
            <sz val="8"/>
            <color indexed="81"/>
            <rFont val="Tahoma"/>
            <family val="2"/>
          </rPr>
          <t>Snow White</t>
        </r>
        <r>
          <rPr>
            <sz val="8"/>
            <color indexed="81"/>
            <rFont val="Tahoma"/>
            <family val="2"/>
          </rPr>
          <t xml:space="preserve">
Super White - </t>
        </r>
        <r>
          <rPr>
            <i/>
            <sz val="8"/>
            <color indexed="81"/>
            <rFont val="Tahoma"/>
            <family val="2"/>
          </rPr>
          <t>Snow White</t>
        </r>
        <r>
          <rPr>
            <sz val="8"/>
            <color indexed="81"/>
            <rFont val="Tahoma"/>
            <family val="2"/>
          </rPr>
          <t xml:space="preserve">
Vanilla - </t>
        </r>
        <r>
          <rPr>
            <i/>
            <sz val="8"/>
            <color indexed="81"/>
            <rFont val="Tahoma"/>
            <family val="2"/>
          </rPr>
          <t xml:space="preserve">Ivory
</t>
        </r>
        <r>
          <rPr>
            <sz val="8"/>
            <color indexed="81"/>
            <rFont val="Tahoma"/>
            <family val="2"/>
          </rPr>
          <t xml:space="preserve">Ceylon - </t>
        </r>
        <r>
          <rPr>
            <i/>
            <sz val="8"/>
            <color indexed="81"/>
            <rFont val="Tahoma"/>
            <family val="2"/>
          </rPr>
          <t>Ceylon</t>
        </r>
        <r>
          <rPr>
            <sz val="8"/>
            <color indexed="81"/>
            <rFont val="Tahoma"/>
            <family val="2"/>
          </rPr>
          <t xml:space="preserve">
Earl Grey - </t>
        </r>
        <r>
          <rPr>
            <i/>
            <sz val="8"/>
            <color indexed="81"/>
            <rFont val="Tahoma"/>
            <family val="2"/>
          </rPr>
          <t>Earl Grey</t>
        </r>
        <r>
          <rPr>
            <sz val="8"/>
            <color indexed="81"/>
            <rFont val="Tahoma"/>
            <family val="2"/>
          </rPr>
          <t xml:space="preserve">
French White - </t>
        </r>
        <r>
          <rPr>
            <i/>
            <sz val="8"/>
            <color indexed="81"/>
            <rFont val="Tahoma"/>
            <family val="2"/>
          </rPr>
          <t>French White</t>
        </r>
        <r>
          <rPr>
            <sz val="8"/>
            <color indexed="81"/>
            <rFont val="Tahoma"/>
            <family val="2"/>
          </rPr>
          <t xml:space="preserve">
Infinite White -</t>
        </r>
        <r>
          <rPr>
            <i/>
            <sz val="8"/>
            <color indexed="81"/>
            <rFont val="Tahoma"/>
            <family val="2"/>
          </rPr>
          <t xml:space="preserve"> Infinite White</t>
        </r>
        <r>
          <rPr>
            <sz val="8"/>
            <color indexed="81"/>
            <rFont val="Tahoma"/>
            <family val="2"/>
          </rPr>
          <t xml:space="preserve">
Polar White - </t>
        </r>
        <r>
          <rPr>
            <i/>
            <sz val="8"/>
            <color indexed="81"/>
            <rFont val="Tahoma"/>
            <family val="2"/>
          </rPr>
          <t>Polar White</t>
        </r>
        <r>
          <rPr>
            <sz val="8"/>
            <color indexed="81"/>
            <rFont val="Tahoma"/>
            <family val="2"/>
          </rPr>
          <t xml:space="preserve">
Quiet White - </t>
        </r>
        <r>
          <rPr>
            <i/>
            <sz val="8"/>
            <color indexed="81"/>
            <rFont val="Tahoma"/>
            <family val="2"/>
          </rPr>
          <t>Quiet White</t>
        </r>
        <r>
          <rPr>
            <sz val="8"/>
            <color indexed="81"/>
            <rFont val="Tahoma"/>
            <family val="2"/>
          </rPr>
          <t xml:space="preserve">
Snow Gum Grey - </t>
        </r>
        <r>
          <rPr>
            <i/>
            <sz val="8"/>
            <color indexed="81"/>
            <rFont val="Tahoma"/>
            <family val="2"/>
          </rPr>
          <t>Snow Gum Grey</t>
        </r>
        <r>
          <rPr>
            <sz val="8"/>
            <color indexed="81"/>
            <rFont val="Tahoma"/>
            <family val="2"/>
          </rPr>
          <t xml:space="preserve">
Snowy Mountains White - </t>
        </r>
        <r>
          <rPr>
            <i/>
            <sz val="8"/>
            <color indexed="81"/>
            <rFont val="Tahoma"/>
            <family val="2"/>
          </rPr>
          <t>Snowy Mountains White</t>
        </r>
        <r>
          <rPr>
            <sz val="8"/>
            <color indexed="81"/>
            <rFont val="Tahoma"/>
            <family val="2"/>
          </rPr>
          <t xml:space="preserve">
For standard Shutters in Fauxwood Designer Eco 
Standard 77mm Hinges will be used.
For standard Shutters in Fauxwood Designer Eco Plus, 
Fauxwood Designer Eco Night &amp; Luvre
Standard 90mm Hinges will be used.
The Pivot Hinged Colour options are;
White
Stainless Steel
Please refer to the Shutter Manual. 
</t>
        </r>
        <r>
          <rPr>
            <i/>
            <sz val="8"/>
            <color indexed="81"/>
            <rFont val="Tahoma"/>
            <family val="2"/>
          </rPr>
          <t>Stainless Steel Surcharge applies.</t>
        </r>
      </text>
    </comment>
    <comment ref="X11" authorId="0" shapeId="0" xr:uid="{413C12F7-EA8E-4C5D-BE69-805726AD958F}">
      <text>
        <r>
          <rPr>
            <sz val="8"/>
            <color indexed="81"/>
            <rFont val="Tahoma"/>
            <family val="2"/>
          </rPr>
          <t>Please Note: 
If Closed option is chosen then the blades 
can be damaged if they are left open 
when Sliding the Panel.
Open is not an option for 3 Tracks.</t>
        </r>
      </text>
    </comment>
    <comment ref="Y11" authorId="0" shapeId="0" xr:uid="{EF09DC68-6A6E-498D-B358-FB20CC2D4A8B}">
      <text>
        <r>
          <rPr>
            <sz val="8"/>
            <color indexed="81"/>
            <rFont val="Tahoma"/>
            <family val="2"/>
          </rPr>
          <t>If any T Posts are required then the measurements 
must be supplied under the next columns.
Measurements should be made from the left.
A Flat (Unbeaded) T Post can be ordered to match 
the Flat Stile Shutter in the Stile &amp; T Post column.</t>
        </r>
      </text>
    </comment>
    <comment ref="AC11" authorId="0" shapeId="0" xr:uid="{247ED4DF-B761-4B8C-96D1-9F03CAE4DF64}">
      <text>
        <r>
          <rPr>
            <sz val="8"/>
            <color indexed="81"/>
            <rFont val="Tahoma"/>
            <family val="2"/>
          </rPr>
          <t>The Stile &amp; T Post 
options are;
Default (Beaded)
Flat Stile &amp; T Post
A Flat (unbeaded) Small L Frame can be ordered 
under the Frame Type.</t>
        </r>
      </text>
    </comment>
    <comment ref="AD11" authorId="0" shapeId="0" xr:uid="{808A3549-0105-4F4E-9DEB-612C69858D3A}">
      <text>
        <r>
          <rPr>
            <sz val="8"/>
            <color indexed="81"/>
            <rFont val="Tahoma"/>
            <family val="2"/>
          </rPr>
          <t xml:space="preserve">The Designer Eco,  
Designer Eco Plus &amp; Luvre
Fluffy Strip options are;
No
Yes
Fluffy Strip is supplied with the Fauxwood Designer Eco Night Shutter.
</t>
        </r>
        <r>
          <rPr>
            <i/>
            <sz val="8"/>
            <color indexed="81"/>
            <rFont val="Tahoma"/>
            <family val="2"/>
          </rPr>
          <t>Fluffy Strip Surcharge applies.</t>
        </r>
      </text>
    </comment>
    <comment ref="C12" authorId="0" shapeId="0" xr:uid="{ED9AE7B9-ACE5-4390-8B8E-4784BDAB2DA2}">
      <text>
        <r>
          <rPr>
            <sz val="8"/>
            <color indexed="81"/>
            <rFont val="Tahoma"/>
            <family val="2"/>
          </rPr>
          <t xml:space="preserve">Minimum Width is 180mm.
Maximum Fauxwood Standard Size 
Width is 650mm.
Maximum Fauxwood Designer Eco Width with 
63mm Blades is 900mm.
Maximum Fauxwood Designer Eco Width with 
89mm Blades is 900mm.
Maximum Fauxwood Designer Eco Plus Width with 
63mm Blades is 950mm.
Maximum Fauxwood Designer Eco Plus Width with 
89mm Blades is 950mm.
Maximum Fauxwood Designer Eco Night 
Width is 650mm.
Maximum Luvre Width is 950mm.
Fauxwood Designer Eco &amp; 
Fauxwood Designer Eco Plus Panels 
with a Width larger than 650mm will require 
Aluminium Inserts.
Conditions apply.
</t>
        </r>
        <r>
          <rPr>
            <i/>
            <sz val="8"/>
            <color indexed="81"/>
            <rFont val="Tahoma"/>
            <family val="2"/>
          </rPr>
          <t>Please note: 
Larger Panels may sometimes require lifting in to the frame.</t>
        </r>
      </text>
    </comment>
    <comment ref="D12" authorId="0" shapeId="0" xr:uid="{3EBB0C80-C757-4B16-867D-4F31337CE29E}">
      <text>
        <r>
          <rPr>
            <sz val="8"/>
            <color indexed="81"/>
            <rFont val="Tahoma"/>
            <family val="2"/>
          </rPr>
          <t>Minimum Height is 350mm.
Maximum Fauxwood Height is 2600mm.</t>
        </r>
      </text>
    </comment>
    <comment ref="E12" authorId="0" shapeId="0" xr:uid="{A9E5441A-217E-4583-AAF2-5D1B409C673E}">
      <text>
        <r>
          <rPr>
            <sz val="8"/>
            <color indexed="81"/>
            <rFont val="Tahoma"/>
            <family val="2"/>
          </rPr>
          <t xml:space="preserve">In - Inside or Reveal Fit
Out - Outside or Face Fit
Alternative Option:
MS - Make Size
Panel Only Option
</t>
        </r>
        <r>
          <rPr>
            <i/>
            <sz val="8"/>
            <color indexed="81"/>
            <rFont val="Tahoma"/>
            <family val="2"/>
          </rPr>
          <t>(Used for specific requirements only)</t>
        </r>
      </text>
    </comment>
    <comment ref="F12" authorId="0" shapeId="0" xr:uid="{BA675630-5F6B-45F3-B5C0-5B0EE081E6A0}">
      <text>
        <r>
          <rPr>
            <sz val="8"/>
            <color indexed="81"/>
            <rFont val="Tahoma"/>
            <family val="2"/>
          </rPr>
          <t>Quantity is the number of Panels 
within the opening. 
If ordering Make Size (MS), 
this will be the number of Panels 
at this size.</t>
        </r>
      </text>
    </comment>
    <comment ref="G12" authorId="0" shapeId="0" xr:uid="{FB3CCFB2-E57E-490E-867E-6FFF769AA60D}">
      <text>
        <r>
          <rPr>
            <sz val="8"/>
            <color indexed="81"/>
            <rFont val="Tahoma"/>
            <family val="2"/>
          </rPr>
          <t>Fauxwood Designer Eco will be made with the standard profile 
Bottom Rail,  Mid Rail &amp; Top Rail.
Fauxwood Designer Eco Plus will be made with the 
reinforced curved profile Bottom Rail, Mid Rail &amp; Top Rail.
Fauxwood Designer Eco Night will be made with the 
curved grooved profile Bottom Rail, Mid Rail &amp; Top Rail.
Luvre will be made with the reinforced
curved profile Bottom Rail, Mid Rail &amp; Top Rail.
Fauxwood Designer Eco Plus, Fauxwood Designer Eco Night &amp; Luvre 
Surcharge applies.</t>
        </r>
      </text>
    </comment>
    <comment ref="H12" authorId="0" shapeId="0" xr:uid="{69D0FD2A-CAAC-4F35-9A16-19402A54826B}">
      <text>
        <r>
          <rPr>
            <sz val="8"/>
            <color indexed="81"/>
            <rFont val="Tahoma"/>
            <family val="2"/>
          </rPr>
          <t xml:space="preserve">Fauxwood Designer Colours options available;
Standard Colours;
Bright White
Classic White
Snow White
Super White
Vanilla
Specialty Colours;
Ceylon
Earl Grey
French White
Infinite White
Polar White
Quiet White
Snow Gum Grey
Snowy Mountains White
</t>
        </r>
        <r>
          <rPr>
            <i/>
            <sz val="8"/>
            <color indexed="81"/>
            <rFont val="Tahoma"/>
            <family val="2"/>
          </rPr>
          <t>Specialty Colours Surcharge applies.</t>
        </r>
        <r>
          <rPr>
            <sz val="8"/>
            <color indexed="81"/>
            <rFont val="Tahoma"/>
            <family val="2"/>
          </rPr>
          <t xml:space="preserve">
Luvre with Therme &amp; Scratch Resistant Paint 
Colours options available;
Snow White
Super White
</t>
        </r>
      </text>
    </comment>
    <comment ref="J12" authorId="0" shapeId="0" xr:uid="{1711366B-B96A-430B-AAA1-1E1807C531D2}">
      <text>
        <r>
          <rPr>
            <sz val="8"/>
            <color indexed="81"/>
            <rFont val="Tahoma"/>
            <family val="2"/>
          </rPr>
          <t>Fauxwood Designer Eco &amp; 
Fauxwood Designer Eco Plus 
Blade sizes options are;
63mm
89mm
Fauxwood Designer Eco Night  
Blade sizes options are;
92mm
Luvre Blade sizes options are;
89mm
114mm</t>
        </r>
      </text>
    </comment>
    <comment ref="K12" authorId="0" shapeId="0" xr:uid="{632DF706-885F-4DA4-B8EC-AC31B8CD50E9}">
      <text>
        <r>
          <rPr>
            <sz val="8"/>
            <color indexed="81"/>
            <rFont val="Tahoma"/>
            <family val="2"/>
          </rPr>
          <t>Mid Rail is required on Fauxwood Panels over 1500mm.
Cell will highlight yellow when Mid Rail is required.
Only one Critical Mid Rail is allowed.
A Mid Rail that is not marked "Critical" may be moved up or down 
up to 40mm to stop any gaps and increase/decrease the blade quantity.
Fauxwood Designer Eco will be made with the standard profile 
Bottom Rail,  Mid Rail &amp; Top Rail.
Fauxwood Designer Eco Plus will be made with the 
reinforced curved profile Bottom Rail, Mid Rail &amp; Top Rail.
Fauxwood Designer Eco Night will be made with the 
curved grooved profile Bottom Rail, Mid Rail &amp; Top Rail.
Luvre will be made with the reinforced
curved profile Bottom Rail, Mid Rail &amp; Top Rail.
Fauxwood Designer Eco Plus, Fauxwood Designer Eco Night &amp; Luvre Surcharge applies.</t>
        </r>
      </text>
    </comment>
    <comment ref="L12" authorId="0" shapeId="0" xr:uid="{8BBE93BD-179E-4A93-9BDC-63486555AB31}">
      <text>
        <r>
          <rPr>
            <sz val="8"/>
            <color indexed="81"/>
            <rFont val="Tahoma"/>
            <family val="2"/>
          </rPr>
          <t xml:space="preserve">The Fauxwood Designer Eco, 
Fauxwood Designer Eco Plus 
&amp; Luvre Window Type options are;
Standard
Bay Window
Corner Window
Door Cut Out
Shaped Arch
Shaped Hexagon
Shaped Octagon
Shaped Oval
Shaped Parallelogram
Shaped Raked
Shaped Round
Shaped Sunburst
Shaped Triangle
These Shapes are not available
with the Rack &amp; Pinion Tiltrod;
Shaped Arch
Shaped Hexagon
Shaped Octagon
Shaped Oval
Shaped Round
Shaped Sunburst
The Fauxwood Designer Eco Night Window Type 
options are;
Standard
Bay Window
Corner Window
</t>
        </r>
        <r>
          <rPr>
            <i/>
            <sz val="8"/>
            <color indexed="81"/>
            <rFont val="Tahoma"/>
            <family val="2"/>
          </rPr>
          <t xml:space="preserve">
</t>
        </r>
        <r>
          <rPr>
            <sz val="8"/>
            <color indexed="81"/>
            <rFont val="Tahoma"/>
            <family val="2"/>
          </rPr>
          <t>Shaped Shutters will need the Panel Layout to be 
compatible with the Hidden Tiltrod system.</t>
        </r>
      </text>
    </comment>
    <comment ref="M12" authorId="0" shapeId="0" xr:uid="{9B60DEAC-978E-4967-A0DE-484E3579793F}">
      <text>
        <r>
          <rPr>
            <sz val="8"/>
            <color indexed="81"/>
            <rFont val="Tahoma"/>
            <family val="2"/>
          </rPr>
          <t>Mounting Method is dependent 
on  MS, In Or Out &amp; Product.
For IN &amp; Fauxwood Designer Eco,  
Fauxwood Designer Eco Plus 
&amp; Luvre the options are;
Double Hinged
Fixed
Hinged
Pivot Hinged
Sliding
Track Bi Fold
For OUT &amp; Fauxwood Designer Eco,  
Fauxwood Designer Eco Plus 
&amp; Luvre the options are;
Double Hinged
Hinged
Pivot Hinged
Sliding
Track Bi Fold
For IN &amp; Fauxwood Designer Eco Night 
the options are;
Fixed
Hinged
For OUT &amp; Fauxwood Designer Eco Night 
the options are;
Fixed
Hinged
For MS, the options are;
N/A
Pivot Hinged is not recommended for 
Designer Eco Plus or Luvre.</t>
        </r>
      </text>
    </comment>
    <comment ref="N12" authorId="0" shapeId="0" xr:uid="{3B77E43F-BFE7-46BF-83B7-2914D96DE645}">
      <text>
        <r>
          <rPr>
            <sz val="8"/>
            <color indexed="81"/>
            <rFont val="Tahoma"/>
            <family val="2"/>
          </rPr>
          <t>For Sliding Track System options are;
Top Hung (Original System)
Bottom Wheel (New System)
The Top Hung (Original System) uses 
Top Wheels Mounting.
The Bottom Wheel (New System) uses a 
U Channel at the Top and 
Wheels at the Bottom.
This option cannot have a Floor Guide or 
Track On Board.</t>
        </r>
      </text>
    </comment>
    <comment ref="O12" authorId="0" shapeId="0" xr:uid="{E814B940-4B11-43D8-A917-C58911BE4CAB}">
      <text>
        <r>
          <rPr>
            <sz val="8"/>
            <color indexed="81"/>
            <rFont val="Tahoma"/>
            <family val="2"/>
          </rPr>
          <t>Please refer to the Shutter Manual 
when selecting Layout Code.
The list provides the most common options, 
which are dependent on Mounting Method.
More complex Layout Codes can still be entered manually.</t>
        </r>
      </text>
    </comment>
    <comment ref="P12" authorId="0" shapeId="0" xr:uid="{D90C915A-03CC-4B74-B319-CDD19CA91DB5}">
      <text>
        <r>
          <rPr>
            <sz val="8"/>
            <color indexed="81"/>
            <rFont val="Tahoma"/>
            <family val="2"/>
          </rPr>
          <t>Frame Type is dependent on
 Mounting Method.
If a Flat (unbeaded) Small L Frame 
is selected, a matching Stile &amp; T Post can be 
ordered in the Stile &amp; T Post column.</t>
        </r>
      </text>
    </comment>
    <comment ref="V12" authorId="0" shapeId="0" xr:uid="{40908140-0D58-466D-AED1-A547F3C46489}">
      <text>
        <r>
          <rPr>
            <sz val="8"/>
            <color indexed="81"/>
            <rFont val="Tahoma"/>
            <family val="2"/>
          </rPr>
          <t>This option is dependent on the 
Material &amp; Product 
and will only be available once this 
option is selected.
For Fauxwood Designer Eco
&amp; Fauxwood Designer Eco Plus 
the options are;
Hidden
Centre
Off-Set
Rack &amp; Pinion
These Shapes are not available
with the Rack &amp; Pinion Tiltrod;
Shaped Arch
Shaped Hexagon
Shaped Octagon
Shaped Oval
Shaped Round
Shaped Sunburst
For Fauxwood Designer Eco Night
the options are;
Hidden
For Luvre the options are;
Hidden</t>
        </r>
      </text>
    </comment>
    <comment ref="W12" authorId="0" shapeId="0" xr:uid="{11B2AF24-E804-4258-923F-AC2F33F3C717}">
      <text>
        <r>
          <rPr>
            <sz val="8"/>
            <color indexed="81"/>
            <rFont val="Tahoma"/>
            <family val="2"/>
          </rPr>
          <t xml:space="preserve">If no Hinge Colour is selected, 
then the default Hinge Colour and hardware 
will be supplied. 
The Hinge Colour options are;
Default
Stainless Steel
N/A
When Default is selected, the Hinge will be supplied 
as per the matching Hinge Colour list below;
Shutter Colour - </t>
        </r>
        <r>
          <rPr>
            <i/>
            <sz val="8"/>
            <color indexed="81"/>
            <rFont val="Tahoma"/>
            <family val="2"/>
          </rPr>
          <t>Hinge Colour</t>
        </r>
        <r>
          <rPr>
            <sz val="8"/>
            <color indexed="81"/>
            <rFont val="Tahoma"/>
            <family val="2"/>
          </rPr>
          <t xml:space="preserve">
   Bright White - </t>
        </r>
        <r>
          <rPr>
            <i/>
            <sz val="8"/>
            <color indexed="81"/>
            <rFont val="Tahoma"/>
            <family val="2"/>
          </rPr>
          <t>Bright White</t>
        </r>
        <r>
          <rPr>
            <sz val="8"/>
            <color indexed="81"/>
            <rFont val="Tahoma"/>
            <family val="2"/>
          </rPr>
          <t xml:space="preserve">
Classic White - </t>
        </r>
        <r>
          <rPr>
            <i/>
            <sz val="8"/>
            <color indexed="81"/>
            <rFont val="Tahoma"/>
            <family val="2"/>
          </rPr>
          <t>White</t>
        </r>
        <r>
          <rPr>
            <sz val="8"/>
            <color indexed="81"/>
            <rFont val="Tahoma"/>
            <family val="2"/>
          </rPr>
          <t xml:space="preserve">
Snow White - </t>
        </r>
        <r>
          <rPr>
            <i/>
            <sz val="8"/>
            <color indexed="81"/>
            <rFont val="Tahoma"/>
            <family val="2"/>
          </rPr>
          <t>Snow White</t>
        </r>
        <r>
          <rPr>
            <sz val="8"/>
            <color indexed="81"/>
            <rFont val="Tahoma"/>
            <family val="2"/>
          </rPr>
          <t xml:space="preserve">
Super White - </t>
        </r>
        <r>
          <rPr>
            <i/>
            <sz val="8"/>
            <color indexed="81"/>
            <rFont val="Tahoma"/>
            <family val="2"/>
          </rPr>
          <t>Snow White</t>
        </r>
        <r>
          <rPr>
            <sz val="8"/>
            <color indexed="81"/>
            <rFont val="Tahoma"/>
            <family val="2"/>
          </rPr>
          <t xml:space="preserve">
Vanilla - </t>
        </r>
        <r>
          <rPr>
            <i/>
            <sz val="8"/>
            <color indexed="81"/>
            <rFont val="Tahoma"/>
            <family val="2"/>
          </rPr>
          <t xml:space="preserve">Ivory
</t>
        </r>
        <r>
          <rPr>
            <sz val="8"/>
            <color indexed="81"/>
            <rFont val="Tahoma"/>
            <family val="2"/>
          </rPr>
          <t xml:space="preserve">Ceylon - </t>
        </r>
        <r>
          <rPr>
            <i/>
            <sz val="8"/>
            <color indexed="81"/>
            <rFont val="Tahoma"/>
            <family val="2"/>
          </rPr>
          <t>Ceylon</t>
        </r>
        <r>
          <rPr>
            <sz val="8"/>
            <color indexed="81"/>
            <rFont val="Tahoma"/>
            <family val="2"/>
          </rPr>
          <t xml:space="preserve">
Earl Grey - </t>
        </r>
        <r>
          <rPr>
            <i/>
            <sz val="8"/>
            <color indexed="81"/>
            <rFont val="Tahoma"/>
            <family val="2"/>
          </rPr>
          <t>Earl Grey</t>
        </r>
        <r>
          <rPr>
            <sz val="8"/>
            <color indexed="81"/>
            <rFont val="Tahoma"/>
            <family val="2"/>
          </rPr>
          <t xml:space="preserve">
French White - </t>
        </r>
        <r>
          <rPr>
            <i/>
            <sz val="8"/>
            <color indexed="81"/>
            <rFont val="Tahoma"/>
            <family val="2"/>
          </rPr>
          <t>French White</t>
        </r>
        <r>
          <rPr>
            <sz val="8"/>
            <color indexed="81"/>
            <rFont val="Tahoma"/>
            <family val="2"/>
          </rPr>
          <t xml:space="preserve">
Infinite White -</t>
        </r>
        <r>
          <rPr>
            <i/>
            <sz val="8"/>
            <color indexed="81"/>
            <rFont val="Tahoma"/>
            <family val="2"/>
          </rPr>
          <t xml:space="preserve"> Infinite White</t>
        </r>
        <r>
          <rPr>
            <sz val="8"/>
            <color indexed="81"/>
            <rFont val="Tahoma"/>
            <family val="2"/>
          </rPr>
          <t xml:space="preserve">
Polar White - </t>
        </r>
        <r>
          <rPr>
            <i/>
            <sz val="8"/>
            <color indexed="81"/>
            <rFont val="Tahoma"/>
            <family val="2"/>
          </rPr>
          <t>Polar White</t>
        </r>
        <r>
          <rPr>
            <sz val="8"/>
            <color indexed="81"/>
            <rFont val="Tahoma"/>
            <family val="2"/>
          </rPr>
          <t xml:space="preserve">
Quiet White - </t>
        </r>
        <r>
          <rPr>
            <i/>
            <sz val="8"/>
            <color indexed="81"/>
            <rFont val="Tahoma"/>
            <family val="2"/>
          </rPr>
          <t>Quiet White</t>
        </r>
        <r>
          <rPr>
            <sz val="8"/>
            <color indexed="81"/>
            <rFont val="Tahoma"/>
            <family val="2"/>
          </rPr>
          <t xml:space="preserve">
Snow Gum Grey - </t>
        </r>
        <r>
          <rPr>
            <i/>
            <sz val="8"/>
            <color indexed="81"/>
            <rFont val="Tahoma"/>
            <family val="2"/>
          </rPr>
          <t>Snow Gum Grey</t>
        </r>
        <r>
          <rPr>
            <sz val="8"/>
            <color indexed="81"/>
            <rFont val="Tahoma"/>
            <family val="2"/>
          </rPr>
          <t xml:space="preserve">
Snowy Mountains White - </t>
        </r>
        <r>
          <rPr>
            <i/>
            <sz val="8"/>
            <color indexed="81"/>
            <rFont val="Tahoma"/>
            <family val="2"/>
          </rPr>
          <t>Snowy Mountains White</t>
        </r>
        <r>
          <rPr>
            <sz val="8"/>
            <color indexed="81"/>
            <rFont val="Tahoma"/>
            <family val="2"/>
          </rPr>
          <t xml:space="preserve">
For standard Shutters in Fauxwood Designer Eco 
Standard 77mm Hinges will be used.
For standard Shutters in Fauxwood Designer Eco Plus, 
Fauxwood Designer Eco Night &amp; Luvre
Standard 90mm Hinges will be used.
The Pivot Hinged Colour options are;
White
Stainless Steel
Please refer to the Shutter Manual. 
</t>
        </r>
        <r>
          <rPr>
            <i/>
            <sz val="8"/>
            <color indexed="81"/>
            <rFont val="Tahoma"/>
            <family val="2"/>
          </rPr>
          <t>Stainless Steel Surcharge applies.</t>
        </r>
      </text>
    </comment>
    <comment ref="X12" authorId="0" shapeId="0" xr:uid="{CC48CF15-B51C-44D7-A924-64CB33D78434}">
      <text>
        <r>
          <rPr>
            <sz val="8"/>
            <color indexed="81"/>
            <rFont val="Tahoma"/>
            <family val="2"/>
          </rPr>
          <t>Please Note: 
If Closed option is chosen then the blades 
can be damaged if they are left open 
when Sliding the Panel.
Open is not an option for 3 Tracks.</t>
        </r>
      </text>
    </comment>
    <comment ref="Y12" authorId="0" shapeId="0" xr:uid="{EAA257CA-7606-489B-BFFD-6A4BBE4E3BE0}">
      <text>
        <r>
          <rPr>
            <sz val="8"/>
            <color indexed="81"/>
            <rFont val="Tahoma"/>
            <family val="2"/>
          </rPr>
          <t>If any T Posts are required then the measurements 
must be supplied under the next columns.
Measurements should be made from the left.
A Flat (Unbeaded) T Post can be ordered to match 
the Flat Stile Shutter in the Stile &amp; T Post column.</t>
        </r>
      </text>
    </comment>
    <comment ref="AC12" authorId="0" shapeId="0" xr:uid="{182EB2AA-7578-465F-8600-A81C1C4EF712}">
      <text>
        <r>
          <rPr>
            <sz val="8"/>
            <color indexed="81"/>
            <rFont val="Tahoma"/>
            <family val="2"/>
          </rPr>
          <t>The Stile &amp; T Post 
options are;
Default (Beaded)
Flat Stile &amp; T Post
A Flat (unbeaded) Small L Frame can be ordered 
under the Frame Type.</t>
        </r>
      </text>
    </comment>
    <comment ref="AD12" authorId="0" shapeId="0" xr:uid="{2FF1D136-16A8-4DE6-AA6F-A78F37D4725F}">
      <text>
        <r>
          <rPr>
            <sz val="8"/>
            <color indexed="81"/>
            <rFont val="Tahoma"/>
            <family val="2"/>
          </rPr>
          <t xml:space="preserve">The Designer Eco,  
Designer Eco Plus &amp; Luvre
Fluffy Strip options are;
No
Yes
Fluffy Strip is supplied with the Fauxwood Designer Eco Night Shutter.
</t>
        </r>
        <r>
          <rPr>
            <i/>
            <sz val="8"/>
            <color indexed="81"/>
            <rFont val="Tahoma"/>
            <family val="2"/>
          </rPr>
          <t>Fluffy Strip Surcharge applies.</t>
        </r>
      </text>
    </comment>
    <comment ref="C13" authorId="0" shapeId="0" xr:uid="{2A870CCB-34E5-4980-A2F8-7D316A705C9C}">
      <text>
        <r>
          <rPr>
            <sz val="8"/>
            <color indexed="81"/>
            <rFont val="Tahoma"/>
            <family val="2"/>
          </rPr>
          <t xml:space="preserve">Minimum Width is 180mm.
Maximum Fauxwood Standard Size 
Width is 650mm.
Maximum Fauxwood Designer Eco Width with 
63mm Blades is 900mm.
Maximum Fauxwood Designer Eco Width with 
89mm Blades is 900mm.
Maximum Fauxwood Designer Eco Plus Width with 
63mm Blades is 950mm.
Maximum Fauxwood Designer Eco Plus Width with 
89mm Blades is 950mm.
Maximum Fauxwood Designer Eco Night 
Width is 650mm.
Maximum Luvre Width is 950mm.
Fauxwood Designer Eco &amp; 
Fauxwood Designer Eco Plus Panels 
with a Width larger than 650mm will require 
Aluminium Inserts.
Conditions apply.
</t>
        </r>
        <r>
          <rPr>
            <i/>
            <sz val="8"/>
            <color indexed="81"/>
            <rFont val="Tahoma"/>
            <family val="2"/>
          </rPr>
          <t>Please note: 
Larger Panels may sometimes require lifting in to the frame.</t>
        </r>
      </text>
    </comment>
    <comment ref="D13" authorId="0" shapeId="0" xr:uid="{D279D577-5D95-4775-8226-958B18AE25C2}">
      <text>
        <r>
          <rPr>
            <sz val="8"/>
            <color indexed="81"/>
            <rFont val="Tahoma"/>
            <family val="2"/>
          </rPr>
          <t>Minimum Height is 350mm.
Maximum Fauxwood Height is 2600mm.</t>
        </r>
      </text>
    </comment>
    <comment ref="E13" authorId="0" shapeId="0" xr:uid="{F4DD139A-B6E6-41DA-98F2-94879A43834F}">
      <text>
        <r>
          <rPr>
            <sz val="8"/>
            <color indexed="81"/>
            <rFont val="Tahoma"/>
            <family val="2"/>
          </rPr>
          <t xml:space="preserve">In - Inside or Reveal Fit
Out - Outside or Face Fit
Alternative Option:
MS - Make Size
Panel Only Option
</t>
        </r>
        <r>
          <rPr>
            <i/>
            <sz val="8"/>
            <color indexed="81"/>
            <rFont val="Tahoma"/>
            <family val="2"/>
          </rPr>
          <t>(Used for specific requirements only)</t>
        </r>
      </text>
    </comment>
    <comment ref="F13" authorId="0" shapeId="0" xr:uid="{3FAF2186-A31C-4D06-A9C7-777C2CE5E970}">
      <text>
        <r>
          <rPr>
            <sz val="8"/>
            <color indexed="81"/>
            <rFont val="Tahoma"/>
            <family val="2"/>
          </rPr>
          <t>Quantity is the number of Panels 
within the opening. 
If ordering Make Size (MS), 
this will be the number of Panels 
at this size.</t>
        </r>
      </text>
    </comment>
    <comment ref="G13" authorId="0" shapeId="0" xr:uid="{07BF8F3B-2E5C-4C72-99CC-D5970D6177CD}">
      <text>
        <r>
          <rPr>
            <sz val="8"/>
            <color indexed="81"/>
            <rFont val="Tahoma"/>
            <family val="2"/>
          </rPr>
          <t>Fauxwood Designer Eco will be made with the standard profile 
Bottom Rail,  Mid Rail &amp; Top Rail.
Fauxwood Designer Eco Plus will be made with the 
reinforced curved profile Bottom Rail, Mid Rail &amp; Top Rail.
Fauxwood Designer Eco Night will be made with the 
curved grooved profile Bottom Rail, Mid Rail &amp; Top Rail.
Luvre will be made with the reinforced
curved profile Bottom Rail, Mid Rail &amp; Top Rail.
Fauxwood Designer Eco Plus, Fauxwood Designer Eco Night &amp; Luvre 
Surcharge applies.</t>
        </r>
      </text>
    </comment>
    <comment ref="H13" authorId="0" shapeId="0" xr:uid="{55E7CF2F-795E-4E40-A588-8C870123DC1E}">
      <text>
        <r>
          <rPr>
            <sz val="8"/>
            <color indexed="81"/>
            <rFont val="Tahoma"/>
            <family val="2"/>
          </rPr>
          <t xml:space="preserve">Fauxwood Designer Colours options available;
Standard Colours;
Bright White
Classic White
Snow White
Super White
Vanilla
Specialty Colours;
Ceylon
Earl Grey
French White
Infinite White
Polar White
Quiet White
Snow Gum Grey
Snowy Mountains White
</t>
        </r>
        <r>
          <rPr>
            <i/>
            <sz val="8"/>
            <color indexed="81"/>
            <rFont val="Tahoma"/>
            <family val="2"/>
          </rPr>
          <t>Specialty Colours Surcharge applies.</t>
        </r>
        <r>
          <rPr>
            <sz val="8"/>
            <color indexed="81"/>
            <rFont val="Tahoma"/>
            <family val="2"/>
          </rPr>
          <t xml:space="preserve">
Luvre with Therme &amp; Scratch Resistant Paint 
Colours options available;
Snow White
Super White
</t>
        </r>
      </text>
    </comment>
    <comment ref="J13" authorId="0" shapeId="0" xr:uid="{EC22DFE5-D356-491C-9010-D3CC7CD50F6A}">
      <text>
        <r>
          <rPr>
            <sz val="8"/>
            <color indexed="81"/>
            <rFont val="Tahoma"/>
            <family val="2"/>
          </rPr>
          <t>Fauxwood Designer Eco &amp; 
Fauxwood Designer Eco Plus 
Blade sizes options are;
63mm
89mm
Fauxwood Designer Eco Night  
Blade sizes options are;
92mm
Luvre Blade sizes options are;
89mm
114mm</t>
        </r>
      </text>
    </comment>
    <comment ref="K13" authorId="0" shapeId="0" xr:uid="{18522510-3C7E-435B-90C9-3D60100C5035}">
      <text>
        <r>
          <rPr>
            <sz val="8"/>
            <color indexed="81"/>
            <rFont val="Tahoma"/>
            <family val="2"/>
          </rPr>
          <t>Mid Rail is required on Fauxwood Panels over 1500mm.
Cell will highlight yellow when Mid Rail is required.
Only one Critical Mid Rail is allowed.
A Mid Rail that is not marked "Critical" may be moved up or down 
up to 40mm to stop any gaps and increase/decrease the blade quantity.
Fauxwood Designer Eco will be made with the standard profile 
Bottom Rail,  Mid Rail &amp; Top Rail.
Fauxwood Designer Eco Plus will be made with the 
reinforced curved profile Bottom Rail, Mid Rail &amp; Top Rail.
Fauxwood Designer Eco Night will be made with the 
curved grooved profile Bottom Rail, Mid Rail &amp; Top Rail.
Luvre will be made with the reinforced
curved profile Bottom Rail, Mid Rail &amp; Top Rail.
Fauxwood Designer Eco Plus, Fauxwood Designer Eco Night &amp; Luvre Surcharge applies.</t>
        </r>
      </text>
    </comment>
    <comment ref="L13" authorId="0" shapeId="0" xr:uid="{C0D5426F-E285-485C-B2FF-175143F345A8}">
      <text>
        <r>
          <rPr>
            <sz val="8"/>
            <color indexed="81"/>
            <rFont val="Tahoma"/>
            <family val="2"/>
          </rPr>
          <t xml:space="preserve">The Fauxwood Designer Eco, 
Fauxwood Designer Eco Plus 
&amp; Luvre Window Type options are;
Standard
Bay Window
Corner Window
Door Cut Out
Shaped Arch
Shaped Hexagon
Shaped Octagon
Shaped Oval
Shaped Parallelogram
Shaped Raked
Shaped Round
Shaped Sunburst
Shaped Triangle
These Shapes are not available
with the Rack &amp; Pinion Tiltrod;
Shaped Arch
Shaped Hexagon
Shaped Octagon
Shaped Oval
Shaped Round
Shaped Sunburst
The Fauxwood Designer Eco Night Window Type 
options are;
Standard
Bay Window
Corner Window
</t>
        </r>
        <r>
          <rPr>
            <i/>
            <sz val="8"/>
            <color indexed="81"/>
            <rFont val="Tahoma"/>
            <family val="2"/>
          </rPr>
          <t xml:space="preserve">
</t>
        </r>
        <r>
          <rPr>
            <sz val="8"/>
            <color indexed="81"/>
            <rFont val="Tahoma"/>
            <family val="2"/>
          </rPr>
          <t>Shaped Shutters will need the Panel Layout to be 
compatible with the Hidden Tiltrod system.</t>
        </r>
      </text>
    </comment>
    <comment ref="M13" authorId="0" shapeId="0" xr:uid="{AC38E00C-9722-45D3-944F-9FE9DED25251}">
      <text>
        <r>
          <rPr>
            <sz val="8"/>
            <color indexed="81"/>
            <rFont val="Tahoma"/>
            <family val="2"/>
          </rPr>
          <t>Mounting Method is dependent 
on  MS, In Or Out &amp; Product.
For IN &amp; Fauxwood Designer Eco,  
Fauxwood Designer Eco Plus 
&amp; Luvre the options are;
Double Hinged
Fixed
Hinged
Pivot Hinged
Sliding
Track Bi Fold
For OUT &amp; Fauxwood Designer Eco,  
Fauxwood Designer Eco Plus 
&amp; Luvre the options are;
Double Hinged
Hinged
Pivot Hinged
Sliding
Track Bi Fold
For IN &amp; Fauxwood Designer Eco Night 
the options are;
Fixed
Hinged
For OUT &amp; Fauxwood Designer Eco Night 
the options are;
Fixed
Hinged
For MS, the options are;
N/A
Pivot Hinged is not recommended for 
Designer Eco Plus or Luvre.</t>
        </r>
      </text>
    </comment>
    <comment ref="N13" authorId="0" shapeId="0" xr:uid="{258D0F75-BA1B-40D2-B767-0979035810A3}">
      <text>
        <r>
          <rPr>
            <sz val="8"/>
            <color indexed="81"/>
            <rFont val="Tahoma"/>
            <family val="2"/>
          </rPr>
          <t>For Sliding Track System options are;
Top Hung (Original System)
Bottom Wheel (New System)
The Top Hung (Original System) uses 
Top Wheels Mounting.
The Bottom Wheel (New System) uses a 
U Channel at the Top and 
Wheels at the Bottom.
This option cannot have a Floor Guide or 
Track On Board.</t>
        </r>
      </text>
    </comment>
    <comment ref="O13" authorId="0" shapeId="0" xr:uid="{66C5B049-9364-40C0-978D-C45C81C2A9B2}">
      <text>
        <r>
          <rPr>
            <sz val="8"/>
            <color indexed="81"/>
            <rFont val="Tahoma"/>
            <family val="2"/>
          </rPr>
          <t>Please refer to the Shutter Manual 
when selecting Layout Code.
The list provides the most common options, 
which are dependent on Mounting Method.
More complex Layout Codes can still be entered manually.</t>
        </r>
      </text>
    </comment>
    <comment ref="P13" authorId="0" shapeId="0" xr:uid="{1B55DE75-1FBF-45DC-95E1-9B06D490B8EA}">
      <text>
        <r>
          <rPr>
            <sz val="8"/>
            <color indexed="81"/>
            <rFont val="Tahoma"/>
            <family val="2"/>
          </rPr>
          <t>Frame Type is dependent on
 Mounting Method.
If a Flat (unbeaded) Small L Frame 
is selected, a matching Stile &amp; T Post can be 
ordered in the Stile &amp; T Post column.</t>
        </r>
      </text>
    </comment>
    <comment ref="V13" authorId="0" shapeId="0" xr:uid="{6908BE2E-BE49-44FC-B35C-3CE7556AFAD5}">
      <text>
        <r>
          <rPr>
            <sz val="8"/>
            <color indexed="81"/>
            <rFont val="Tahoma"/>
            <family val="2"/>
          </rPr>
          <t>This option is dependent on the 
Material &amp; Product 
and will only be available once this 
option is selected.
For Fauxwood Designer Eco
&amp; Fauxwood Designer Eco Plus 
the options are;
Hidden
Centre
Off-Set
Rack &amp; Pinion
These Shapes are not available
with the Rack &amp; Pinion Tiltrod;
Shaped Arch
Shaped Hexagon
Shaped Octagon
Shaped Oval
Shaped Round
Shaped Sunburst
For Fauxwood Designer Eco Night
the options are;
Hidden
For Luvre the options are;
Hidden</t>
        </r>
      </text>
    </comment>
    <comment ref="W13" authorId="0" shapeId="0" xr:uid="{860F9A50-906C-473E-B36A-7CD3CC110BE0}">
      <text>
        <r>
          <rPr>
            <sz val="8"/>
            <color indexed="81"/>
            <rFont val="Tahoma"/>
            <family val="2"/>
          </rPr>
          <t xml:space="preserve">If no Hinge Colour is selected, 
then the default Hinge Colour and hardware 
will be supplied. 
The Hinge Colour options are;
Default
Stainless Steel
N/A
When Default is selected, the Hinge will be supplied 
as per the matching Hinge Colour list below;
Shutter Colour - </t>
        </r>
        <r>
          <rPr>
            <i/>
            <sz val="8"/>
            <color indexed="81"/>
            <rFont val="Tahoma"/>
            <family val="2"/>
          </rPr>
          <t>Hinge Colour</t>
        </r>
        <r>
          <rPr>
            <sz val="8"/>
            <color indexed="81"/>
            <rFont val="Tahoma"/>
            <family val="2"/>
          </rPr>
          <t xml:space="preserve">
   Bright White - </t>
        </r>
        <r>
          <rPr>
            <i/>
            <sz val="8"/>
            <color indexed="81"/>
            <rFont val="Tahoma"/>
            <family val="2"/>
          </rPr>
          <t>Bright White</t>
        </r>
        <r>
          <rPr>
            <sz val="8"/>
            <color indexed="81"/>
            <rFont val="Tahoma"/>
            <family val="2"/>
          </rPr>
          <t xml:space="preserve">
Classic White - </t>
        </r>
        <r>
          <rPr>
            <i/>
            <sz val="8"/>
            <color indexed="81"/>
            <rFont val="Tahoma"/>
            <family val="2"/>
          </rPr>
          <t>White</t>
        </r>
        <r>
          <rPr>
            <sz val="8"/>
            <color indexed="81"/>
            <rFont val="Tahoma"/>
            <family val="2"/>
          </rPr>
          <t xml:space="preserve">
Snow White - </t>
        </r>
        <r>
          <rPr>
            <i/>
            <sz val="8"/>
            <color indexed="81"/>
            <rFont val="Tahoma"/>
            <family val="2"/>
          </rPr>
          <t>Snow White</t>
        </r>
        <r>
          <rPr>
            <sz val="8"/>
            <color indexed="81"/>
            <rFont val="Tahoma"/>
            <family val="2"/>
          </rPr>
          <t xml:space="preserve">
Super White - </t>
        </r>
        <r>
          <rPr>
            <i/>
            <sz val="8"/>
            <color indexed="81"/>
            <rFont val="Tahoma"/>
            <family val="2"/>
          </rPr>
          <t>Snow White</t>
        </r>
        <r>
          <rPr>
            <sz val="8"/>
            <color indexed="81"/>
            <rFont val="Tahoma"/>
            <family val="2"/>
          </rPr>
          <t xml:space="preserve">
Vanilla - </t>
        </r>
        <r>
          <rPr>
            <i/>
            <sz val="8"/>
            <color indexed="81"/>
            <rFont val="Tahoma"/>
            <family val="2"/>
          </rPr>
          <t xml:space="preserve">Ivory
</t>
        </r>
        <r>
          <rPr>
            <sz val="8"/>
            <color indexed="81"/>
            <rFont val="Tahoma"/>
            <family val="2"/>
          </rPr>
          <t xml:space="preserve">Ceylon - </t>
        </r>
        <r>
          <rPr>
            <i/>
            <sz val="8"/>
            <color indexed="81"/>
            <rFont val="Tahoma"/>
            <family val="2"/>
          </rPr>
          <t>Ceylon</t>
        </r>
        <r>
          <rPr>
            <sz val="8"/>
            <color indexed="81"/>
            <rFont val="Tahoma"/>
            <family val="2"/>
          </rPr>
          <t xml:space="preserve">
Earl Grey - </t>
        </r>
        <r>
          <rPr>
            <i/>
            <sz val="8"/>
            <color indexed="81"/>
            <rFont val="Tahoma"/>
            <family val="2"/>
          </rPr>
          <t>Earl Grey</t>
        </r>
        <r>
          <rPr>
            <sz val="8"/>
            <color indexed="81"/>
            <rFont val="Tahoma"/>
            <family val="2"/>
          </rPr>
          <t xml:space="preserve">
French White - </t>
        </r>
        <r>
          <rPr>
            <i/>
            <sz val="8"/>
            <color indexed="81"/>
            <rFont val="Tahoma"/>
            <family val="2"/>
          </rPr>
          <t>French White</t>
        </r>
        <r>
          <rPr>
            <sz val="8"/>
            <color indexed="81"/>
            <rFont val="Tahoma"/>
            <family val="2"/>
          </rPr>
          <t xml:space="preserve">
Infinite White -</t>
        </r>
        <r>
          <rPr>
            <i/>
            <sz val="8"/>
            <color indexed="81"/>
            <rFont val="Tahoma"/>
            <family val="2"/>
          </rPr>
          <t xml:space="preserve"> Infinite White</t>
        </r>
        <r>
          <rPr>
            <sz val="8"/>
            <color indexed="81"/>
            <rFont val="Tahoma"/>
            <family val="2"/>
          </rPr>
          <t xml:space="preserve">
Polar White - </t>
        </r>
        <r>
          <rPr>
            <i/>
            <sz val="8"/>
            <color indexed="81"/>
            <rFont val="Tahoma"/>
            <family val="2"/>
          </rPr>
          <t>Polar White</t>
        </r>
        <r>
          <rPr>
            <sz val="8"/>
            <color indexed="81"/>
            <rFont val="Tahoma"/>
            <family val="2"/>
          </rPr>
          <t xml:space="preserve">
Quiet White - </t>
        </r>
        <r>
          <rPr>
            <i/>
            <sz val="8"/>
            <color indexed="81"/>
            <rFont val="Tahoma"/>
            <family val="2"/>
          </rPr>
          <t>Quiet White</t>
        </r>
        <r>
          <rPr>
            <sz val="8"/>
            <color indexed="81"/>
            <rFont val="Tahoma"/>
            <family val="2"/>
          </rPr>
          <t xml:space="preserve">
Snow Gum Grey - </t>
        </r>
        <r>
          <rPr>
            <i/>
            <sz val="8"/>
            <color indexed="81"/>
            <rFont val="Tahoma"/>
            <family val="2"/>
          </rPr>
          <t>Snow Gum Grey</t>
        </r>
        <r>
          <rPr>
            <sz val="8"/>
            <color indexed="81"/>
            <rFont val="Tahoma"/>
            <family val="2"/>
          </rPr>
          <t xml:space="preserve">
Snowy Mountains White - </t>
        </r>
        <r>
          <rPr>
            <i/>
            <sz val="8"/>
            <color indexed="81"/>
            <rFont val="Tahoma"/>
            <family val="2"/>
          </rPr>
          <t>Snowy Mountains White</t>
        </r>
        <r>
          <rPr>
            <sz val="8"/>
            <color indexed="81"/>
            <rFont val="Tahoma"/>
            <family val="2"/>
          </rPr>
          <t xml:space="preserve">
For standard Shutters in Fauxwood Designer Eco 
Standard 77mm Hinges will be used.
For standard Shutters in Fauxwood Designer Eco Plus, 
Fauxwood Designer Eco Night &amp; Luvre
Standard 90mm Hinges will be used.
The Pivot Hinged Colour options are;
White
Stainless Steel
Please refer to the Shutter Manual. 
</t>
        </r>
        <r>
          <rPr>
            <i/>
            <sz val="8"/>
            <color indexed="81"/>
            <rFont val="Tahoma"/>
            <family val="2"/>
          </rPr>
          <t>Stainless Steel Surcharge applies.</t>
        </r>
      </text>
    </comment>
    <comment ref="X13" authorId="0" shapeId="0" xr:uid="{13E901A6-EBB0-4E2E-8B78-5597F616F3A3}">
      <text>
        <r>
          <rPr>
            <sz val="8"/>
            <color indexed="81"/>
            <rFont val="Tahoma"/>
            <family val="2"/>
          </rPr>
          <t>Please Note: 
If Closed option is chosen then the blades 
can be damaged if they are left open 
when Sliding the Panel.
Open is not an option for 3 Tracks.</t>
        </r>
      </text>
    </comment>
    <comment ref="Y13" authorId="0" shapeId="0" xr:uid="{DBCE847C-CEDA-49B7-A1F1-6B6047270365}">
      <text>
        <r>
          <rPr>
            <sz val="8"/>
            <color indexed="81"/>
            <rFont val="Tahoma"/>
            <family val="2"/>
          </rPr>
          <t>If any T Posts are required then the measurements 
must be supplied under the next columns.
Measurements should be made from the left.
A Flat (Unbeaded) T Post can be ordered to match 
the Flat Stile Shutter in the Stile &amp; T Post column.</t>
        </r>
      </text>
    </comment>
    <comment ref="AC13" authorId="0" shapeId="0" xr:uid="{3D8FC2AD-B087-46F8-9EA8-D4D867B9EE19}">
      <text>
        <r>
          <rPr>
            <sz val="8"/>
            <color indexed="81"/>
            <rFont val="Tahoma"/>
            <family val="2"/>
          </rPr>
          <t>The Stile &amp; T Post 
options are;
Default (Beaded)
Flat Stile &amp; T Post
A Flat (unbeaded) Small L Frame can be ordered 
under the Frame Type.</t>
        </r>
      </text>
    </comment>
    <comment ref="AD13" authorId="0" shapeId="0" xr:uid="{18E36980-038A-4CEC-B12D-6E14B885D17C}">
      <text>
        <r>
          <rPr>
            <sz val="8"/>
            <color indexed="81"/>
            <rFont val="Tahoma"/>
            <family val="2"/>
          </rPr>
          <t xml:space="preserve">The Designer Eco,  
Designer Eco Plus &amp; Luvre
Fluffy Strip options are;
No
Yes
Fluffy Strip is supplied with the Fauxwood Designer Eco Night Shutter.
</t>
        </r>
        <r>
          <rPr>
            <i/>
            <sz val="8"/>
            <color indexed="81"/>
            <rFont val="Tahoma"/>
            <family val="2"/>
          </rPr>
          <t>Fluffy Strip Surcharge applies.</t>
        </r>
      </text>
    </comment>
    <comment ref="C14" authorId="0" shapeId="0" xr:uid="{735AE24F-49A9-4CFC-A4FB-5C6861A81F92}">
      <text>
        <r>
          <rPr>
            <sz val="8"/>
            <color indexed="81"/>
            <rFont val="Tahoma"/>
            <family val="2"/>
          </rPr>
          <t xml:space="preserve">Minimum Width is 180mm.
Maximum Fauxwood Standard Size 
Width is 650mm.
Maximum Fauxwood Designer Eco Width with 
63mm Blades is 900mm.
Maximum Fauxwood Designer Eco Width with 
89mm Blades is 900mm.
Maximum Fauxwood Designer Eco Plus Width with 
63mm Blades is 950mm.
Maximum Fauxwood Designer Eco Plus Width with 
89mm Blades is 950mm.
Maximum Fauxwood Designer Eco Night 
Width is 650mm.
Maximum Luvre Width is 950mm.
Fauxwood Designer Eco &amp; 
Fauxwood Designer Eco Plus Panels 
with a Width larger than 650mm will require 
Aluminium Inserts.
Conditions apply.
</t>
        </r>
        <r>
          <rPr>
            <i/>
            <sz val="8"/>
            <color indexed="81"/>
            <rFont val="Tahoma"/>
            <family val="2"/>
          </rPr>
          <t>Please note: 
Larger Panels may sometimes require lifting in to the frame.</t>
        </r>
      </text>
    </comment>
    <comment ref="D14" authorId="0" shapeId="0" xr:uid="{35685416-FDF4-4523-B132-FEFC03CAB1C0}">
      <text>
        <r>
          <rPr>
            <sz val="8"/>
            <color indexed="81"/>
            <rFont val="Tahoma"/>
            <family val="2"/>
          </rPr>
          <t>Minimum Height is 350mm.
Maximum Fauxwood Height is 2600mm.</t>
        </r>
      </text>
    </comment>
    <comment ref="E14" authorId="0" shapeId="0" xr:uid="{D12A4136-5FE7-4D36-A60E-66D0AE801911}">
      <text>
        <r>
          <rPr>
            <sz val="8"/>
            <color indexed="81"/>
            <rFont val="Tahoma"/>
            <family val="2"/>
          </rPr>
          <t xml:space="preserve">In - Inside or Reveal Fit
Out - Outside or Face Fit
Alternative Option:
MS - Make Size
Panel Only Option
</t>
        </r>
        <r>
          <rPr>
            <i/>
            <sz val="8"/>
            <color indexed="81"/>
            <rFont val="Tahoma"/>
            <family val="2"/>
          </rPr>
          <t>(Used for specific requirements only)</t>
        </r>
      </text>
    </comment>
    <comment ref="F14" authorId="0" shapeId="0" xr:uid="{71660C70-4A1B-4E3D-A979-E641CAC633B1}">
      <text>
        <r>
          <rPr>
            <sz val="8"/>
            <color indexed="81"/>
            <rFont val="Tahoma"/>
            <family val="2"/>
          </rPr>
          <t>Quantity is the number of Panels 
within the opening. 
If ordering Make Size (MS), 
this will be the number of Panels 
at this size.</t>
        </r>
      </text>
    </comment>
    <comment ref="G14" authorId="0" shapeId="0" xr:uid="{75DD763E-09D4-4F41-86AB-E7226490EFA7}">
      <text>
        <r>
          <rPr>
            <sz val="8"/>
            <color indexed="81"/>
            <rFont val="Tahoma"/>
            <family val="2"/>
          </rPr>
          <t>Fauxwood Designer Eco will be made with the standard profile 
Bottom Rail,  Mid Rail &amp; Top Rail.
Fauxwood Designer Eco Plus will be made with the 
reinforced curved profile Bottom Rail, Mid Rail &amp; Top Rail.
Fauxwood Designer Eco Night will be made with the 
curved grooved profile Bottom Rail, Mid Rail &amp; Top Rail.
Luvre will be made with the reinforced
curved profile Bottom Rail, Mid Rail &amp; Top Rail.
Fauxwood Designer Eco Plus, Fauxwood Designer Eco Night &amp; Luvre 
Surcharge applies.</t>
        </r>
      </text>
    </comment>
    <comment ref="H14" authorId="0" shapeId="0" xr:uid="{3CC70EA2-9B07-42EF-9ADF-E936394CE1D9}">
      <text>
        <r>
          <rPr>
            <sz val="8"/>
            <color indexed="81"/>
            <rFont val="Tahoma"/>
            <family val="2"/>
          </rPr>
          <t xml:space="preserve">Fauxwood Designer Colours options available;
Standard Colours;
Bright White
Classic White
Snow White
Super White
Vanilla
Specialty Colours;
Ceylon
Earl Grey
French White
Infinite White
Polar White
Quiet White
Snow Gum Grey
Snowy Mountains White
</t>
        </r>
        <r>
          <rPr>
            <i/>
            <sz val="8"/>
            <color indexed="81"/>
            <rFont val="Tahoma"/>
            <family val="2"/>
          </rPr>
          <t>Specialty Colours Surcharge applies.</t>
        </r>
        <r>
          <rPr>
            <sz val="8"/>
            <color indexed="81"/>
            <rFont val="Tahoma"/>
            <family val="2"/>
          </rPr>
          <t xml:space="preserve">
Luvre with Therme &amp; Scratch Resistant Paint 
Colours options available;
Snow White
Super White
</t>
        </r>
      </text>
    </comment>
    <comment ref="J14" authorId="0" shapeId="0" xr:uid="{0F3DA61E-6A7C-4C1F-8917-3239AAA9D633}">
      <text>
        <r>
          <rPr>
            <sz val="8"/>
            <color indexed="81"/>
            <rFont val="Tahoma"/>
            <family val="2"/>
          </rPr>
          <t>Fauxwood Designer Eco &amp; 
Fauxwood Designer Eco Plus 
Blade sizes options are;
63mm
89mm
Fauxwood Designer Eco Night  
Blade sizes options are;
92mm
Luvre Blade sizes options are;
89mm
114mm</t>
        </r>
      </text>
    </comment>
    <comment ref="K14" authorId="0" shapeId="0" xr:uid="{3444119B-E7B1-4D8A-8178-96B1C6AF1EA6}">
      <text>
        <r>
          <rPr>
            <sz val="8"/>
            <color indexed="81"/>
            <rFont val="Tahoma"/>
            <family val="2"/>
          </rPr>
          <t>Mid Rail is required on Fauxwood Panels over 1500mm.
Cell will highlight yellow when Mid Rail is required.
Only one Critical Mid Rail is allowed.
A Mid Rail that is not marked "Critical" may be moved up or down 
up to 40mm to stop any gaps and increase/decrease the blade quantity.
Fauxwood Designer Eco will be made with the standard profile 
Bottom Rail,  Mid Rail &amp; Top Rail.
Fauxwood Designer Eco Plus will be made with the 
reinforced curved profile Bottom Rail, Mid Rail &amp; Top Rail.
Fauxwood Designer Eco Night will be made with the 
curved grooved profile Bottom Rail, Mid Rail &amp; Top Rail.
Luvre will be made with the reinforced
curved profile Bottom Rail, Mid Rail &amp; Top Rail.
Fauxwood Designer Eco Plus, Fauxwood Designer Eco Night &amp; Luvre Surcharge applies.</t>
        </r>
      </text>
    </comment>
    <comment ref="L14" authorId="0" shapeId="0" xr:uid="{822BA7DD-DDFF-4800-A428-632BC5F1F03A}">
      <text>
        <r>
          <rPr>
            <sz val="8"/>
            <color indexed="81"/>
            <rFont val="Tahoma"/>
            <family val="2"/>
          </rPr>
          <t xml:space="preserve">The Fauxwood Designer Eco, 
Fauxwood Designer Eco Plus 
&amp; Luvre Window Type options are;
Standard
Bay Window
Corner Window
Door Cut Out
Shaped Arch
Shaped Hexagon
Shaped Octagon
Shaped Oval
Shaped Parallelogram
Shaped Raked
Shaped Round
Shaped Sunburst
Shaped Triangle
These Shapes are not available
with the Rack &amp; Pinion Tiltrod;
Shaped Arch
Shaped Hexagon
Shaped Octagon
Shaped Oval
Shaped Round
Shaped Sunburst
The Fauxwood Designer Eco Night Window Type 
options are;
Standard
Bay Window
Corner Window
</t>
        </r>
        <r>
          <rPr>
            <i/>
            <sz val="8"/>
            <color indexed="81"/>
            <rFont val="Tahoma"/>
            <family val="2"/>
          </rPr>
          <t xml:space="preserve">
</t>
        </r>
        <r>
          <rPr>
            <sz val="8"/>
            <color indexed="81"/>
            <rFont val="Tahoma"/>
            <family val="2"/>
          </rPr>
          <t>Shaped Shutters will need the Panel Layout to be 
compatible with the Hidden Tiltrod system.</t>
        </r>
      </text>
    </comment>
    <comment ref="M14" authorId="0" shapeId="0" xr:uid="{CE0F59C0-5E09-4C72-A161-D7B2A384F0A9}">
      <text>
        <r>
          <rPr>
            <sz val="8"/>
            <color indexed="81"/>
            <rFont val="Tahoma"/>
            <family val="2"/>
          </rPr>
          <t>Mounting Method is dependent 
on  MS, In Or Out &amp; Product.
For IN &amp; Fauxwood Designer Eco,  
Fauxwood Designer Eco Plus 
&amp; Luvre the options are;
Double Hinged
Fixed
Hinged
Pivot Hinged
Sliding
Track Bi Fold
For OUT &amp; Fauxwood Designer Eco,  
Fauxwood Designer Eco Plus 
&amp; Luvre the options are;
Double Hinged
Hinged
Pivot Hinged
Sliding
Track Bi Fold
For IN &amp; Fauxwood Designer Eco Night 
the options are;
Fixed
Hinged
For OUT &amp; Fauxwood Designer Eco Night 
the options are;
Fixed
Hinged
For MS, the options are;
N/A
Pivot Hinged is not recommended for 
Designer Eco Plus or Luvre.</t>
        </r>
      </text>
    </comment>
    <comment ref="N14" authorId="0" shapeId="0" xr:uid="{236D7C06-3C3C-4B6F-BD28-6875D551C7E6}">
      <text>
        <r>
          <rPr>
            <sz val="8"/>
            <color indexed="81"/>
            <rFont val="Tahoma"/>
            <family val="2"/>
          </rPr>
          <t>For Sliding Track System options are;
Top Hung (Original System)
Bottom Wheel (New System)
The Top Hung (Original System) uses 
Top Wheels Mounting.
The Bottom Wheel (New System) uses a 
U Channel at the Top and 
Wheels at the Bottom.
This option cannot have a Floor Guide or 
Track On Board.</t>
        </r>
      </text>
    </comment>
    <comment ref="O14" authorId="0" shapeId="0" xr:uid="{D11DF8CC-E7EF-48B5-A4DA-4D7BD78CC25D}">
      <text>
        <r>
          <rPr>
            <sz val="8"/>
            <color indexed="81"/>
            <rFont val="Tahoma"/>
            <family val="2"/>
          </rPr>
          <t>Please refer to the Shutter Manual 
when selecting Layout Code.
The list provides the most common options, 
which are dependent on Mounting Method.
More complex Layout Codes can still be entered manually.</t>
        </r>
      </text>
    </comment>
    <comment ref="P14" authorId="0" shapeId="0" xr:uid="{5C15511E-19B6-4005-9562-1FDFCD6F3CB5}">
      <text>
        <r>
          <rPr>
            <sz val="8"/>
            <color indexed="81"/>
            <rFont val="Tahoma"/>
            <family val="2"/>
          </rPr>
          <t>Frame Type is dependent on
 Mounting Method.
If a Flat (unbeaded) Small L Frame 
is selected, a matching Stile &amp; T Post can be 
ordered in the Stile &amp; T Post column.</t>
        </r>
      </text>
    </comment>
    <comment ref="V14" authorId="0" shapeId="0" xr:uid="{18E920FC-42F1-4BE4-8524-1B47C24338C9}">
      <text>
        <r>
          <rPr>
            <sz val="8"/>
            <color indexed="81"/>
            <rFont val="Tahoma"/>
            <family val="2"/>
          </rPr>
          <t>This option is dependent on the 
Material &amp; Product 
and will only be available once this 
option is selected.
For Fauxwood Designer Eco
&amp; Fauxwood Designer Eco Plus 
the options are;
Hidden
Centre
Off-Set
Rack &amp; Pinion
These Shapes are not available
with the Rack &amp; Pinion Tiltrod;
Shaped Arch
Shaped Hexagon
Shaped Octagon
Shaped Oval
Shaped Round
Shaped Sunburst
For Fauxwood Designer Eco Night
the options are;
Hidden
For Luvre the options are;
Hidden</t>
        </r>
      </text>
    </comment>
    <comment ref="W14" authorId="0" shapeId="0" xr:uid="{8260C371-1276-4E8A-A318-B4E6FD20E32F}">
      <text>
        <r>
          <rPr>
            <sz val="8"/>
            <color indexed="81"/>
            <rFont val="Tahoma"/>
            <family val="2"/>
          </rPr>
          <t xml:space="preserve">If no Hinge Colour is selected, 
then the default Hinge Colour and hardware 
will be supplied. 
The Hinge Colour options are;
Default
Stainless Steel
N/A
When Default is selected, the Hinge will be supplied 
as per the matching Hinge Colour list below;
Shutter Colour - </t>
        </r>
        <r>
          <rPr>
            <i/>
            <sz val="8"/>
            <color indexed="81"/>
            <rFont val="Tahoma"/>
            <family val="2"/>
          </rPr>
          <t>Hinge Colour</t>
        </r>
        <r>
          <rPr>
            <sz val="8"/>
            <color indexed="81"/>
            <rFont val="Tahoma"/>
            <family val="2"/>
          </rPr>
          <t xml:space="preserve">
   Bright White - </t>
        </r>
        <r>
          <rPr>
            <i/>
            <sz val="8"/>
            <color indexed="81"/>
            <rFont val="Tahoma"/>
            <family val="2"/>
          </rPr>
          <t>Bright White</t>
        </r>
        <r>
          <rPr>
            <sz val="8"/>
            <color indexed="81"/>
            <rFont val="Tahoma"/>
            <family val="2"/>
          </rPr>
          <t xml:space="preserve">
Classic White - </t>
        </r>
        <r>
          <rPr>
            <i/>
            <sz val="8"/>
            <color indexed="81"/>
            <rFont val="Tahoma"/>
            <family val="2"/>
          </rPr>
          <t>White</t>
        </r>
        <r>
          <rPr>
            <sz val="8"/>
            <color indexed="81"/>
            <rFont val="Tahoma"/>
            <family val="2"/>
          </rPr>
          <t xml:space="preserve">
Snow White - </t>
        </r>
        <r>
          <rPr>
            <i/>
            <sz val="8"/>
            <color indexed="81"/>
            <rFont val="Tahoma"/>
            <family val="2"/>
          </rPr>
          <t>Snow White</t>
        </r>
        <r>
          <rPr>
            <sz val="8"/>
            <color indexed="81"/>
            <rFont val="Tahoma"/>
            <family val="2"/>
          </rPr>
          <t xml:space="preserve">
Super White - </t>
        </r>
        <r>
          <rPr>
            <i/>
            <sz val="8"/>
            <color indexed="81"/>
            <rFont val="Tahoma"/>
            <family val="2"/>
          </rPr>
          <t>Snow White</t>
        </r>
        <r>
          <rPr>
            <sz val="8"/>
            <color indexed="81"/>
            <rFont val="Tahoma"/>
            <family val="2"/>
          </rPr>
          <t xml:space="preserve">
Vanilla - </t>
        </r>
        <r>
          <rPr>
            <i/>
            <sz val="8"/>
            <color indexed="81"/>
            <rFont val="Tahoma"/>
            <family val="2"/>
          </rPr>
          <t xml:space="preserve">Ivory
</t>
        </r>
        <r>
          <rPr>
            <sz val="8"/>
            <color indexed="81"/>
            <rFont val="Tahoma"/>
            <family val="2"/>
          </rPr>
          <t xml:space="preserve">Ceylon - </t>
        </r>
        <r>
          <rPr>
            <i/>
            <sz val="8"/>
            <color indexed="81"/>
            <rFont val="Tahoma"/>
            <family val="2"/>
          </rPr>
          <t>Ceylon</t>
        </r>
        <r>
          <rPr>
            <sz val="8"/>
            <color indexed="81"/>
            <rFont val="Tahoma"/>
            <family val="2"/>
          </rPr>
          <t xml:space="preserve">
Earl Grey - </t>
        </r>
        <r>
          <rPr>
            <i/>
            <sz val="8"/>
            <color indexed="81"/>
            <rFont val="Tahoma"/>
            <family val="2"/>
          </rPr>
          <t>Earl Grey</t>
        </r>
        <r>
          <rPr>
            <sz val="8"/>
            <color indexed="81"/>
            <rFont val="Tahoma"/>
            <family val="2"/>
          </rPr>
          <t xml:space="preserve">
French White - </t>
        </r>
        <r>
          <rPr>
            <i/>
            <sz val="8"/>
            <color indexed="81"/>
            <rFont val="Tahoma"/>
            <family val="2"/>
          </rPr>
          <t>French White</t>
        </r>
        <r>
          <rPr>
            <sz val="8"/>
            <color indexed="81"/>
            <rFont val="Tahoma"/>
            <family val="2"/>
          </rPr>
          <t xml:space="preserve">
Infinite White -</t>
        </r>
        <r>
          <rPr>
            <i/>
            <sz val="8"/>
            <color indexed="81"/>
            <rFont val="Tahoma"/>
            <family val="2"/>
          </rPr>
          <t xml:space="preserve"> Infinite White</t>
        </r>
        <r>
          <rPr>
            <sz val="8"/>
            <color indexed="81"/>
            <rFont val="Tahoma"/>
            <family val="2"/>
          </rPr>
          <t xml:space="preserve">
Polar White - </t>
        </r>
        <r>
          <rPr>
            <i/>
            <sz val="8"/>
            <color indexed="81"/>
            <rFont val="Tahoma"/>
            <family val="2"/>
          </rPr>
          <t>Polar White</t>
        </r>
        <r>
          <rPr>
            <sz val="8"/>
            <color indexed="81"/>
            <rFont val="Tahoma"/>
            <family val="2"/>
          </rPr>
          <t xml:space="preserve">
Quiet White - </t>
        </r>
        <r>
          <rPr>
            <i/>
            <sz val="8"/>
            <color indexed="81"/>
            <rFont val="Tahoma"/>
            <family val="2"/>
          </rPr>
          <t>Quiet White</t>
        </r>
        <r>
          <rPr>
            <sz val="8"/>
            <color indexed="81"/>
            <rFont val="Tahoma"/>
            <family val="2"/>
          </rPr>
          <t xml:space="preserve">
Snow Gum Grey - </t>
        </r>
        <r>
          <rPr>
            <i/>
            <sz val="8"/>
            <color indexed="81"/>
            <rFont val="Tahoma"/>
            <family val="2"/>
          </rPr>
          <t>Snow Gum Grey</t>
        </r>
        <r>
          <rPr>
            <sz val="8"/>
            <color indexed="81"/>
            <rFont val="Tahoma"/>
            <family val="2"/>
          </rPr>
          <t xml:space="preserve">
Snowy Mountains White - </t>
        </r>
        <r>
          <rPr>
            <i/>
            <sz val="8"/>
            <color indexed="81"/>
            <rFont val="Tahoma"/>
            <family val="2"/>
          </rPr>
          <t>Snowy Mountains White</t>
        </r>
        <r>
          <rPr>
            <sz val="8"/>
            <color indexed="81"/>
            <rFont val="Tahoma"/>
            <family val="2"/>
          </rPr>
          <t xml:space="preserve">
For standard Shutters in Fauxwood Designer Eco 
Standard 77mm Hinges will be used.
For standard Shutters in Fauxwood Designer Eco Plus, 
Fauxwood Designer Eco Night &amp; Luvre
Standard 90mm Hinges will be used.
The Pivot Hinged Colour options are;
White
Stainless Steel
Please refer to the Shutter Manual. 
</t>
        </r>
        <r>
          <rPr>
            <i/>
            <sz val="8"/>
            <color indexed="81"/>
            <rFont val="Tahoma"/>
            <family val="2"/>
          </rPr>
          <t>Stainless Steel Surcharge applies.</t>
        </r>
      </text>
    </comment>
    <comment ref="X14" authorId="0" shapeId="0" xr:uid="{25A3B209-09A4-4CEC-9EBD-3E6BBE1EE563}">
      <text>
        <r>
          <rPr>
            <sz val="8"/>
            <color indexed="81"/>
            <rFont val="Tahoma"/>
            <family val="2"/>
          </rPr>
          <t>Please Note: 
If Closed option is chosen then the blades 
can be damaged if they are left open 
when Sliding the Panel.
Open is not an option for 3 Tracks.</t>
        </r>
      </text>
    </comment>
    <comment ref="Y14" authorId="0" shapeId="0" xr:uid="{9B3613FE-89C3-4D0E-AEE8-B3D6CCE77C8E}">
      <text>
        <r>
          <rPr>
            <sz val="8"/>
            <color indexed="81"/>
            <rFont val="Tahoma"/>
            <family val="2"/>
          </rPr>
          <t>If any T Posts are required then the measurements 
must be supplied under the next columns.
Measurements should be made from the left.
A Flat (Unbeaded) T Post can be ordered to match 
the Flat Stile Shutter in the Stile &amp; T Post column.</t>
        </r>
      </text>
    </comment>
    <comment ref="AC14" authorId="0" shapeId="0" xr:uid="{275FCCF0-DED7-4375-859B-EF10B16D0CE9}">
      <text>
        <r>
          <rPr>
            <sz val="8"/>
            <color indexed="81"/>
            <rFont val="Tahoma"/>
            <family val="2"/>
          </rPr>
          <t>The Stile &amp; T Post 
options are;
Default (Beaded)
Flat Stile &amp; T Post
A Flat (unbeaded) Small L Frame can be ordered 
under the Frame Type.</t>
        </r>
      </text>
    </comment>
    <comment ref="AD14" authorId="0" shapeId="0" xr:uid="{77485EE9-8C32-40A0-B3FF-E44AE384AAEE}">
      <text>
        <r>
          <rPr>
            <sz val="8"/>
            <color indexed="81"/>
            <rFont val="Tahoma"/>
            <family val="2"/>
          </rPr>
          <t xml:space="preserve">The Designer Eco,  
Designer Eco Plus &amp; Luvre
Fluffy Strip options are;
No
Yes
Fluffy Strip is supplied with the Fauxwood Designer Eco Night Shutter.
</t>
        </r>
        <r>
          <rPr>
            <i/>
            <sz val="8"/>
            <color indexed="81"/>
            <rFont val="Tahoma"/>
            <family val="2"/>
          </rPr>
          <t>Fluffy Strip Surcharge applies.</t>
        </r>
      </text>
    </comment>
    <comment ref="C15" authorId="0" shapeId="0" xr:uid="{CE9279A8-1318-430B-A13F-DF73A45BE91F}">
      <text>
        <r>
          <rPr>
            <sz val="8"/>
            <color indexed="81"/>
            <rFont val="Tahoma"/>
            <family val="2"/>
          </rPr>
          <t xml:space="preserve">Minimum Width is 180mm.
Maximum Fauxwood Standard Size 
Width is 650mm.
Maximum Fauxwood Designer Eco Width with 
63mm Blades is 900mm.
Maximum Fauxwood Designer Eco Width with 
89mm Blades is 900mm.
Maximum Fauxwood Designer Eco Plus Width with 
63mm Blades is 950mm.
Maximum Fauxwood Designer Eco Plus Width with 
89mm Blades is 950mm.
Maximum Fauxwood Designer Eco Night 
Width is 650mm.
Maximum Luvre Width is 950mm.
Fauxwood Designer Eco &amp; 
Fauxwood Designer Eco Plus Panels 
with a Width larger than 650mm will require 
Aluminium Inserts.
Conditions apply.
</t>
        </r>
        <r>
          <rPr>
            <i/>
            <sz val="8"/>
            <color indexed="81"/>
            <rFont val="Tahoma"/>
            <family val="2"/>
          </rPr>
          <t>Please note: 
Larger Panels may sometimes require lifting in to the frame.</t>
        </r>
      </text>
    </comment>
    <comment ref="D15" authorId="0" shapeId="0" xr:uid="{68CCBC19-93B7-4257-AF28-614F1142B63E}">
      <text>
        <r>
          <rPr>
            <sz val="8"/>
            <color indexed="81"/>
            <rFont val="Tahoma"/>
            <family val="2"/>
          </rPr>
          <t>Minimum Height is 350mm.
Maximum Fauxwood Height is 2600mm.</t>
        </r>
      </text>
    </comment>
    <comment ref="E15" authorId="0" shapeId="0" xr:uid="{4E91B7E1-347E-435B-BBA7-96185C7F1C5E}">
      <text>
        <r>
          <rPr>
            <sz val="8"/>
            <color indexed="81"/>
            <rFont val="Tahoma"/>
            <family val="2"/>
          </rPr>
          <t xml:space="preserve">In - Inside or Reveal Fit
Out - Outside or Face Fit
Alternative Option:
MS - Make Size
Panel Only Option
</t>
        </r>
        <r>
          <rPr>
            <i/>
            <sz val="8"/>
            <color indexed="81"/>
            <rFont val="Tahoma"/>
            <family val="2"/>
          </rPr>
          <t>(Used for specific requirements only)</t>
        </r>
      </text>
    </comment>
    <comment ref="F15" authorId="0" shapeId="0" xr:uid="{5FA7E9FA-B855-4AF8-8443-B0273FDDB7A4}">
      <text>
        <r>
          <rPr>
            <sz val="8"/>
            <color indexed="81"/>
            <rFont val="Tahoma"/>
            <family val="2"/>
          </rPr>
          <t>Quantity is the number of Panels 
within the opening. 
If ordering Make Size (MS), 
this will be the number of Panels 
at this size.</t>
        </r>
      </text>
    </comment>
    <comment ref="G15" authorId="0" shapeId="0" xr:uid="{7675E77E-F19C-4846-9EA4-B2AA52E81D81}">
      <text>
        <r>
          <rPr>
            <sz val="8"/>
            <color indexed="81"/>
            <rFont val="Tahoma"/>
            <family val="2"/>
          </rPr>
          <t>Fauxwood Designer Eco will be made with the standard profile 
Bottom Rail,  Mid Rail &amp; Top Rail.
Fauxwood Designer Eco Plus will be made with the 
reinforced curved profile Bottom Rail, Mid Rail &amp; Top Rail.
Fauxwood Designer Eco Night will be made with the 
curved grooved profile Bottom Rail, Mid Rail &amp; Top Rail.
Luvre will be made with the reinforced
curved profile Bottom Rail, Mid Rail &amp; Top Rail.
Fauxwood Designer Eco Plus, Fauxwood Designer Eco Night &amp; Luvre 
Surcharge applies.</t>
        </r>
      </text>
    </comment>
    <comment ref="H15" authorId="0" shapeId="0" xr:uid="{455AB428-B277-4F2B-A09E-3F9EC8D4452B}">
      <text>
        <r>
          <rPr>
            <sz val="8"/>
            <color indexed="81"/>
            <rFont val="Tahoma"/>
            <family val="2"/>
          </rPr>
          <t xml:space="preserve">Fauxwood Designer Colours options available;
Standard Colours;
Bright White
Classic White
Snow White
Super White
Vanilla
Specialty Colours;
Ceylon
Earl Grey
French White
Infinite White
Polar White
Quiet White
Snow Gum Grey
Snowy Mountains White
</t>
        </r>
        <r>
          <rPr>
            <i/>
            <sz val="8"/>
            <color indexed="81"/>
            <rFont val="Tahoma"/>
            <family val="2"/>
          </rPr>
          <t>Specialty Colours Surcharge applies.</t>
        </r>
        <r>
          <rPr>
            <sz val="8"/>
            <color indexed="81"/>
            <rFont val="Tahoma"/>
            <family val="2"/>
          </rPr>
          <t xml:space="preserve">
Luvre with Therme &amp; Scratch Resistant Paint 
Colours options available;
Snow White
Super White
</t>
        </r>
      </text>
    </comment>
    <comment ref="J15" authorId="0" shapeId="0" xr:uid="{08620829-641A-4845-95C4-4665EAA34028}">
      <text>
        <r>
          <rPr>
            <sz val="8"/>
            <color indexed="81"/>
            <rFont val="Tahoma"/>
            <family val="2"/>
          </rPr>
          <t>Fauxwood Designer Eco &amp; 
Fauxwood Designer Eco Plus 
Blade sizes options are;
63mm
89mm
Fauxwood Designer Eco Night  
Blade sizes options are;
92mm
Luvre Blade sizes options are;
89mm
114mm</t>
        </r>
      </text>
    </comment>
    <comment ref="K15" authorId="0" shapeId="0" xr:uid="{14C1261A-AE65-4E0A-A5F2-60C3119D0BE7}">
      <text>
        <r>
          <rPr>
            <sz val="8"/>
            <color indexed="81"/>
            <rFont val="Tahoma"/>
            <family val="2"/>
          </rPr>
          <t>Mid Rail is required on Fauxwood Panels over 1500mm.
Cell will highlight yellow when Mid Rail is required.
Only one Critical Mid Rail is allowed.
A Mid Rail that is not marked "Critical" may be moved up or down 
up to 40mm to stop any gaps and increase/decrease the blade quantity.
Fauxwood Designer Eco will be made with the standard profile 
Bottom Rail,  Mid Rail &amp; Top Rail.
Fauxwood Designer Eco Plus will be made with the 
reinforced curved profile Bottom Rail, Mid Rail &amp; Top Rail.
Fauxwood Designer Eco Night will be made with the 
curved grooved profile Bottom Rail, Mid Rail &amp; Top Rail.
Luvre will be made with the reinforced
curved profile Bottom Rail, Mid Rail &amp; Top Rail.
Fauxwood Designer Eco Plus, Fauxwood Designer Eco Night &amp; Luvre Surcharge applies.</t>
        </r>
      </text>
    </comment>
    <comment ref="L15" authorId="0" shapeId="0" xr:uid="{AC15ECFF-9E29-47EF-93FE-57C63DBE97AE}">
      <text>
        <r>
          <rPr>
            <sz val="8"/>
            <color indexed="81"/>
            <rFont val="Tahoma"/>
            <family val="2"/>
          </rPr>
          <t xml:space="preserve">The Fauxwood Designer Eco, 
Fauxwood Designer Eco Plus 
&amp; Luvre Window Type options are;
Standard
Bay Window
Corner Window
Door Cut Out
Shaped Arch
Shaped Hexagon
Shaped Octagon
Shaped Oval
Shaped Parallelogram
Shaped Raked
Shaped Round
Shaped Sunburst
Shaped Triangle
These Shapes are not available
with the Rack &amp; Pinion Tiltrod;
Shaped Arch
Shaped Hexagon
Shaped Octagon
Shaped Oval
Shaped Round
Shaped Sunburst
The Fauxwood Designer Eco Night Window Type 
options are;
Standard
Bay Window
Corner Window
</t>
        </r>
        <r>
          <rPr>
            <i/>
            <sz val="8"/>
            <color indexed="81"/>
            <rFont val="Tahoma"/>
            <family val="2"/>
          </rPr>
          <t xml:space="preserve">
</t>
        </r>
        <r>
          <rPr>
            <sz val="8"/>
            <color indexed="81"/>
            <rFont val="Tahoma"/>
            <family val="2"/>
          </rPr>
          <t>Shaped Shutters will need the Panel Layout to be 
compatible with the Hidden Tiltrod system.</t>
        </r>
      </text>
    </comment>
    <comment ref="M15" authorId="0" shapeId="0" xr:uid="{E727E5F0-CC65-4F72-AB6C-AB6EABEF285C}">
      <text>
        <r>
          <rPr>
            <sz val="8"/>
            <color indexed="81"/>
            <rFont val="Tahoma"/>
            <family val="2"/>
          </rPr>
          <t>Mounting Method is dependent 
on  MS, In Or Out &amp; Product.
For IN &amp; Fauxwood Designer Eco,  
Fauxwood Designer Eco Plus 
&amp; Luvre the options are;
Double Hinged
Fixed
Hinged
Pivot Hinged
Sliding
Track Bi Fold
For OUT &amp; Fauxwood Designer Eco,  
Fauxwood Designer Eco Plus 
&amp; Luvre the options are;
Double Hinged
Hinged
Pivot Hinged
Sliding
Track Bi Fold
For IN &amp; Fauxwood Designer Eco Night 
the options are;
Fixed
Hinged
For OUT &amp; Fauxwood Designer Eco Night 
the options are;
Fixed
Hinged
For MS, the options are;
N/A
Pivot Hinged is not recommended for 
Designer Eco Plus or Luvre.</t>
        </r>
      </text>
    </comment>
    <comment ref="N15" authorId="0" shapeId="0" xr:uid="{E1FE59AC-7062-47CA-AF30-CFCC239604FE}">
      <text>
        <r>
          <rPr>
            <sz val="8"/>
            <color indexed="81"/>
            <rFont val="Tahoma"/>
            <family val="2"/>
          </rPr>
          <t>For Sliding Track System options are;
Top Hung (Original System)
Bottom Wheel (New System)
The Top Hung (Original System) uses 
Top Wheels Mounting.
The Bottom Wheel (New System) uses a 
U Channel at the Top and 
Wheels at the Bottom.
This option cannot have a Floor Guide or 
Track On Board.</t>
        </r>
      </text>
    </comment>
    <comment ref="O15" authorId="0" shapeId="0" xr:uid="{8B1B9B1D-5D38-4211-A068-E2A42485EFCF}">
      <text>
        <r>
          <rPr>
            <sz val="8"/>
            <color indexed="81"/>
            <rFont val="Tahoma"/>
            <family val="2"/>
          </rPr>
          <t>Please refer to the Shutter Manual 
when selecting Layout Code.
The list provides the most common options, 
which are dependent on Mounting Method.
More complex Layout Codes can still be entered manually.</t>
        </r>
      </text>
    </comment>
    <comment ref="P15" authorId="0" shapeId="0" xr:uid="{29CE5B1F-64D2-4B2E-A391-4AFA4867C119}">
      <text>
        <r>
          <rPr>
            <sz val="8"/>
            <color indexed="81"/>
            <rFont val="Tahoma"/>
            <family val="2"/>
          </rPr>
          <t>Frame Type is dependent on
 Mounting Method.
If a Flat (unbeaded) Small L Frame 
is selected, a matching Stile &amp; T Post can be 
ordered in the Stile &amp; T Post column.</t>
        </r>
      </text>
    </comment>
    <comment ref="V15" authorId="0" shapeId="0" xr:uid="{269FDCF8-19FB-4114-B0DC-C72BF21C350B}">
      <text>
        <r>
          <rPr>
            <sz val="8"/>
            <color indexed="81"/>
            <rFont val="Tahoma"/>
            <family val="2"/>
          </rPr>
          <t>This option is dependent on the 
Material &amp; Product 
and will only be available once this 
option is selected.
For Fauxwood Designer Eco
&amp; Fauxwood Designer Eco Plus 
the options are;
Hidden
Centre
Off-Set
Rack &amp; Pinion
These Shapes are not available
with the Rack &amp; Pinion Tiltrod;
Shaped Arch
Shaped Hexagon
Shaped Octagon
Shaped Oval
Shaped Round
Shaped Sunburst
For Fauxwood Designer Eco Night
the options are;
Hidden
For Luvre the options are;
Hidden</t>
        </r>
      </text>
    </comment>
    <comment ref="W15" authorId="0" shapeId="0" xr:uid="{27BF1028-E1F1-4EB3-B018-D94BAFB25835}">
      <text>
        <r>
          <rPr>
            <sz val="8"/>
            <color indexed="81"/>
            <rFont val="Tahoma"/>
            <family val="2"/>
          </rPr>
          <t xml:space="preserve">If no Hinge Colour is selected, 
then the default Hinge Colour and hardware 
will be supplied. 
The Hinge Colour options are;
Default
Stainless Steel
N/A
When Default is selected, the Hinge will be supplied 
as per the matching Hinge Colour list below;
Shutter Colour - </t>
        </r>
        <r>
          <rPr>
            <i/>
            <sz val="8"/>
            <color indexed="81"/>
            <rFont val="Tahoma"/>
            <family val="2"/>
          </rPr>
          <t>Hinge Colour</t>
        </r>
        <r>
          <rPr>
            <sz val="8"/>
            <color indexed="81"/>
            <rFont val="Tahoma"/>
            <family val="2"/>
          </rPr>
          <t xml:space="preserve">
   Bright White - </t>
        </r>
        <r>
          <rPr>
            <i/>
            <sz val="8"/>
            <color indexed="81"/>
            <rFont val="Tahoma"/>
            <family val="2"/>
          </rPr>
          <t>Bright White</t>
        </r>
        <r>
          <rPr>
            <sz val="8"/>
            <color indexed="81"/>
            <rFont val="Tahoma"/>
            <family val="2"/>
          </rPr>
          <t xml:space="preserve">
Classic White - </t>
        </r>
        <r>
          <rPr>
            <i/>
            <sz val="8"/>
            <color indexed="81"/>
            <rFont val="Tahoma"/>
            <family val="2"/>
          </rPr>
          <t>White</t>
        </r>
        <r>
          <rPr>
            <sz val="8"/>
            <color indexed="81"/>
            <rFont val="Tahoma"/>
            <family val="2"/>
          </rPr>
          <t xml:space="preserve">
Snow White - </t>
        </r>
        <r>
          <rPr>
            <i/>
            <sz val="8"/>
            <color indexed="81"/>
            <rFont val="Tahoma"/>
            <family val="2"/>
          </rPr>
          <t>Snow White</t>
        </r>
        <r>
          <rPr>
            <sz val="8"/>
            <color indexed="81"/>
            <rFont val="Tahoma"/>
            <family val="2"/>
          </rPr>
          <t xml:space="preserve">
Super White - </t>
        </r>
        <r>
          <rPr>
            <i/>
            <sz val="8"/>
            <color indexed="81"/>
            <rFont val="Tahoma"/>
            <family val="2"/>
          </rPr>
          <t>Snow White</t>
        </r>
        <r>
          <rPr>
            <sz val="8"/>
            <color indexed="81"/>
            <rFont val="Tahoma"/>
            <family val="2"/>
          </rPr>
          <t xml:space="preserve">
Vanilla - </t>
        </r>
        <r>
          <rPr>
            <i/>
            <sz val="8"/>
            <color indexed="81"/>
            <rFont val="Tahoma"/>
            <family val="2"/>
          </rPr>
          <t xml:space="preserve">Ivory
</t>
        </r>
        <r>
          <rPr>
            <sz val="8"/>
            <color indexed="81"/>
            <rFont val="Tahoma"/>
            <family val="2"/>
          </rPr>
          <t xml:space="preserve">Ceylon - </t>
        </r>
        <r>
          <rPr>
            <i/>
            <sz val="8"/>
            <color indexed="81"/>
            <rFont val="Tahoma"/>
            <family val="2"/>
          </rPr>
          <t>Ceylon</t>
        </r>
        <r>
          <rPr>
            <sz val="8"/>
            <color indexed="81"/>
            <rFont val="Tahoma"/>
            <family val="2"/>
          </rPr>
          <t xml:space="preserve">
Earl Grey - </t>
        </r>
        <r>
          <rPr>
            <i/>
            <sz val="8"/>
            <color indexed="81"/>
            <rFont val="Tahoma"/>
            <family val="2"/>
          </rPr>
          <t>Earl Grey</t>
        </r>
        <r>
          <rPr>
            <sz val="8"/>
            <color indexed="81"/>
            <rFont val="Tahoma"/>
            <family val="2"/>
          </rPr>
          <t xml:space="preserve">
French White - </t>
        </r>
        <r>
          <rPr>
            <i/>
            <sz val="8"/>
            <color indexed="81"/>
            <rFont val="Tahoma"/>
            <family val="2"/>
          </rPr>
          <t>French White</t>
        </r>
        <r>
          <rPr>
            <sz val="8"/>
            <color indexed="81"/>
            <rFont val="Tahoma"/>
            <family val="2"/>
          </rPr>
          <t xml:space="preserve">
Infinite White -</t>
        </r>
        <r>
          <rPr>
            <i/>
            <sz val="8"/>
            <color indexed="81"/>
            <rFont val="Tahoma"/>
            <family val="2"/>
          </rPr>
          <t xml:space="preserve"> Infinite White</t>
        </r>
        <r>
          <rPr>
            <sz val="8"/>
            <color indexed="81"/>
            <rFont val="Tahoma"/>
            <family val="2"/>
          </rPr>
          <t xml:space="preserve">
Polar White - </t>
        </r>
        <r>
          <rPr>
            <i/>
            <sz val="8"/>
            <color indexed="81"/>
            <rFont val="Tahoma"/>
            <family val="2"/>
          </rPr>
          <t>Polar White</t>
        </r>
        <r>
          <rPr>
            <sz val="8"/>
            <color indexed="81"/>
            <rFont val="Tahoma"/>
            <family val="2"/>
          </rPr>
          <t xml:space="preserve">
Quiet White - </t>
        </r>
        <r>
          <rPr>
            <i/>
            <sz val="8"/>
            <color indexed="81"/>
            <rFont val="Tahoma"/>
            <family val="2"/>
          </rPr>
          <t>Quiet White</t>
        </r>
        <r>
          <rPr>
            <sz val="8"/>
            <color indexed="81"/>
            <rFont val="Tahoma"/>
            <family val="2"/>
          </rPr>
          <t xml:space="preserve">
Snow Gum Grey - </t>
        </r>
        <r>
          <rPr>
            <i/>
            <sz val="8"/>
            <color indexed="81"/>
            <rFont val="Tahoma"/>
            <family val="2"/>
          </rPr>
          <t>Snow Gum Grey</t>
        </r>
        <r>
          <rPr>
            <sz val="8"/>
            <color indexed="81"/>
            <rFont val="Tahoma"/>
            <family val="2"/>
          </rPr>
          <t xml:space="preserve">
Snowy Mountains White - </t>
        </r>
        <r>
          <rPr>
            <i/>
            <sz val="8"/>
            <color indexed="81"/>
            <rFont val="Tahoma"/>
            <family val="2"/>
          </rPr>
          <t>Snowy Mountains White</t>
        </r>
        <r>
          <rPr>
            <sz val="8"/>
            <color indexed="81"/>
            <rFont val="Tahoma"/>
            <family val="2"/>
          </rPr>
          <t xml:space="preserve">
For standard Shutters in Fauxwood Designer Eco 
Standard 77mm Hinges will be used.
For standard Shutters in Fauxwood Designer Eco Plus, 
Fauxwood Designer Eco Night &amp; Luvre
Standard 90mm Hinges will be used.
The Pivot Hinged Colour options are;
White
Stainless Steel
Please refer to the Shutter Manual. 
</t>
        </r>
        <r>
          <rPr>
            <i/>
            <sz val="8"/>
            <color indexed="81"/>
            <rFont val="Tahoma"/>
            <family val="2"/>
          </rPr>
          <t>Stainless Steel Surcharge applies.</t>
        </r>
      </text>
    </comment>
    <comment ref="X15" authorId="0" shapeId="0" xr:uid="{3D4019ED-D3AC-4E68-BC02-59C0CDAFF23B}">
      <text>
        <r>
          <rPr>
            <sz val="8"/>
            <color indexed="81"/>
            <rFont val="Tahoma"/>
            <family val="2"/>
          </rPr>
          <t>Please Note: 
If Closed option is chosen then the blades 
can be damaged if they are left open 
when Sliding the Panel.
Open is not an option for 3 Tracks.</t>
        </r>
      </text>
    </comment>
    <comment ref="Y15" authorId="0" shapeId="0" xr:uid="{A120F23B-5A96-427C-ACCA-995975283FD2}">
      <text>
        <r>
          <rPr>
            <sz val="8"/>
            <color indexed="81"/>
            <rFont val="Tahoma"/>
            <family val="2"/>
          </rPr>
          <t>If any T Posts are required then the measurements 
must be supplied under the next columns.
Measurements should be made from the left.
A Flat (Unbeaded) T Post can be ordered to match 
the Flat Stile Shutter in the Stile &amp; T Post column.</t>
        </r>
      </text>
    </comment>
    <comment ref="AC15" authorId="0" shapeId="0" xr:uid="{BBE4AF41-73EC-4731-9AE9-F7D09B09D94F}">
      <text>
        <r>
          <rPr>
            <sz val="8"/>
            <color indexed="81"/>
            <rFont val="Tahoma"/>
            <family val="2"/>
          </rPr>
          <t>The Stile &amp; T Post 
options are;
Default (Beaded)
Flat Stile &amp; T Post
A Flat (unbeaded) Small L Frame can be ordered 
under the Frame Type.</t>
        </r>
      </text>
    </comment>
    <comment ref="AD15" authorId="0" shapeId="0" xr:uid="{2AD44B14-0FD6-4CB4-88A4-740868B2BA9B}">
      <text>
        <r>
          <rPr>
            <sz val="8"/>
            <color indexed="81"/>
            <rFont val="Tahoma"/>
            <family val="2"/>
          </rPr>
          <t xml:space="preserve">The Designer Eco,  
Designer Eco Plus &amp; Luvre
Fluffy Strip options are;
No
Yes
Fluffy Strip is supplied with the Fauxwood Designer Eco Night Shutter.
</t>
        </r>
        <r>
          <rPr>
            <i/>
            <sz val="8"/>
            <color indexed="81"/>
            <rFont val="Tahoma"/>
            <family val="2"/>
          </rPr>
          <t>Fluffy Strip Surcharge applies.</t>
        </r>
      </text>
    </comment>
    <comment ref="C16" authorId="0" shapeId="0" xr:uid="{BFB93A8A-64B0-46C6-8C2A-ED3E20CE43B7}">
      <text>
        <r>
          <rPr>
            <sz val="8"/>
            <color indexed="81"/>
            <rFont val="Tahoma"/>
            <family val="2"/>
          </rPr>
          <t xml:space="preserve">Minimum Width is 180mm.
Maximum Fauxwood Standard Size 
Width is 650mm.
Maximum Fauxwood Designer Eco Width with 
63mm Blades is 900mm.
Maximum Fauxwood Designer Eco Width with 
89mm Blades is 900mm.
Maximum Fauxwood Designer Eco Plus Width with 
63mm Blades is 950mm.
Maximum Fauxwood Designer Eco Plus Width with 
89mm Blades is 950mm.
Maximum Fauxwood Designer Eco Night 
Width is 650mm.
Maximum Luvre Width is 950mm.
Fauxwood Designer Eco &amp; 
Fauxwood Designer Eco Plus Panels 
with a Width larger than 650mm will require 
Aluminium Inserts.
Conditions apply.
</t>
        </r>
        <r>
          <rPr>
            <i/>
            <sz val="8"/>
            <color indexed="81"/>
            <rFont val="Tahoma"/>
            <family val="2"/>
          </rPr>
          <t>Please note: 
Larger Panels may sometimes require lifting in to the frame.</t>
        </r>
      </text>
    </comment>
    <comment ref="D16" authorId="0" shapeId="0" xr:uid="{4C61EE67-6BC1-48CD-B20D-F79189970686}">
      <text>
        <r>
          <rPr>
            <sz val="8"/>
            <color indexed="81"/>
            <rFont val="Tahoma"/>
            <family val="2"/>
          </rPr>
          <t>Minimum Height is 350mm.
Maximum Fauxwood Height is 2600mm.</t>
        </r>
      </text>
    </comment>
    <comment ref="E16" authorId="0" shapeId="0" xr:uid="{ECD250C7-1B65-469A-A060-5AC498A8634A}">
      <text>
        <r>
          <rPr>
            <sz val="8"/>
            <color indexed="81"/>
            <rFont val="Tahoma"/>
            <family val="2"/>
          </rPr>
          <t xml:space="preserve">In - Inside or Reveal Fit
Out - Outside or Face Fit
Alternative Option:
MS - Make Size
Panel Only Option
</t>
        </r>
        <r>
          <rPr>
            <i/>
            <sz val="8"/>
            <color indexed="81"/>
            <rFont val="Tahoma"/>
            <family val="2"/>
          </rPr>
          <t>(Used for specific requirements only)</t>
        </r>
      </text>
    </comment>
    <comment ref="F16" authorId="0" shapeId="0" xr:uid="{128911A7-1A09-4BFC-B975-23DCA79E00CC}">
      <text>
        <r>
          <rPr>
            <sz val="8"/>
            <color indexed="81"/>
            <rFont val="Tahoma"/>
            <family val="2"/>
          </rPr>
          <t>Quantity is the number of Panels 
within the opening. 
If ordering Make Size (MS), 
this will be the number of Panels 
at this size.</t>
        </r>
      </text>
    </comment>
    <comment ref="G16" authorId="0" shapeId="0" xr:uid="{A3CB451C-8AD9-4DA2-9002-4407508FA896}">
      <text>
        <r>
          <rPr>
            <sz val="8"/>
            <color indexed="81"/>
            <rFont val="Tahoma"/>
            <family val="2"/>
          </rPr>
          <t>Fauxwood Designer Eco will be made with the standard profile 
Bottom Rail,  Mid Rail &amp; Top Rail.
Fauxwood Designer Eco Plus will be made with the 
reinforced curved profile Bottom Rail, Mid Rail &amp; Top Rail.
Fauxwood Designer Eco Night will be made with the 
curved grooved profile Bottom Rail, Mid Rail &amp; Top Rail.
Luvre will be made with the reinforced
curved profile Bottom Rail, Mid Rail &amp; Top Rail.
Fauxwood Designer Eco Plus, Fauxwood Designer Eco Night &amp; Luvre 
Surcharge applies.</t>
        </r>
      </text>
    </comment>
    <comment ref="H16" authorId="0" shapeId="0" xr:uid="{21111942-17E2-45AD-ABE8-1343AD292C1A}">
      <text>
        <r>
          <rPr>
            <sz val="8"/>
            <color indexed="81"/>
            <rFont val="Tahoma"/>
            <family val="2"/>
          </rPr>
          <t xml:space="preserve">Fauxwood Designer Colours options available;
Standard Colours;
Bright White
Classic White
Snow White
Super White
Vanilla
Specialty Colours;
Ceylon
Earl Grey
French White
Infinite White
Polar White
Quiet White
Snow Gum Grey
Snowy Mountains White
</t>
        </r>
        <r>
          <rPr>
            <i/>
            <sz val="8"/>
            <color indexed="81"/>
            <rFont val="Tahoma"/>
            <family val="2"/>
          </rPr>
          <t>Specialty Colours Surcharge applies.</t>
        </r>
        <r>
          <rPr>
            <sz val="8"/>
            <color indexed="81"/>
            <rFont val="Tahoma"/>
            <family val="2"/>
          </rPr>
          <t xml:space="preserve">
Luvre with Therme &amp; Scratch Resistant Paint 
Colours options available;
Snow White
Super White
</t>
        </r>
      </text>
    </comment>
    <comment ref="J16" authorId="0" shapeId="0" xr:uid="{EB9DE05D-E05D-42BA-AAC2-2A2EEA6BACF5}">
      <text>
        <r>
          <rPr>
            <sz val="8"/>
            <color indexed="81"/>
            <rFont val="Tahoma"/>
            <family val="2"/>
          </rPr>
          <t>Fauxwood Designer Eco &amp; 
Fauxwood Designer Eco Plus 
Blade sizes options are;
63mm
89mm
Fauxwood Designer Eco Night  
Blade sizes options are;
92mm
Luvre Blade sizes options are;
89mm
114mm</t>
        </r>
      </text>
    </comment>
    <comment ref="K16" authorId="0" shapeId="0" xr:uid="{D5DCFCBB-227A-47AB-84BD-7D5618376D5E}">
      <text>
        <r>
          <rPr>
            <sz val="8"/>
            <color indexed="81"/>
            <rFont val="Tahoma"/>
            <family val="2"/>
          </rPr>
          <t>Mid Rail is required on Fauxwood Panels over 1500mm.
Cell will highlight yellow when Mid Rail is required.
Only one Critical Mid Rail is allowed.
A Mid Rail that is not marked "Critical" may be moved up or down 
up to 40mm to stop any gaps and increase/decrease the blade quantity.
Fauxwood Designer Eco will be made with the standard profile 
Bottom Rail,  Mid Rail &amp; Top Rail.
Fauxwood Designer Eco Plus will be made with the 
reinforced curved profile Bottom Rail, Mid Rail &amp; Top Rail.
Fauxwood Designer Eco Night will be made with the 
curved grooved profile Bottom Rail, Mid Rail &amp; Top Rail.
Luvre will be made with the reinforced
curved profile Bottom Rail, Mid Rail &amp; Top Rail.
Fauxwood Designer Eco Plus, Fauxwood Designer Eco Night &amp; Luvre Surcharge applies.</t>
        </r>
      </text>
    </comment>
    <comment ref="L16" authorId="0" shapeId="0" xr:uid="{3B7118C5-55D5-4858-BD80-E3BEBC535B71}">
      <text>
        <r>
          <rPr>
            <sz val="8"/>
            <color indexed="81"/>
            <rFont val="Tahoma"/>
            <family val="2"/>
          </rPr>
          <t xml:space="preserve">The Fauxwood Designer Eco, 
Fauxwood Designer Eco Plus 
&amp; Luvre Window Type options are;
Standard
Bay Window
Corner Window
Door Cut Out
Shaped Arch
Shaped Hexagon
Shaped Octagon
Shaped Oval
Shaped Parallelogram
Shaped Raked
Shaped Round
Shaped Sunburst
Shaped Triangle
These Shapes are not available
with the Rack &amp; Pinion Tiltrod;
Shaped Arch
Shaped Hexagon
Shaped Octagon
Shaped Oval
Shaped Round
Shaped Sunburst
The Fauxwood Designer Eco Night Window Type 
options are;
Standard
Bay Window
Corner Window
</t>
        </r>
        <r>
          <rPr>
            <i/>
            <sz val="8"/>
            <color indexed="81"/>
            <rFont val="Tahoma"/>
            <family val="2"/>
          </rPr>
          <t xml:space="preserve">
</t>
        </r>
        <r>
          <rPr>
            <sz val="8"/>
            <color indexed="81"/>
            <rFont val="Tahoma"/>
            <family val="2"/>
          </rPr>
          <t>Shaped Shutters will need the Panel Layout to be 
compatible with the Hidden Tiltrod system.</t>
        </r>
      </text>
    </comment>
    <comment ref="M16" authorId="0" shapeId="0" xr:uid="{AC5F8EE6-C6E1-427D-9BCA-D37A9FFC2DDE}">
      <text>
        <r>
          <rPr>
            <sz val="8"/>
            <color indexed="81"/>
            <rFont val="Tahoma"/>
            <family val="2"/>
          </rPr>
          <t>Mounting Method is dependent 
on  MS, In Or Out &amp; Product.
For IN &amp; Fauxwood Designer Eco,  
Fauxwood Designer Eco Plus 
&amp; Luvre the options are;
Double Hinged
Fixed
Hinged
Pivot Hinged
Sliding
Track Bi Fold
For OUT &amp; Fauxwood Designer Eco,  
Fauxwood Designer Eco Plus 
&amp; Luvre the options are;
Double Hinged
Hinged
Pivot Hinged
Sliding
Track Bi Fold
For IN &amp; Fauxwood Designer Eco Night 
the options are;
Fixed
Hinged
For OUT &amp; Fauxwood Designer Eco Night 
the options are;
Fixed
Hinged
For MS, the options are;
N/A
Pivot Hinged is not recommended for 
Designer Eco Plus or Luvre.</t>
        </r>
      </text>
    </comment>
    <comment ref="N16" authorId="0" shapeId="0" xr:uid="{F7B04EA7-68B6-4525-A9E4-02C61216C20D}">
      <text>
        <r>
          <rPr>
            <sz val="8"/>
            <color indexed="81"/>
            <rFont val="Tahoma"/>
            <family val="2"/>
          </rPr>
          <t>For Sliding Track System options are;
Top Hung (Original System)
Bottom Wheel (New System)
The Top Hung (Original System) uses 
Top Wheels Mounting.
The Bottom Wheel (New System) uses a 
U Channel at the Top and 
Wheels at the Bottom.
This option cannot have a Floor Guide or 
Track On Board.</t>
        </r>
      </text>
    </comment>
    <comment ref="O16" authorId="0" shapeId="0" xr:uid="{D15F58AF-A0A2-4CE3-BB13-70BF3CB1E813}">
      <text>
        <r>
          <rPr>
            <sz val="8"/>
            <color indexed="81"/>
            <rFont val="Tahoma"/>
            <family val="2"/>
          </rPr>
          <t>Please refer to the Shutter Manual 
when selecting Layout Code.
The list provides the most common options, 
which are dependent on Mounting Method.
More complex Layout Codes can still be entered manually.</t>
        </r>
      </text>
    </comment>
    <comment ref="P16" authorId="0" shapeId="0" xr:uid="{8C8075AD-FBAF-4C9E-8BE5-8888491E90F1}">
      <text>
        <r>
          <rPr>
            <sz val="8"/>
            <color indexed="81"/>
            <rFont val="Tahoma"/>
            <family val="2"/>
          </rPr>
          <t>Frame Type is dependent on
 Mounting Method.
If a Flat (unbeaded) Small L Frame 
is selected, a matching Stile &amp; T Post can be 
ordered in the Stile &amp; T Post column.</t>
        </r>
      </text>
    </comment>
    <comment ref="V16" authorId="0" shapeId="0" xr:uid="{D36AF896-B288-47CD-BFCC-87885278463A}">
      <text>
        <r>
          <rPr>
            <sz val="8"/>
            <color indexed="81"/>
            <rFont val="Tahoma"/>
            <family val="2"/>
          </rPr>
          <t>This option is dependent on the 
Material &amp; Product 
and will only be available once this 
option is selected.
For Fauxwood Designer Eco
&amp; Fauxwood Designer Eco Plus 
the options are;
Hidden
Centre
Off-Set
Rack &amp; Pinion
These Shapes are not available
with the Rack &amp; Pinion Tiltrod;
Shaped Arch
Shaped Hexagon
Shaped Octagon
Shaped Oval
Shaped Round
Shaped Sunburst
For Fauxwood Designer Eco Night
the options are;
Hidden
For Luvre the options are;
Hidden</t>
        </r>
      </text>
    </comment>
    <comment ref="W16" authorId="0" shapeId="0" xr:uid="{7DAFFE24-3957-42D4-AA29-14A4E3326ADA}">
      <text>
        <r>
          <rPr>
            <sz val="8"/>
            <color indexed="81"/>
            <rFont val="Tahoma"/>
            <family val="2"/>
          </rPr>
          <t xml:space="preserve">If no Hinge Colour is selected, 
then the default Hinge Colour and hardware 
will be supplied. 
The Hinge Colour options are;
Default
Stainless Steel
N/A
When Default is selected, the Hinge will be supplied 
as per the matching Hinge Colour list below;
Shutter Colour - </t>
        </r>
        <r>
          <rPr>
            <i/>
            <sz val="8"/>
            <color indexed="81"/>
            <rFont val="Tahoma"/>
            <family val="2"/>
          </rPr>
          <t>Hinge Colour</t>
        </r>
        <r>
          <rPr>
            <sz val="8"/>
            <color indexed="81"/>
            <rFont val="Tahoma"/>
            <family val="2"/>
          </rPr>
          <t xml:space="preserve">
   Bright White - </t>
        </r>
        <r>
          <rPr>
            <i/>
            <sz val="8"/>
            <color indexed="81"/>
            <rFont val="Tahoma"/>
            <family val="2"/>
          </rPr>
          <t>Bright White</t>
        </r>
        <r>
          <rPr>
            <sz val="8"/>
            <color indexed="81"/>
            <rFont val="Tahoma"/>
            <family val="2"/>
          </rPr>
          <t xml:space="preserve">
Classic White - </t>
        </r>
        <r>
          <rPr>
            <i/>
            <sz val="8"/>
            <color indexed="81"/>
            <rFont val="Tahoma"/>
            <family val="2"/>
          </rPr>
          <t>White</t>
        </r>
        <r>
          <rPr>
            <sz val="8"/>
            <color indexed="81"/>
            <rFont val="Tahoma"/>
            <family val="2"/>
          </rPr>
          <t xml:space="preserve">
Snow White - </t>
        </r>
        <r>
          <rPr>
            <i/>
            <sz val="8"/>
            <color indexed="81"/>
            <rFont val="Tahoma"/>
            <family val="2"/>
          </rPr>
          <t>Snow White</t>
        </r>
        <r>
          <rPr>
            <sz val="8"/>
            <color indexed="81"/>
            <rFont val="Tahoma"/>
            <family val="2"/>
          </rPr>
          <t xml:space="preserve">
Super White - </t>
        </r>
        <r>
          <rPr>
            <i/>
            <sz val="8"/>
            <color indexed="81"/>
            <rFont val="Tahoma"/>
            <family val="2"/>
          </rPr>
          <t>Snow White</t>
        </r>
        <r>
          <rPr>
            <sz val="8"/>
            <color indexed="81"/>
            <rFont val="Tahoma"/>
            <family val="2"/>
          </rPr>
          <t xml:space="preserve">
Vanilla - </t>
        </r>
        <r>
          <rPr>
            <i/>
            <sz val="8"/>
            <color indexed="81"/>
            <rFont val="Tahoma"/>
            <family val="2"/>
          </rPr>
          <t xml:space="preserve">Ivory
</t>
        </r>
        <r>
          <rPr>
            <sz val="8"/>
            <color indexed="81"/>
            <rFont val="Tahoma"/>
            <family val="2"/>
          </rPr>
          <t xml:space="preserve">Ceylon - </t>
        </r>
        <r>
          <rPr>
            <i/>
            <sz val="8"/>
            <color indexed="81"/>
            <rFont val="Tahoma"/>
            <family val="2"/>
          </rPr>
          <t>Ceylon</t>
        </r>
        <r>
          <rPr>
            <sz val="8"/>
            <color indexed="81"/>
            <rFont val="Tahoma"/>
            <family val="2"/>
          </rPr>
          <t xml:space="preserve">
Earl Grey - </t>
        </r>
        <r>
          <rPr>
            <i/>
            <sz val="8"/>
            <color indexed="81"/>
            <rFont val="Tahoma"/>
            <family val="2"/>
          </rPr>
          <t>Earl Grey</t>
        </r>
        <r>
          <rPr>
            <sz val="8"/>
            <color indexed="81"/>
            <rFont val="Tahoma"/>
            <family val="2"/>
          </rPr>
          <t xml:space="preserve">
French White - </t>
        </r>
        <r>
          <rPr>
            <i/>
            <sz val="8"/>
            <color indexed="81"/>
            <rFont val="Tahoma"/>
            <family val="2"/>
          </rPr>
          <t>French White</t>
        </r>
        <r>
          <rPr>
            <sz val="8"/>
            <color indexed="81"/>
            <rFont val="Tahoma"/>
            <family val="2"/>
          </rPr>
          <t xml:space="preserve">
Infinite White -</t>
        </r>
        <r>
          <rPr>
            <i/>
            <sz val="8"/>
            <color indexed="81"/>
            <rFont val="Tahoma"/>
            <family val="2"/>
          </rPr>
          <t xml:space="preserve"> Infinite White</t>
        </r>
        <r>
          <rPr>
            <sz val="8"/>
            <color indexed="81"/>
            <rFont val="Tahoma"/>
            <family val="2"/>
          </rPr>
          <t xml:space="preserve">
Polar White - </t>
        </r>
        <r>
          <rPr>
            <i/>
            <sz val="8"/>
            <color indexed="81"/>
            <rFont val="Tahoma"/>
            <family val="2"/>
          </rPr>
          <t>Polar White</t>
        </r>
        <r>
          <rPr>
            <sz val="8"/>
            <color indexed="81"/>
            <rFont val="Tahoma"/>
            <family val="2"/>
          </rPr>
          <t xml:space="preserve">
Quiet White - </t>
        </r>
        <r>
          <rPr>
            <i/>
            <sz val="8"/>
            <color indexed="81"/>
            <rFont val="Tahoma"/>
            <family val="2"/>
          </rPr>
          <t>Quiet White</t>
        </r>
        <r>
          <rPr>
            <sz val="8"/>
            <color indexed="81"/>
            <rFont val="Tahoma"/>
            <family val="2"/>
          </rPr>
          <t xml:space="preserve">
Snow Gum Grey - </t>
        </r>
        <r>
          <rPr>
            <i/>
            <sz val="8"/>
            <color indexed="81"/>
            <rFont val="Tahoma"/>
            <family val="2"/>
          </rPr>
          <t>Snow Gum Grey</t>
        </r>
        <r>
          <rPr>
            <sz val="8"/>
            <color indexed="81"/>
            <rFont val="Tahoma"/>
            <family val="2"/>
          </rPr>
          <t xml:space="preserve">
Snowy Mountains White - </t>
        </r>
        <r>
          <rPr>
            <i/>
            <sz val="8"/>
            <color indexed="81"/>
            <rFont val="Tahoma"/>
            <family val="2"/>
          </rPr>
          <t>Snowy Mountains White</t>
        </r>
        <r>
          <rPr>
            <sz val="8"/>
            <color indexed="81"/>
            <rFont val="Tahoma"/>
            <family val="2"/>
          </rPr>
          <t xml:space="preserve">
For standard Shutters in Fauxwood Designer Eco 
Standard 77mm Hinges will be used.
For standard Shutters in Fauxwood Designer Eco Plus, 
Fauxwood Designer Eco Night &amp; Luvre
Standard 90mm Hinges will be used.
The Pivot Hinged Colour options are;
White
Stainless Steel
Please refer to the Shutter Manual. 
</t>
        </r>
        <r>
          <rPr>
            <i/>
            <sz val="8"/>
            <color indexed="81"/>
            <rFont val="Tahoma"/>
            <family val="2"/>
          </rPr>
          <t>Stainless Steel Surcharge applies.</t>
        </r>
      </text>
    </comment>
    <comment ref="X16" authorId="0" shapeId="0" xr:uid="{CF0815AB-5ED9-461E-B319-A82E17E905BE}">
      <text>
        <r>
          <rPr>
            <sz val="8"/>
            <color indexed="81"/>
            <rFont val="Tahoma"/>
            <family val="2"/>
          </rPr>
          <t>Please Note: 
If Closed option is chosen then the blades 
can be damaged if they are left open 
when Sliding the Panel.
Open is not an option for 3 Tracks.</t>
        </r>
      </text>
    </comment>
    <comment ref="Y16" authorId="0" shapeId="0" xr:uid="{0387C194-0DB3-40D9-AE96-16F46CE8085E}">
      <text>
        <r>
          <rPr>
            <sz val="8"/>
            <color indexed="81"/>
            <rFont val="Tahoma"/>
            <family val="2"/>
          </rPr>
          <t>If any T Posts are required then the measurements 
must be supplied under the next columns.
Measurements should be made from the left.
A Flat (Unbeaded) T Post can be ordered to match 
the Flat Stile Shutter in the Stile &amp; T Post column.</t>
        </r>
      </text>
    </comment>
    <comment ref="AC16" authorId="0" shapeId="0" xr:uid="{4CF211F2-C953-4A15-A85B-01A89B11D57C}">
      <text>
        <r>
          <rPr>
            <sz val="8"/>
            <color indexed="81"/>
            <rFont val="Tahoma"/>
            <family val="2"/>
          </rPr>
          <t>The Stile &amp; T Post 
options are;
Default (Beaded)
Flat Stile &amp; T Post
A Flat (unbeaded) Small L Frame can be ordered 
under the Frame Type.</t>
        </r>
      </text>
    </comment>
    <comment ref="AD16" authorId="0" shapeId="0" xr:uid="{637170C4-A740-4E63-92C2-AFFF77D47909}">
      <text>
        <r>
          <rPr>
            <sz val="8"/>
            <color indexed="81"/>
            <rFont val="Tahoma"/>
            <family val="2"/>
          </rPr>
          <t xml:space="preserve">The Designer Eco,  
Designer Eco Plus &amp; Luvre
Fluffy Strip options are;
No
Yes
Fluffy Strip is supplied with the Fauxwood Designer Eco Night Shutter.
</t>
        </r>
        <r>
          <rPr>
            <i/>
            <sz val="8"/>
            <color indexed="81"/>
            <rFont val="Tahoma"/>
            <family val="2"/>
          </rPr>
          <t>Fluffy Strip Surcharge applies.</t>
        </r>
      </text>
    </comment>
    <comment ref="C17" authorId="0" shapeId="0" xr:uid="{5176205E-7787-455E-827F-3E18C38C543A}">
      <text>
        <r>
          <rPr>
            <sz val="8"/>
            <color indexed="81"/>
            <rFont val="Tahoma"/>
            <family val="2"/>
          </rPr>
          <t xml:space="preserve">Minimum Width is 180mm.
Maximum Fauxwood Standard Size 
Width is 650mm.
Maximum Fauxwood Designer Eco Width with 
63mm Blades is 900mm.
Maximum Fauxwood Designer Eco Width with 
89mm Blades is 900mm.
Maximum Fauxwood Designer Eco Plus Width with 
63mm Blades is 950mm.
Maximum Fauxwood Designer Eco Plus Width with 
89mm Blades is 950mm.
Maximum Fauxwood Designer Eco Night 
Width is 650mm.
Maximum Luvre Width is 950mm.
Fauxwood Designer Eco &amp; 
Fauxwood Designer Eco Plus Panels 
with a Width larger than 650mm will require 
Aluminium Inserts.
Conditions apply.
</t>
        </r>
        <r>
          <rPr>
            <i/>
            <sz val="8"/>
            <color indexed="81"/>
            <rFont val="Tahoma"/>
            <family val="2"/>
          </rPr>
          <t>Please note: 
Larger Panels may sometimes require lifting in to the frame.</t>
        </r>
      </text>
    </comment>
    <comment ref="D17" authorId="0" shapeId="0" xr:uid="{9652AC10-5F7E-42B0-B961-9905D3125997}">
      <text>
        <r>
          <rPr>
            <sz val="8"/>
            <color indexed="81"/>
            <rFont val="Tahoma"/>
            <family val="2"/>
          </rPr>
          <t>Minimum Height is 350mm.
Maximum Fauxwood Height is 2600mm.</t>
        </r>
      </text>
    </comment>
    <comment ref="E17" authorId="0" shapeId="0" xr:uid="{1B20BD1E-F826-4A47-AD08-7A97D4733EA1}">
      <text>
        <r>
          <rPr>
            <sz val="8"/>
            <color indexed="81"/>
            <rFont val="Tahoma"/>
            <family val="2"/>
          </rPr>
          <t xml:space="preserve">In - Inside or Reveal Fit
Out - Outside or Face Fit
Alternative Option:
MS - Make Size
Panel Only Option
</t>
        </r>
        <r>
          <rPr>
            <i/>
            <sz val="8"/>
            <color indexed="81"/>
            <rFont val="Tahoma"/>
            <family val="2"/>
          </rPr>
          <t>(Used for specific requirements only)</t>
        </r>
      </text>
    </comment>
    <comment ref="F17" authorId="0" shapeId="0" xr:uid="{FD010C90-94C2-48C9-A663-04DA7645A3EA}">
      <text>
        <r>
          <rPr>
            <sz val="8"/>
            <color indexed="81"/>
            <rFont val="Tahoma"/>
            <family val="2"/>
          </rPr>
          <t>Quantity is the number of Panels 
within the opening. 
If ordering Make Size (MS), 
this will be the number of Panels 
at this size.</t>
        </r>
      </text>
    </comment>
    <comment ref="G17" authorId="0" shapeId="0" xr:uid="{4A4F3A34-1529-4BCC-BB2C-870D4913094A}">
      <text>
        <r>
          <rPr>
            <sz val="8"/>
            <color indexed="81"/>
            <rFont val="Tahoma"/>
            <family val="2"/>
          </rPr>
          <t>Fauxwood Designer Eco will be made with the standard profile 
Bottom Rail,  Mid Rail &amp; Top Rail.
Fauxwood Designer Eco Plus will be made with the 
reinforced curved profile Bottom Rail, Mid Rail &amp; Top Rail.
Fauxwood Designer Eco Night will be made with the 
curved grooved profile Bottom Rail, Mid Rail &amp; Top Rail.
Luvre will be made with the reinforced
curved profile Bottom Rail, Mid Rail &amp; Top Rail.
Fauxwood Designer Eco Plus, Fauxwood Designer Eco Night &amp; Luvre 
Surcharge applies.</t>
        </r>
      </text>
    </comment>
    <comment ref="H17" authorId="0" shapeId="0" xr:uid="{C85E8BBB-4972-4D96-BA31-F304E2DA16A0}">
      <text>
        <r>
          <rPr>
            <sz val="8"/>
            <color indexed="81"/>
            <rFont val="Tahoma"/>
            <family val="2"/>
          </rPr>
          <t xml:space="preserve">Fauxwood Designer Colours options available;
Standard Colours;
Bright White
Classic White
Snow White
Super White
Vanilla
Specialty Colours;
Ceylon
Earl Grey
French White
Infinite White
Polar White
Quiet White
Snow Gum Grey
Snowy Mountains White
</t>
        </r>
        <r>
          <rPr>
            <i/>
            <sz val="8"/>
            <color indexed="81"/>
            <rFont val="Tahoma"/>
            <family val="2"/>
          </rPr>
          <t>Specialty Colours Surcharge applies.</t>
        </r>
        <r>
          <rPr>
            <sz val="8"/>
            <color indexed="81"/>
            <rFont val="Tahoma"/>
            <family val="2"/>
          </rPr>
          <t xml:space="preserve">
Luvre with Therme &amp; Scratch Resistant Paint 
Colours options available;
Snow White
Super White
</t>
        </r>
      </text>
    </comment>
    <comment ref="J17" authorId="0" shapeId="0" xr:uid="{7040A256-68F2-493B-A8CF-C5336CBC685B}">
      <text>
        <r>
          <rPr>
            <sz val="8"/>
            <color indexed="81"/>
            <rFont val="Tahoma"/>
            <family val="2"/>
          </rPr>
          <t>Fauxwood Designer Eco &amp; 
Fauxwood Designer Eco Plus 
Blade sizes options are;
63mm
89mm
Fauxwood Designer Eco Night  
Blade sizes options are;
92mm
Luvre Blade sizes options are;
89mm
114mm</t>
        </r>
      </text>
    </comment>
    <comment ref="K17" authorId="0" shapeId="0" xr:uid="{D87DACF8-7578-4E2D-AD7F-855D3CFF5789}">
      <text>
        <r>
          <rPr>
            <sz val="8"/>
            <color indexed="81"/>
            <rFont val="Tahoma"/>
            <family val="2"/>
          </rPr>
          <t>Mid Rail is required on Fauxwood Panels over 1500mm.
Cell will highlight yellow when Mid Rail is required.
Only one Critical Mid Rail is allowed.
A Mid Rail that is not marked "Critical" may be moved up or down 
up to 40mm to stop any gaps and increase/decrease the blade quantity.
Fauxwood Designer Eco will be made with the standard profile 
Bottom Rail,  Mid Rail &amp; Top Rail.
Fauxwood Designer Eco Plus will be made with the 
reinforced curved profile Bottom Rail, Mid Rail &amp; Top Rail.
Fauxwood Designer Eco Night will be made with the 
curved grooved profile Bottom Rail, Mid Rail &amp; Top Rail.
Luvre will be made with the reinforced
curved profile Bottom Rail, Mid Rail &amp; Top Rail.
Fauxwood Designer Eco Plus, Fauxwood Designer Eco Night &amp; Luvre Surcharge applies.</t>
        </r>
      </text>
    </comment>
    <comment ref="L17" authorId="0" shapeId="0" xr:uid="{F60EC555-D7DD-4522-8953-8B8E2DD50310}">
      <text>
        <r>
          <rPr>
            <sz val="8"/>
            <color indexed="81"/>
            <rFont val="Tahoma"/>
            <family val="2"/>
          </rPr>
          <t xml:space="preserve">The Fauxwood Designer Eco, 
Fauxwood Designer Eco Plus 
&amp; Luvre Window Type options are;
Standard
Bay Window
Corner Window
Door Cut Out
Shaped Arch
Shaped Hexagon
Shaped Octagon
Shaped Oval
Shaped Parallelogram
Shaped Raked
Shaped Round
Shaped Sunburst
Shaped Triangle
These Shapes are not available
with the Rack &amp; Pinion Tiltrod;
Shaped Arch
Shaped Hexagon
Shaped Octagon
Shaped Oval
Shaped Round
Shaped Sunburst
The Fauxwood Designer Eco Night Window Type 
options are;
Standard
Bay Window
Corner Window
</t>
        </r>
        <r>
          <rPr>
            <i/>
            <sz val="8"/>
            <color indexed="81"/>
            <rFont val="Tahoma"/>
            <family val="2"/>
          </rPr>
          <t xml:space="preserve">
</t>
        </r>
        <r>
          <rPr>
            <sz val="8"/>
            <color indexed="81"/>
            <rFont val="Tahoma"/>
            <family val="2"/>
          </rPr>
          <t>Shaped Shutters will need the Panel Layout to be 
compatible with the Hidden Tiltrod system.</t>
        </r>
      </text>
    </comment>
    <comment ref="M17" authorId="0" shapeId="0" xr:uid="{A641D8B3-C299-4916-ACA2-6EAD761C3AA7}">
      <text>
        <r>
          <rPr>
            <sz val="8"/>
            <color indexed="81"/>
            <rFont val="Tahoma"/>
            <family val="2"/>
          </rPr>
          <t>Mounting Method is dependent 
on  MS, In Or Out &amp; Product.
For IN &amp; Fauxwood Designer Eco,  
Fauxwood Designer Eco Plus 
&amp; Luvre the options are;
Double Hinged
Fixed
Hinged
Pivot Hinged
Sliding
Track Bi Fold
For OUT &amp; Fauxwood Designer Eco,  
Fauxwood Designer Eco Plus 
&amp; Luvre the options are;
Double Hinged
Hinged
Pivot Hinged
Sliding
Track Bi Fold
For IN &amp; Fauxwood Designer Eco Night 
the options are;
Fixed
Hinged
For OUT &amp; Fauxwood Designer Eco Night 
the options are;
Fixed
Hinged
For MS, the options are;
N/A
Pivot Hinged is not recommended for 
Designer Eco Plus or Luvre.</t>
        </r>
      </text>
    </comment>
    <comment ref="N17" authorId="0" shapeId="0" xr:uid="{060733B5-070B-4F91-975D-C3F0299ECAC4}">
      <text>
        <r>
          <rPr>
            <sz val="8"/>
            <color indexed="81"/>
            <rFont val="Tahoma"/>
            <family val="2"/>
          </rPr>
          <t>For Sliding Track System options are;
Top Hung (Original System)
Bottom Wheel (New System)
The Top Hung (Original System) uses 
Top Wheels Mounting.
The Bottom Wheel (New System) uses a 
U Channel at the Top and 
Wheels at the Bottom.
This option cannot have a Floor Guide or 
Track On Board.</t>
        </r>
      </text>
    </comment>
    <comment ref="O17" authorId="0" shapeId="0" xr:uid="{A64B3344-F49D-463D-85A0-64418265642C}">
      <text>
        <r>
          <rPr>
            <sz val="8"/>
            <color indexed="81"/>
            <rFont val="Tahoma"/>
            <family val="2"/>
          </rPr>
          <t>Please refer to the Shutter Manual 
when selecting Layout Code.
The list provides the most common options, 
which are dependent on Mounting Method.
More complex Layout Codes can still be entered manually.</t>
        </r>
      </text>
    </comment>
    <comment ref="P17" authorId="0" shapeId="0" xr:uid="{4E64D649-6A48-4FF1-BF67-20FDA0E444BE}">
      <text>
        <r>
          <rPr>
            <sz val="8"/>
            <color indexed="81"/>
            <rFont val="Tahoma"/>
            <family val="2"/>
          </rPr>
          <t>Frame Type is dependent on
 Mounting Method.
If a Flat (unbeaded) Small L Frame 
is selected, a matching Stile &amp; T Post can be 
ordered in the Stile &amp; T Post column.</t>
        </r>
      </text>
    </comment>
    <comment ref="V17" authorId="0" shapeId="0" xr:uid="{16535A73-B9CB-44B1-AB27-FE13725A5290}">
      <text>
        <r>
          <rPr>
            <sz val="8"/>
            <color indexed="81"/>
            <rFont val="Tahoma"/>
            <family val="2"/>
          </rPr>
          <t>This option is dependent on the 
Material &amp; Product 
and will only be available once this 
option is selected.
For Fauxwood Designer Eco
&amp; Fauxwood Designer Eco Plus 
the options are;
Hidden
Centre
Off-Set
Rack &amp; Pinion
These Shapes are not available
with the Rack &amp; Pinion Tiltrod;
Shaped Arch
Shaped Hexagon
Shaped Octagon
Shaped Oval
Shaped Round
Shaped Sunburst
For Fauxwood Designer Eco Night
the options are;
Hidden
For Luvre the options are;
Hidden</t>
        </r>
      </text>
    </comment>
    <comment ref="W17" authorId="0" shapeId="0" xr:uid="{FDA431D9-8BF2-4CE2-AC5D-5859737A349C}">
      <text>
        <r>
          <rPr>
            <sz val="8"/>
            <color indexed="81"/>
            <rFont val="Tahoma"/>
            <family val="2"/>
          </rPr>
          <t xml:space="preserve">If no Hinge Colour is selected, 
then the default Hinge Colour and hardware 
will be supplied. 
The Hinge Colour options are;
Default
Stainless Steel
N/A
When Default is selected, the Hinge will be supplied 
as per the matching Hinge Colour list below;
Shutter Colour - </t>
        </r>
        <r>
          <rPr>
            <i/>
            <sz val="8"/>
            <color indexed="81"/>
            <rFont val="Tahoma"/>
            <family val="2"/>
          </rPr>
          <t>Hinge Colour</t>
        </r>
        <r>
          <rPr>
            <sz val="8"/>
            <color indexed="81"/>
            <rFont val="Tahoma"/>
            <family val="2"/>
          </rPr>
          <t xml:space="preserve">
   Bright White - </t>
        </r>
        <r>
          <rPr>
            <i/>
            <sz val="8"/>
            <color indexed="81"/>
            <rFont val="Tahoma"/>
            <family val="2"/>
          </rPr>
          <t>Bright White</t>
        </r>
        <r>
          <rPr>
            <sz val="8"/>
            <color indexed="81"/>
            <rFont val="Tahoma"/>
            <family val="2"/>
          </rPr>
          <t xml:space="preserve">
Classic White - </t>
        </r>
        <r>
          <rPr>
            <i/>
            <sz val="8"/>
            <color indexed="81"/>
            <rFont val="Tahoma"/>
            <family val="2"/>
          </rPr>
          <t>White</t>
        </r>
        <r>
          <rPr>
            <sz val="8"/>
            <color indexed="81"/>
            <rFont val="Tahoma"/>
            <family val="2"/>
          </rPr>
          <t xml:space="preserve">
Snow White - </t>
        </r>
        <r>
          <rPr>
            <i/>
            <sz val="8"/>
            <color indexed="81"/>
            <rFont val="Tahoma"/>
            <family val="2"/>
          </rPr>
          <t>Snow White</t>
        </r>
        <r>
          <rPr>
            <sz val="8"/>
            <color indexed="81"/>
            <rFont val="Tahoma"/>
            <family val="2"/>
          </rPr>
          <t xml:space="preserve">
Super White - </t>
        </r>
        <r>
          <rPr>
            <i/>
            <sz val="8"/>
            <color indexed="81"/>
            <rFont val="Tahoma"/>
            <family val="2"/>
          </rPr>
          <t>Snow White</t>
        </r>
        <r>
          <rPr>
            <sz val="8"/>
            <color indexed="81"/>
            <rFont val="Tahoma"/>
            <family val="2"/>
          </rPr>
          <t xml:space="preserve">
Vanilla - </t>
        </r>
        <r>
          <rPr>
            <i/>
            <sz val="8"/>
            <color indexed="81"/>
            <rFont val="Tahoma"/>
            <family val="2"/>
          </rPr>
          <t xml:space="preserve">Ivory
</t>
        </r>
        <r>
          <rPr>
            <sz val="8"/>
            <color indexed="81"/>
            <rFont val="Tahoma"/>
            <family val="2"/>
          </rPr>
          <t xml:space="preserve">Ceylon - </t>
        </r>
        <r>
          <rPr>
            <i/>
            <sz val="8"/>
            <color indexed="81"/>
            <rFont val="Tahoma"/>
            <family val="2"/>
          </rPr>
          <t>Ceylon</t>
        </r>
        <r>
          <rPr>
            <sz val="8"/>
            <color indexed="81"/>
            <rFont val="Tahoma"/>
            <family val="2"/>
          </rPr>
          <t xml:space="preserve">
Earl Grey - </t>
        </r>
        <r>
          <rPr>
            <i/>
            <sz val="8"/>
            <color indexed="81"/>
            <rFont val="Tahoma"/>
            <family val="2"/>
          </rPr>
          <t>Earl Grey</t>
        </r>
        <r>
          <rPr>
            <sz val="8"/>
            <color indexed="81"/>
            <rFont val="Tahoma"/>
            <family val="2"/>
          </rPr>
          <t xml:space="preserve">
French White - </t>
        </r>
        <r>
          <rPr>
            <i/>
            <sz val="8"/>
            <color indexed="81"/>
            <rFont val="Tahoma"/>
            <family val="2"/>
          </rPr>
          <t>French White</t>
        </r>
        <r>
          <rPr>
            <sz val="8"/>
            <color indexed="81"/>
            <rFont val="Tahoma"/>
            <family val="2"/>
          </rPr>
          <t xml:space="preserve">
Infinite White -</t>
        </r>
        <r>
          <rPr>
            <i/>
            <sz val="8"/>
            <color indexed="81"/>
            <rFont val="Tahoma"/>
            <family val="2"/>
          </rPr>
          <t xml:space="preserve"> Infinite White</t>
        </r>
        <r>
          <rPr>
            <sz val="8"/>
            <color indexed="81"/>
            <rFont val="Tahoma"/>
            <family val="2"/>
          </rPr>
          <t xml:space="preserve">
Polar White - </t>
        </r>
        <r>
          <rPr>
            <i/>
            <sz val="8"/>
            <color indexed="81"/>
            <rFont val="Tahoma"/>
            <family val="2"/>
          </rPr>
          <t>Polar White</t>
        </r>
        <r>
          <rPr>
            <sz val="8"/>
            <color indexed="81"/>
            <rFont val="Tahoma"/>
            <family val="2"/>
          </rPr>
          <t xml:space="preserve">
Quiet White - </t>
        </r>
        <r>
          <rPr>
            <i/>
            <sz val="8"/>
            <color indexed="81"/>
            <rFont val="Tahoma"/>
            <family val="2"/>
          </rPr>
          <t>Quiet White</t>
        </r>
        <r>
          <rPr>
            <sz val="8"/>
            <color indexed="81"/>
            <rFont val="Tahoma"/>
            <family val="2"/>
          </rPr>
          <t xml:space="preserve">
Snow Gum Grey - </t>
        </r>
        <r>
          <rPr>
            <i/>
            <sz val="8"/>
            <color indexed="81"/>
            <rFont val="Tahoma"/>
            <family val="2"/>
          </rPr>
          <t>Snow Gum Grey</t>
        </r>
        <r>
          <rPr>
            <sz val="8"/>
            <color indexed="81"/>
            <rFont val="Tahoma"/>
            <family val="2"/>
          </rPr>
          <t xml:space="preserve">
Snowy Mountains White - </t>
        </r>
        <r>
          <rPr>
            <i/>
            <sz val="8"/>
            <color indexed="81"/>
            <rFont val="Tahoma"/>
            <family val="2"/>
          </rPr>
          <t>Snowy Mountains White</t>
        </r>
        <r>
          <rPr>
            <sz val="8"/>
            <color indexed="81"/>
            <rFont val="Tahoma"/>
            <family val="2"/>
          </rPr>
          <t xml:space="preserve">
For standard Shutters in Fauxwood Designer Eco 
Standard 77mm Hinges will be used.
For standard Shutters in Fauxwood Designer Eco Plus, 
Fauxwood Designer Eco Night &amp; Luvre
Standard 90mm Hinges will be used.
The Pivot Hinged Colour options are;
White
Stainless Steel
Please refer to the Shutter Manual. 
</t>
        </r>
        <r>
          <rPr>
            <i/>
            <sz val="8"/>
            <color indexed="81"/>
            <rFont val="Tahoma"/>
            <family val="2"/>
          </rPr>
          <t>Stainless Steel Surcharge applies.</t>
        </r>
      </text>
    </comment>
    <comment ref="X17" authorId="0" shapeId="0" xr:uid="{FE16FD72-DEDF-4D6E-A76F-BBAF1E5B8592}">
      <text>
        <r>
          <rPr>
            <sz val="8"/>
            <color indexed="81"/>
            <rFont val="Tahoma"/>
            <family val="2"/>
          </rPr>
          <t>Please Note: 
If Closed option is chosen then the blades 
can be damaged if they are left open 
when Sliding the Panel.
Open is not an option for 3 Tracks.</t>
        </r>
      </text>
    </comment>
    <comment ref="Y17" authorId="0" shapeId="0" xr:uid="{19A8B69A-35AB-4F93-94E5-BB16EACD90D9}">
      <text>
        <r>
          <rPr>
            <sz val="8"/>
            <color indexed="81"/>
            <rFont val="Tahoma"/>
            <family val="2"/>
          </rPr>
          <t>If any T Posts are required then the measurements 
must be supplied under the next columns.
Measurements should be made from the left.
A Flat (Unbeaded) T Post can be ordered to match 
the Flat Stile Shutter in the Stile &amp; T Post column.</t>
        </r>
      </text>
    </comment>
    <comment ref="AC17" authorId="0" shapeId="0" xr:uid="{6FF39E40-F263-4806-BF43-F8165AA709DF}">
      <text>
        <r>
          <rPr>
            <sz val="8"/>
            <color indexed="81"/>
            <rFont val="Tahoma"/>
            <family val="2"/>
          </rPr>
          <t>The Stile &amp; T Post 
options are;
Default (Beaded)
Flat Stile &amp; T Post
A Flat (unbeaded) Small L Frame can be ordered 
under the Frame Type.</t>
        </r>
      </text>
    </comment>
    <comment ref="AD17" authorId="0" shapeId="0" xr:uid="{2E954C11-F147-4D89-ABC5-4EAA21A315FD}">
      <text>
        <r>
          <rPr>
            <sz val="8"/>
            <color indexed="81"/>
            <rFont val="Tahoma"/>
            <family val="2"/>
          </rPr>
          <t xml:space="preserve">The Designer Eco,  
Designer Eco Plus &amp; Luvre
Fluffy Strip options are;
No
Yes
Fluffy Strip is supplied with the Fauxwood Designer Eco Night Shutter.
</t>
        </r>
        <r>
          <rPr>
            <i/>
            <sz val="8"/>
            <color indexed="81"/>
            <rFont val="Tahoma"/>
            <family val="2"/>
          </rPr>
          <t>Fluffy Strip Surcharge applies.</t>
        </r>
      </text>
    </comment>
    <comment ref="C18" authorId="0" shapeId="0" xr:uid="{C9C56016-AD0A-4DC0-8421-F3605F7BFA31}">
      <text>
        <r>
          <rPr>
            <sz val="8"/>
            <color indexed="81"/>
            <rFont val="Tahoma"/>
            <family val="2"/>
          </rPr>
          <t xml:space="preserve">Minimum Width is 180mm.
Maximum Fauxwood Standard Size 
Width is 650mm.
Maximum Fauxwood Designer Eco Width with 
63mm Blades is 900mm.
Maximum Fauxwood Designer Eco Width with 
89mm Blades is 900mm.
Maximum Fauxwood Designer Eco Plus Width with 
63mm Blades is 950mm.
Maximum Fauxwood Designer Eco Plus Width with 
89mm Blades is 950mm.
Maximum Fauxwood Designer Eco Night 
Width is 650mm.
Maximum Luvre Width is 950mm.
Fauxwood Designer Eco &amp; 
Fauxwood Designer Eco Plus Panels 
with a Width larger than 650mm will require 
Aluminium Inserts.
Conditions apply.
</t>
        </r>
        <r>
          <rPr>
            <i/>
            <sz val="8"/>
            <color indexed="81"/>
            <rFont val="Tahoma"/>
            <family val="2"/>
          </rPr>
          <t>Please note: 
Larger Panels may sometimes require lifting in to the frame.</t>
        </r>
      </text>
    </comment>
    <comment ref="D18" authorId="0" shapeId="0" xr:uid="{59F8BA1C-8D0E-4BFE-85F7-65115E7704DE}">
      <text>
        <r>
          <rPr>
            <sz val="8"/>
            <color indexed="81"/>
            <rFont val="Tahoma"/>
            <family val="2"/>
          </rPr>
          <t>Minimum Height is 350mm.
Maximum Fauxwood Height is 2600mm.</t>
        </r>
      </text>
    </comment>
    <comment ref="E18" authorId="0" shapeId="0" xr:uid="{16A9A72E-3A5B-4783-BA6A-65C439B47456}">
      <text>
        <r>
          <rPr>
            <sz val="8"/>
            <color indexed="81"/>
            <rFont val="Tahoma"/>
            <family val="2"/>
          </rPr>
          <t xml:space="preserve">In - Inside or Reveal Fit
Out - Outside or Face Fit
Alternative Option:
MS - Make Size
Panel Only Option
</t>
        </r>
        <r>
          <rPr>
            <i/>
            <sz val="8"/>
            <color indexed="81"/>
            <rFont val="Tahoma"/>
            <family val="2"/>
          </rPr>
          <t>(Used for specific requirements only)</t>
        </r>
      </text>
    </comment>
    <comment ref="F18" authorId="0" shapeId="0" xr:uid="{A34D1DAB-DEB6-4BC7-9CFC-89D20636FEA0}">
      <text>
        <r>
          <rPr>
            <sz val="8"/>
            <color indexed="81"/>
            <rFont val="Tahoma"/>
            <family val="2"/>
          </rPr>
          <t>Quantity is the number of Panels 
within the opening. 
If ordering Make Size (MS), 
this will be the number of Panels 
at this size.</t>
        </r>
      </text>
    </comment>
    <comment ref="G18" authorId="0" shapeId="0" xr:uid="{92FDA70C-B660-47D3-BB8C-65D0A50D5BC9}">
      <text>
        <r>
          <rPr>
            <sz val="8"/>
            <color indexed="81"/>
            <rFont val="Tahoma"/>
            <family val="2"/>
          </rPr>
          <t>Fauxwood Designer Eco will be made with the standard profile 
Bottom Rail,  Mid Rail &amp; Top Rail.
Fauxwood Designer Eco Plus will be made with the 
reinforced curved profile Bottom Rail, Mid Rail &amp; Top Rail.
Fauxwood Designer Eco Night will be made with the 
curved grooved profile Bottom Rail, Mid Rail &amp; Top Rail.
Luvre will be made with the reinforced
curved profile Bottom Rail, Mid Rail &amp; Top Rail.
Fauxwood Designer Eco Plus, Fauxwood Designer Eco Night &amp; Luvre 
Surcharge applies.</t>
        </r>
      </text>
    </comment>
    <comment ref="H18" authorId="0" shapeId="0" xr:uid="{6DAC5516-E3FF-4E0B-8508-04CF7DAB104C}">
      <text>
        <r>
          <rPr>
            <sz val="8"/>
            <color indexed="81"/>
            <rFont val="Tahoma"/>
            <family val="2"/>
          </rPr>
          <t xml:space="preserve">Fauxwood Designer Colours options available;
Standard Colours;
Bright White
Classic White
Snow White
Super White
Vanilla
Specialty Colours;
Ceylon
Earl Grey
French White
Infinite White
Polar White
Quiet White
Snow Gum Grey
Snowy Mountains White
</t>
        </r>
        <r>
          <rPr>
            <i/>
            <sz val="8"/>
            <color indexed="81"/>
            <rFont val="Tahoma"/>
            <family val="2"/>
          </rPr>
          <t>Specialty Colours Surcharge applies.</t>
        </r>
        <r>
          <rPr>
            <sz val="8"/>
            <color indexed="81"/>
            <rFont val="Tahoma"/>
            <family val="2"/>
          </rPr>
          <t xml:space="preserve">
Luvre with Therme &amp; Scratch Resistant Paint 
Colours options available;
Snow White
Super White
</t>
        </r>
      </text>
    </comment>
    <comment ref="J18" authorId="0" shapeId="0" xr:uid="{00DAD00C-B029-4397-A54A-338538EBAB76}">
      <text>
        <r>
          <rPr>
            <sz val="8"/>
            <color indexed="81"/>
            <rFont val="Tahoma"/>
            <family val="2"/>
          </rPr>
          <t>Fauxwood Designer Eco &amp; 
Fauxwood Designer Eco Plus 
Blade sizes options are;
63mm
89mm
Fauxwood Designer Eco Night  
Blade sizes options are;
92mm
Luvre Blade sizes options are;
89mm
114mm</t>
        </r>
      </text>
    </comment>
    <comment ref="K18" authorId="0" shapeId="0" xr:uid="{63B84114-0877-47D4-AD99-7171B6EED411}">
      <text>
        <r>
          <rPr>
            <sz val="8"/>
            <color indexed="81"/>
            <rFont val="Tahoma"/>
            <family val="2"/>
          </rPr>
          <t>Mid Rail is required on Fauxwood Panels over 1500mm.
Cell will highlight yellow when Mid Rail is required.
Only one Critical Mid Rail is allowed.
A Mid Rail that is not marked "Critical" may be moved up or down 
up to 40mm to stop any gaps and increase/decrease the blade quantity.
Fauxwood Designer Eco will be made with the standard profile 
Bottom Rail,  Mid Rail &amp; Top Rail.
Fauxwood Designer Eco Plus will be made with the 
reinforced curved profile Bottom Rail, Mid Rail &amp; Top Rail.
Fauxwood Designer Eco Night will be made with the 
curved grooved profile Bottom Rail, Mid Rail &amp; Top Rail.
Luvre will be made with the reinforced
curved profile Bottom Rail, Mid Rail &amp; Top Rail.
Fauxwood Designer Eco Plus, Fauxwood Designer Eco Night &amp; Luvre Surcharge applies.</t>
        </r>
      </text>
    </comment>
    <comment ref="L18" authorId="0" shapeId="0" xr:uid="{4A4C59C2-2122-4869-95F5-ABB3B149C81A}">
      <text>
        <r>
          <rPr>
            <sz val="8"/>
            <color indexed="81"/>
            <rFont val="Tahoma"/>
            <family val="2"/>
          </rPr>
          <t xml:space="preserve">The Fauxwood Designer Eco, 
Fauxwood Designer Eco Plus 
&amp; Luvre Window Type options are;
Standard
Bay Window
Corner Window
Door Cut Out
Shaped Arch
Shaped Hexagon
Shaped Octagon
Shaped Oval
Shaped Parallelogram
Shaped Raked
Shaped Round
Shaped Sunburst
Shaped Triangle
These Shapes are not available
with the Rack &amp; Pinion Tiltrod;
Shaped Arch
Shaped Hexagon
Shaped Octagon
Shaped Oval
Shaped Round
Shaped Sunburst
The Fauxwood Designer Eco Night Window Type 
options are;
Standard
Bay Window
Corner Window
</t>
        </r>
        <r>
          <rPr>
            <i/>
            <sz val="8"/>
            <color indexed="81"/>
            <rFont val="Tahoma"/>
            <family val="2"/>
          </rPr>
          <t xml:space="preserve">
</t>
        </r>
        <r>
          <rPr>
            <sz val="8"/>
            <color indexed="81"/>
            <rFont val="Tahoma"/>
            <family val="2"/>
          </rPr>
          <t>Shaped Shutters will need the Panel Layout to be 
compatible with the Hidden Tiltrod system.</t>
        </r>
      </text>
    </comment>
    <comment ref="M18" authorId="0" shapeId="0" xr:uid="{C1DC6846-FD87-43E7-BCA0-F4693E5353A1}">
      <text>
        <r>
          <rPr>
            <sz val="8"/>
            <color indexed="81"/>
            <rFont val="Tahoma"/>
            <family val="2"/>
          </rPr>
          <t>Mounting Method is dependent 
on  MS, In Or Out &amp; Product.
For IN &amp; Fauxwood Designer Eco,  
Fauxwood Designer Eco Plus 
&amp; Luvre the options are;
Double Hinged
Fixed
Hinged
Pivot Hinged
Sliding
Track Bi Fold
For OUT &amp; Fauxwood Designer Eco,  
Fauxwood Designer Eco Plus 
&amp; Luvre the options are;
Double Hinged
Hinged
Pivot Hinged
Sliding
Track Bi Fold
For IN &amp; Fauxwood Designer Eco Night 
the options are;
Fixed
Hinged
For OUT &amp; Fauxwood Designer Eco Night 
the options are;
Fixed
Hinged
For MS, the options are;
N/A
Pivot Hinged is not recommended for 
Designer Eco Plus or Luvre.</t>
        </r>
      </text>
    </comment>
    <comment ref="N18" authorId="0" shapeId="0" xr:uid="{CA5D5BBF-8FFF-4D26-BE25-1C2BB1D15435}">
      <text>
        <r>
          <rPr>
            <sz val="8"/>
            <color indexed="81"/>
            <rFont val="Tahoma"/>
            <family val="2"/>
          </rPr>
          <t>For Sliding Track System options are;
Top Hung (Original System)
Bottom Wheel (New System)
The Top Hung (Original System) uses 
Top Wheels Mounting.
The Bottom Wheel (New System) uses a 
U Channel at the Top and 
Wheels at the Bottom.
This option cannot have a Floor Guide or 
Track On Board.</t>
        </r>
      </text>
    </comment>
    <comment ref="O18" authorId="0" shapeId="0" xr:uid="{612D3304-6A54-4962-BFA5-84E366B7AB65}">
      <text>
        <r>
          <rPr>
            <sz val="8"/>
            <color indexed="81"/>
            <rFont val="Tahoma"/>
            <family val="2"/>
          </rPr>
          <t>Please refer to the Shutter Manual 
when selecting Layout Code.
The list provides the most common options, 
which are dependent on Mounting Method.
More complex Layout Codes can still be entered manually.</t>
        </r>
      </text>
    </comment>
    <comment ref="P18" authorId="0" shapeId="0" xr:uid="{03CE2ECB-EB46-4BFD-B13C-0509F87722B3}">
      <text>
        <r>
          <rPr>
            <sz val="8"/>
            <color indexed="81"/>
            <rFont val="Tahoma"/>
            <family val="2"/>
          </rPr>
          <t>Frame Type is dependent on
 Mounting Method.
If a Flat (unbeaded) Small L Frame 
is selected, a matching Stile &amp; T Post can be 
ordered in the Stile &amp; T Post column.</t>
        </r>
      </text>
    </comment>
    <comment ref="V18" authorId="0" shapeId="0" xr:uid="{98193043-395C-40A8-B1AB-66E3413F595A}">
      <text>
        <r>
          <rPr>
            <sz val="8"/>
            <color indexed="81"/>
            <rFont val="Tahoma"/>
            <family val="2"/>
          </rPr>
          <t>This option is dependent on the 
Material &amp; Product 
and will only be available once this 
option is selected.
For Fauxwood Designer Eco
&amp; Fauxwood Designer Eco Plus 
the options are;
Hidden
Centre
Off-Set
Rack &amp; Pinion
These Shapes are not available
with the Rack &amp; Pinion Tiltrod;
Shaped Arch
Shaped Hexagon
Shaped Octagon
Shaped Oval
Shaped Round
Shaped Sunburst
For Fauxwood Designer Eco Night
the options are;
Hidden
For Luvre the options are;
Hidden</t>
        </r>
      </text>
    </comment>
    <comment ref="W18" authorId="0" shapeId="0" xr:uid="{293B17F6-4716-48FB-9DC4-5D2784B0AD9F}">
      <text>
        <r>
          <rPr>
            <sz val="8"/>
            <color indexed="81"/>
            <rFont val="Tahoma"/>
            <family val="2"/>
          </rPr>
          <t xml:space="preserve">If no Hinge Colour is selected, 
then the default Hinge Colour and hardware 
will be supplied. 
The Hinge Colour options are;
Default
Stainless Steel
N/A
When Default is selected, the Hinge will be supplied 
as per the matching Hinge Colour list below;
Shutter Colour - </t>
        </r>
        <r>
          <rPr>
            <i/>
            <sz val="8"/>
            <color indexed="81"/>
            <rFont val="Tahoma"/>
            <family val="2"/>
          </rPr>
          <t>Hinge Colour</t>
        </r>
        <r>
          <rPr>
            <sz val="8"/>
            <color indexed="81"/>
            <rFont val="Tahoma"/>
            <family val="2"/>
          </rPr>
          <t xml:space="preserve">
   Bright White - </t>
        </r>
        <r>
          <rPr>
            <i/>
            <sz val="8"/>
            <color indexed="81"/>
            <rFont val="Tahoma"/>
            <family val="2"/>
          </rPr>
          <t>Bright White</t>
        </r>
        <r>
          <rPr>
            <sz val="8"/>
            <color indexed="81"/>
            <rFont val="Tahoma"/>
            <family val="2"/>
          </rPr>
          <t xml:space="preserve">
Classic White - </t>
        </r>
        <r>
          <rPr>
            <i/>
            <sz val="8"/>
            <color indexed="81"/>
            <rFont val="Tahoma"/>
            <family val="2"/>
          </rPr>
          <t>White</t>
        </r>
        <r>
          <rPr>
            <sz val="8"/>
            <color indexed="81"/>
            <rFont val="Tahoma"/>
            <family val="2"/>
          </rPr>
          <t xml:space="preserve">
Snow White - </t>
        </r>
        <r>
          <rPr>
            <i/>
            <sz val="8"/>
            <color indexed="81"/>
            <rFont val="Tahoma"/>
            <family val="2"/>
          </rPr>
          <t>Snow White</t>
        </r>
        <r>
          <rPr>
            <sz val="8"/>
            <color indexed="81"/>
            <rFont val="Tahoma"/>
            <family val="2"/>
          </rPr>
          <t xml:space="preserve">
Super White - </t>
        </r>
        <r>
          <rPr>
            <i/>
            <sz val="8"/>
            <color indexed="81"/>
            <rFont val="Tahoma"/>
            <family val="2"/>
          </rPr>
          <t>Snow White</t>
        </r>
        <r>
          <rPr>
            <sz val="8"/>
            <color indexed="81"/>
            <rFont val="Tahoma"/>
            <family val="2"/>
          </rPr>
          <t xml:space="preserve">
Vanilla - </t>
        </r>
        <r>
          <rPr>
            <i/>
            <sz val="8"/>
            <color indexed="81"/>
            <rFont val="Tahoma"/>
            <family val="2"/>
          </rPr>
          <t xml:space="preserve">Ivory
</t>
        </r>
        <r>
          <rPr>
            <sz val="8"/>
            <color indexed="81"/>
            <rFont val="Tahoma"/>
            <family val="2"/>
          </rPr>
          <t xml:space="preserve">Ceylon - </t>
        </r>
        <r>
          <rPr>
            <i/>
            <sz val="8"/>
            <color indexed="81"/>
            <rFont val="Tahoma"/>
            <family val="2"/>
          </rPr>
          <t>Ceylon</t>
        </r>
        <r>
          <rPr>
            <sz val="8"/>
            <color indexed="81"/>
            <rFont val="Tahoma"/>
            <family val="2"/>
          </rPr>
          <t xml:space="preserve">
Earl Grey - </t>
        </r>
        <r>
          <rPr>
            <i/>
            <sz val="8"/>
            <color indexed="81"/>
            <rFont val="Tahoma"/>
            <family val="2"/>
          </rPr>
          <t>Earl Grey</t>
        </r>
        <r>
          <rPr>
            <sz val="8"/>
            <color indexed="81"/>
            <rFont val="Tahoma"/>
            <family val="2"/>
          </rPr>
          <t xml:space="preserve">
French White - </t>
        </r>
        <r>
          <rPr>
            <i/>
            <sz val="8"/>
            <color indexed="81"/>
            <rFont val="Tahoma"/>
            <family val="2"/>
          </rPr>
          <t>French White</t>
        </r>
        <r>
          <rPr>
            <sz val="8"/>
            <color indexed="81"/>
            <rFont val="Tahoma"/>
            <family val="2"/>
          </rPr>
          <t xml:space="preserve">
Infinite White -</t>
        </r>
        <r>
          <rPr>
            <i/>
            <sz val="8"/>
            <color indexed="81"/>
            <rFont val="Tahoma"/>
            <family val="2"/>
          </rPr>
          <t xml:space="preserve"> Infinite White</t>
        </r>
        <r>
          <rPr>
            <sz val="8"/>
            <color indexed="81"/>
            <rFont val="Tahoma"/>
            <family val="2"/>
          </rPr>
          <t xml:space="preserve">
Polar White - </t>
        </r>
        <r>
          <rPr>
            <i/>
            <sz val="8"/>
            <color indexed="81"/>
            <rFont val="Tahoma"/>
            <family val="2"/>
          </rPr>
          <t>Polar White</t>
        </r>
        <r>
          <rPr>
            <sz val="8"/>
            <color indexed="81"/>
            <rFont val="Tahoma"/>
            <family val="2"/>
          </rPr>
          <t xml:space="preserve">
Quiet White - </t>
        </r>
        <r>
          <rPr>
            <i/>
            <sz val="8"/>
            <color indexed="81"/>
            <rFont val="Tahoma"/>
            <family val="2"/>
          </rPr>
          <t>Quiet White</t>
        </r>
        <r>
          <rPr>
            <sz val="8"/>
            <color indexed="81"/>
            <rFont val="Tahoma"/>
            <family val="2"/>
          </rPr>
          <t xml:space="preserve">
Snow Gum Grey - </t>
        </r>
        <r>
          <rPr>
            <i/>
            <sz val="8"/>
            <color indexed="81"/>
            <rFont val="Tahoma"/>
            <family val="2"/>
          </rPr>
          <t>Snow Gum Grey</t>
        </r>
        <r>
          <rPr>
            <sz val="8"/>
            <color indexed="81"/>
            <rFont val="Tahoma"/>
            <family val="2"/>
          </rPr>
          <t xml:space="preserve">
Snowy Mountains White - </t>
        </r>
        <r>
          <rPr>
            <i/>
            <sz val="8"/>
            <color indexed="81"/>
            <rFont val="Tahoma"/>
            <family val="2"/>
          </rPr>
          <t>Snowy Mountains White</t>
        </r>
        <r>
          <rPr>
            <sz val="8"/>
            <color indexed="81"/>
            <rFont val="Tahoma"/>
            <family val="2"/>
          </rPr>
          <t xml:space="preserve">
For standard Shutters in Fauxwood Designer Eco 
Standard 77mm Hinges will be used.
For standard Shutters in Fauxwood Designer Eco Plus, 
Fauxwood Designer Eco Night &amp; Luvre
Standard 90mm Hinges will be used.
The Pivot Hinged Colour options are;
White
Stainless Steel
Please refer to the Shutter Manual. 
</t>
        </r>
        <r>
          <rPr>
            <i/>
            <sz val="8"/>
            <color indexed="81"/>
            <rFont val="Tahoma"/>
            <family val="2"/>
          </rPr>
          <t>Stainless Steel Surcharge applies.</t>
        </r>
      </text>
    </comment>
    <comment ref="X18" authorId="0" shapeId="0" xr:uid="{3159B22B-55B2-4551-BF7C-8E9B575719D2}">
      <text>
        <r>
          <rPr>
            <sz val="8"/>
            <color indexed="81"/>
            <rFont val="Tahoma"/>
            <family val="2"/>
          </rPr>
          <t>Please Note: 
If Closed option is chosen then the blades 
can be damaged if they are left open 
when Sliding the Panel.
Open is not an option for 3 Tracks.</t>
        </r>
      </text>
    </comment>
    <comment ref="Y18" authorId="0" shapeId="0" xr:uid="{17ECAE06-A7A6-4D13-BB45-5F55F2E5743D}">
      <text>
        <r>
          <rPr>
            <sz val="8"/>
            <color indexed="81"/>
            <rFont val="Tahoma"/>
            <family val="2"/>
          </rPr>
          <t>If any T Posts are required then the measurements 
must be supplied under the next columns.
Measurements should be made from the left.
A Flat (Unbeaded) T Post can be ordered to match 
the Flat Stile Shutter in the Stile &amp; T Post column.</t>
        </r>
      </text>
    </comment>
    <comment ref="AC18" authorId="0" shapeId="0" xr:uid="{93BD7CA4-9FA3-43C6-8028-1F1498EED480}">
      <text>
        <r>
          <rPr>
            <sz val="8"/>
            <color indexed="81"/>
            <rFont val="Tahoma"/>
            <family val="2"/>
          </rPr>
          <t>The Stile &amp; T Post 
options are;
Default (Beaded)
Flat Stile &amp; T Post
A Flat (unbeaded) Small L Frame can be ordered 
under the Frame Type.</t>
        </r>
      </text>
    </comment>
    <comment ref="AD18" authorId="0" shapeId="0" xr:uid="{5EDF31D1-2147-4F44-A5A5-D9B5E1C75C26}">
      <text>
        <r>
          <rPr>
            <sz val="8"/>
            <color indexed="81"/>
            <rFont val="Tahoma"/>
            <family val="2"/>
          </rPr>
          <t xml:space="preserve">The Designer Eco,  
Designer Eco Plus &amp; Luvre
Fluffy Strip options are;
No
Yes
Fluffy Strip is supplied with the Fauxwood Designer Eco Night Shutter.
</t>
        </r>
        <r>
          <rPr>
            <i/>
            <sz val="8"/>
            <color indexed="81"/>
            <rFont val="Tahoma"/>
            <family val="2"/>
          </rPr>
          <t>Fluffy Strip Surcharge applies.</t>
        </r>
      </text>
    </comment>
    <comment ref="C19" authorId="0" shapeId="0" xr:uid="{1EE54682-1339-48BC-A398-01EA5B5219BA}">
      <text>
        <r>
          <rPr>
            <sz val="8"/>
            <color indexed="81"/>
            <rFont val="Tahoma"/>
            <family val="2"/>
          </rPr>
          <t xml:space="preserve">Minimum Width is 180mm.
Maximum Fauxwood Standard Size 
Width is 650mm.
Maximum Fauxwood Designer Eco Width with 
63mm Blades is 900mm.
Maximum Fauxwood Designer Eco Width with 
89mm Blades is 900mm.
Maximum Fauxwood Designer Eco Plus Width with 
63mm Blades is 950mm.
Maximum Fauxwood Designer Eco Plus Width with 
89mm Blades is 950mm.
Maximum Fauxwood Designer Eco Night 
Width is 650mm.
Maximum Luvre Width is 950mm.
Fauxwood Designer Eco &amp; 
Fauxwood Designer Eco Plus Panels 
with a Width larger than 650mm will require 
Aluminium Inserts.
Conditions apply.
</t>
        </r>
        <r>
          <rPr>
            <i/>
            <sz val="8"/>
            <color indexed="81"/>
            <rFont val="Tahoma"/>
            <family val="2"/>
          </rPr>
          <t>Please note: 
Larger Panels may sometimes require lifting in to the frame.</t>
        </r>
      </text>
    </comment>
    <comment ref="D19" authorId="0" shapeId="0" xr:uid="{E85AECE4-8F18-4771-9E41-EA5EDE56C124}">
      <text>
        <r>
          <rPr>
            <sz val="8"/>
            <color indexed="81"/>
            <rFont val="Tahoma"/>
            <family val="2"/>
          </rPr>
          <t>Minimum Height is 350mm.
Maximum Fauxwood Height is 2600mm.</t>
        </r>
      </text>
    </comment>
    <comment ref="E19" authorId="0" shapeId="0" xr:uid="{56DCEA87-4853-4710-9E69-81B4908FAB68}">
      <text>
        <r>
          <rPr>
            <sz val="8"/>
            <color indexed="81"/>
            <rFont val="Tahoma"/>
            <family val="2"/>
          </rPr>
          <t xml:space="preserve">In - Inside or Reveal Fit
Out - Outside or Face Fit
Alternative Option:
MS - Make Size
Panel Only Option
</t>
        </r>
        <r>
          <rPr>
            <i/>
            <sz val="8"/>
            <color indexed="81"/>
            <rFont val="Tahoma"/>
            <family val="2"/>
          </rPr>
          <t>(Used for specific requirements only)</t>
        </r>
      </text>
    </comment>
    <comment ref="F19" authorId="0" shapeId="0" xr:uid="{8EFB606F-ADEA-4D8F-9B6B-1B87B9E1735A}">
      <text>
        <r>
          <rPr>
            <sz val="8"/>
            <color indexed="81"/>
            <rFont val="Tahoma"/>
            <family val="2"/>
          </rPr>
          <t>Quantity is the number of Panels 
within the opening. 
If ordering Make Size (MS), 
this will be the number of Panels 
at this size.</t>
        </r>
      </text>
    </comment>
    <comment ref="G19" authorId="0" shapeId="0" xr:uid="{EED625FD-6F5D-4F86-BEA2-0A7C9CD89F4F}">
      <text>
        <r>
          <rPr>
            <sz val="8"/>
            <color indexed="81"/>
            <rFont val="Tahoma"/>
            <family val="2"/>
          </rPr>
          <t>Fauxwood Designer Eco will be made with the standard profile 
Bottom Rail,  Mid Rail &amp; Top Rail.
Fauxwood Designer Eco Plus will be made with the 
reinforced curved profile Bottom Rail, Mid Rail &amp; Top Rail.
Fauxwood Designer Eco Night will be made with the 
curved grooved profile Bottom Rail, Mid Rail &amp; Top Rail.
Luvre will be made with the reinforced
curved profile Bottom Rail, Mid Rail &amp; Top Rail.
Fauxwood Designer Eco Plus, Fauxwood Designer Eco Night &amp; Luvre 
Surcharge applies.</t>
        </r>
      </text>
    </comment>
    <comment ref="H19" authorId="0" shapeId="0" xr:uid="{35DCC6B4-706C-4FCE-B234-F4E3CD546E5F}">
      <text>
        <r>
          <rPr>
            <sz val="8"/>
            <color indexed="81"/>
            <rFont val="Tahoma"/>
            <family val="2"/>
          </rPr>
          <t xml:space="preserve">Fauxwood Designer Colours options available;
Standard Colours;
Bright White
Classic White
Snow White
Super White
Vanilla
Specialty Colours;
Ceylon
Earl Grey
French White
Infinite White
Polar White
Quiet White
Snow Gum Grey
Snowy Mountains White
</t>
        </r>
        <r>
          <rPr>
            <i/>
            <sz val="8"/>
            <color indexed="81"/>
            <rFont val="Tahoma"/>
            <family val="2"/>
          </rPr>
          <t>Specialty Colours Surcharge applies.</t>
        </r>
        <r>
          <rPr>
            <sz val="8"/>
            <color indexed="81"/>
            <rFont val="Tahoma"/>
            <family val="2"/>
          </rPr>
          <t xml:space="preserve">
Luvre with Therme &amp; Scratch Resistant Paint 
Colours options available;
Snow White
Super White
</t>
        </r>
      </text>
    </comment>
    <comment ref="J19" authorId="0" shapeId="0" xr:uid="{79360256-B044-42BA-90B9-1250DC0B3600}">
      <text>
        <r>
          <rPr>
            <sz val="8"/>
            <color indexed="81"/>
            <rFont val="Tahoma"/>
            <family val="2"/>
          </rPr>
          <t>Fauxwood Designer Eco &amp; 
Fauxwood Designer Eco Plus 
Blade sizes options are;
63mm
89mm
Fauxwood Designer Eco Night  
Blade sizes options are;
92mm
Luvre Blade sizes options are;
89mm
114mm</t>
        </r>
      </text>
    </comment>
    <comment ref="K19" authorId="0" shapeId="0" xr:uid="{0E93E707-711A-4D5F-AA87-4F5BF1704AD1}">
      <text>
        <r>
          <rPr>
            <sz val="8"/>
            <color indexed="81"/>
            <rFont val="Tahoma"/>
            <family val="2"/>
          </rPr>
          <t>Mid Rail is required on Fauxwood Panels over 1500mm.
Cell will highlight yellow when Mid Rail is required.
Only one Critical Mid Rail is allowed.
A Mid Rail that is not marked "Critical" may be moved up or down 
up to 40mm to stop any gaps and increase/decrease the blade quantity.
Fauxwood Designer Eco will be made with the standard profile 
Bottom Rail,  Mid Rail &amp; Top Rail.
Fauxwood Designer Eco Plus will be made with the 
reinforced curved profile Bottom Rail, Mid Rail &amp; Top Rail.
Fauxwood Designer Eco Night will be made with the 
curved grooved profile Bottom Rail, Mid Rail &amp; Top Rail.
Luvre will be made with the reinforced
curved profile Bottom Rail, Mid Rail &amp; Top Rail.
Fauxwood Designer Eco Plus, Fauxwood Designer Eco Night &amp; Luvre Surcharge applies.</t>
        </r>
      </text>
    </comment>
    <comment ref="L19" authorId="0" shapeId="0" xr:uid="{8A488C16-ACB8-44D8-AB20-B19DDE45201B}">
      <text>
        <r>
          <rPr>
            <sz val="8"/>
            <color indexed="81"/>
            <rFont val="Tahoma"/>
            <family val="2"/>
          </rPr>
          <t xml:space="preserve">The Fauxwood Designer Eco, 
Fauxwood Designer Eco Plus 
&amp; Luvre Window Type options are;
Standard
Bay Window
Corner Window
Door Cut Out
Shaped Arch
Shaped Hexagon
Shaped Octagon
Shaped Oval
Shaped Parallelogram
Shaped Raked
Shaped Round
Shaped Sunburst
Shaped Triangle
These Shapes are not available
with the Rack &amp; Pinion Tiltrod;
Shaped Arch
Shaped Hexagon
Shaped Octagon
Shaped Oval
Shaped Round
Shaped Sunburst
The Fauxwood Designer Eco Night Window Type 
options are;
Standard
Bay Window
Corner Window
</t>
        </r>
        <r>
          <rPr>
            <i/>
            <sz val="8"/>
            <color indexed="81"/>
            <rFont val="Tahoma"/>
            <family val="2"/>
          </rPr>
          <t xml:space="preserve">
</t>
        </r>
        <r>
          <rPr>
            <sz val="8"/>
            <color indexed="81"/>
            <rFont val="Tahoma"/>
            <family val="2"/>
          </rPr>
          <t>Shaped Shutters will need the Panel Layout to be 
compatible with the Hidden Tiltrod system.</t>
        </r>
      </text>
    </comment>
    <comment ref="M19" authorId="0" shapeId="0" xr:uid="{DFB97B8D-6449-4121-8452-6383F1A2817C}">
      <text>
        <r>
          <rPr>
            <sz val="8"/>
            <color indexed="81"/>
            <rFont val="Tahoma"/>
            <family val="2"/>
          </rPr>
          <t>Mounting Method is dependent 
on  MS, In Or Out &amp; Product.
For IN &amp; Fauxwood Designer Eco,  
Fauxwood Designer Eco Plus 
&amp; Luvre the options are;
Double Hinged
Fixed
Hinged
Pivot Hinged
Sliding
Track Bi Fold
For OUT &amp; Fauxwood Designer Eco,  
Fauxwood Designer Eco Plus 
&amp; Luvre the options are;
Double Hinged
Hinged
Pivot Hinged
Sliding
Track Bi Fold
For IN &amp; Fauxwood Designer Eco Night 
the options are;
Fixed
Hinged
For OUT &amp; Fauxwood Designer Eco Night 
the options are;
Fixed
Hinged
For MS, the options are;
N/A
Pivot Hinged is not recommended for 
Designer Eco Plus or Luvre.</t>
        </r>
      </text>
    </comment>
    <comment ref="N19" authorId="0" shapeId="0" xr:uid="{9695287D-4CFC-42E6-881B-5A1867F18C97}">
      <text>
        <r>
          <rPr>
            <sz val="8"/>
            <color indexed="81"/>
            <rFont val="Tahoma"/>
            <family val="2"/>
          </rPr>
          <t>For Sliding Track System options are;
Top Hung (Original System)
Bottom Wheel (New System)
The Top Hung (Original System) uses 
Top Wheels Mounting.
The Bottom Wheel (New System) uses a 
U Channel at the Top and 
Wheels at the Bottom.
This option cannot have a Floor Guide or 
Track On Board.</t>
        </r>
      </text>
    </comment>
    <comment ref="O19" authorId="0" shapeId="0" xr:uid="{5DD4A675-EED0-4B0B-862C-64A11B8A2878}">
      <text>
        <r>
          <rPr>
            <sz val="8"/>
            <color indexed="81"/>
            <rFont val="Tahoma"/>
            <family val="2"/>
          </rPr>
          <t>Please refer to the Shutter Manual 
when selecting Layout Code.
The list provides the most common options, 
which are dependent on Mounting Method.
More complex Layout Codes can still be entered manually.</t>
        </r>
      </text>
    </comment>
    <comment ref="P19" authorId="0" shapeId="0" xr:uid="{F9FD3F78-5ED2-4D3D-8517-D645A8D84B21}">
      <text>
        <r>
          <rPr>
            <sz val="8"/>
            <color indexed="81"/>
            <rFont val="Tahoma"/>
            <family val="2"/>
          </rPr>
          <t>Frame Type is dependent on
 Mounting Method.
If a Flat (unbeaded) Small L Frame 
is selected, a matching Stile &amp; T Post can be 
ordered in the Stile &amp; T Post column.</t>
        </r>
      </text>
    </comment>
    <comment ref="V19" authorId="0" shapeId="0" xr:uid="{5CFBF17E-24A2-4A6E-94DD-7588C79A7521}">
      <text>
        <r>
          <rPr>
            <sz val="8"/>
            <color indexed="81"/>
            <rFont val="Tahoma"/>
            <family val="2"/>
          </rPr>
          <t>This option is dependent on the 
Material &amp; Product 
and will only be available once this 
option is selected.
For Fauxwood Designer Eco
&amp; Fauxwood Designer Eco Plus 
the options are;
Hidden
Centre
Off-Set
Rack &amp; Pinion
These Shapes are not available
with the Rack &amp; Pinion Tiltrod;
Shaped Arch
Shaped Hexagon
Shaped Octagon
Shaped Oval
Shaped Round
Shaped Sunburst
For Fauxwood Designer Eco Night
the options are;
Hidden
For Luvre the options are;
Hidden</t>
        </r>
      </text>
    </comment>
    <comment ref="W19" authorId="0" shapeId="0" xr:uid="{D5E46480-C97A-404B-8EEB-B90816AD11AE}">
      <text>
        <r>
          <rPr>
            <sz val="8"/>
            <color indexed="81"/>
            <rFont val="Tahoma"/>
            <family val="2"/>
          </rPr>
          <t xml:space="preserve">If no Hinge Colour is selected, 
then the default Hinge Colour and hardware 
will be supplied. 
The Hinge Colour options are;
Default
Stainless Steel
N/A
When Default is selected, the Hinge will be supplied 
as per the matching Hinge Colour list below;
Shutter Colour - </t>
        </r>
        <r>
          <rPr>
            <i/>
            <sz val="8"/>
            <color indexed="81"/>
            <rFont val="Tahoma"/>
            <family val="2"/>
          </rPr>
          <t>Hinge Colour</t>
        </r>
        <r>
          <rPr>
            <sz val="8"/>
            <color indexed="81"/>
            <rFont val="Tahoma"/>
            <family val="2"/>
          </rPr>
          <t xml:space="preserve">
   Bright White - </t>
        </r>
        <r>
          <rPr>
            <i/>
            <sz val="8"/>
            <color indexed="81"/>
            <rFont val="Tahoma"/>
            <family val="2"/>
          </rPr>
          <t>Bright White</t>
        </r>
        <r>
          <rPr>
            <sz val="8"/>
            <color indexed="81"/>
            <rFont val="Tahoma"/>
            <family val="2"/>
          </rPr>
          <t xml:space="preserve">
Classic White - </t>
        </r>
        <r>
          <rPr>
            <i/>
            <sz val="8"/>
            <color indexed="81"/>
            <rFont val="Tahoma"/>
            <family val="2"/>
          </rPr>
          <t>White</t>
        </r>
        <r>
          <rPr>
            <sz val="8"/>
            <color indexed="81"/>
            <rFont val="Tahoma"/>
            <family val="2"/>
          </rPr>
          <t xml:space="preserve">
Snow White - </t>
        </r>
        <r>
          <rPr>
            <i/>
            <sz val="8"/>
            <color indexed="81"/>
            <rFont val="Tahoma"/>
            <family val="2"/>
          </rPr>
          <t>Snow White</t>
        </r>
        <r>
          <rPr>
            <sz val="8"/>
            <color indexed="81"/>
            <rFont val="Tahoma"/>
            <family val="2"/>
          </rPr>
          <t xml:space="preserve">
Super White - </t>
        </r>
        <r>
          <rPr>
            <i/>
            <sz val="8"/>
            <color indexed="81"/>
            <rFont val="Tahoma"/>
            <family val="2"/>
          </rPr>
          <t>Snow White</t>
        </r>
        <r>
          <rPr>
            <sz val="8"/>
            <color indexed="81"/>
            <rFont val="Tahoma"/>
            <family val="2"/>
          </rPr>
          <t xml:space="preserve">
Vanilla - </t>
        </r>
        <r>
          <rPr>
            <i/>
            <sz val="8"/>
            <color indexed="81"/>
            <rFont val="Tahoma"/>
            <family val="2"/>
          </rPr>
          <t xml:space="preserve">Ivory
</t>
        </r>
        <r>
          <rPr>
            <sz val="8"/>
            <color indexed="81"/>
            <rFont val="Tahoma"/>
            <family val="2"/>
          </rPr>
          <t xml:space="preserve">Ceylon - </t>
        </r>
        <r>
          <rPr>
            <i/>
            <sz val="8"/>
            <color indexed="81"/>
            <rFont val="Tahoma"/>
            <family val="2"/>
          </rPr>
          <t>Ceylon</t>
        </r>
        <r>
          <rPr>
            <sz val="8"/>
            <color indexed="81"/>
            <rFont val="Tahoma"/>
            <family val="2"/>
          </rPr>
          <t xml:space="preserve">
Earl Grey - </t>
        </r>
        <r>
          <rPr>
            <i/>
            <sz val="8"/>
            <color indexed="81"/>
            <rFont val="Tahoma"/>
            <family val="2"/>
          </rPr>
          <t>Earl Grey</t>
        </r>
        <r>
          <rPr>
            <sz val="8"/>
            <color indexed="81"/>
            <rFont val="Tahoma"/>
            <family val="2"/>
          </rPr>
          <t xml:space="preserve">
French White - </t>
        </r>
        <r>
          <rPr>
            <i/>
            <sz val="8"/>
            <color indexed="81"/>
            <rFont val="Tahoma"/>
            <family val="2"/>
          </rPr>
          <t>French White</t>
        </r>
        <r>
          <rPr>
            <sz val="8"/>
            <color indexed="81"/>
            <rFont val="Tahoma"/>
            <family val="2"/>
          </rPr>
          <t xml:space="preserve">
Infinite White -</t>
        </r>
        <r>
          <rPr>
            <i/>
            <sz val="8"/>
            <color indexed="81"/>
            <rFont val="Tahoma"/>
            <family val="2"/>
          </rPr>
          <t xml:space="preserve"> Infinite White</t>
        </r>
        <r>
          <rPr>
            <sz val="8"/>
            <color indexed="81"/>
            <rFont val="Tahoma"/>
            <family val="2"/>
          </rPr>
          <t xml:space="preserve">
Polar White - </t>
        </r>
        <r>
          <rPr>
            <i/>
            <sz val="8"/>
            <color indexed="81"/>
            <rFont val="Tahoma"/>
            <family val="2"/>
          </rPr>
          <t>Polar White</t>
        </r>
        <r>
          <rPr>
            <sz val="8"/>
            <color indexed="81"/>
            <rFont val="Tahoma"/>
            <family val="2"/>
          </rPr>
          <t xml:space="preserve">
Quiet White - </t>
        </r>
        <r>
          <rPr>
            <i/>
            <sz val="8"/>
            <color indexed="81"/>
            <rFont val="Tahoma"/>
            <family val="2"/>
          </rPr>
          <t>Quiet White</t>
        </r>
        <r>
          <rPr>
            <sz val="8"/>
            <color indexed="81"/>
            <rFont val="Tahoma"/>
            <family val="2"/>
          </rPr>
          <t xml:space="preserve">
Snow Gum Grey - </t>
        </r>
        <r>
          <rPr>
            <i/>
            <sz val="8"/>
            <color indexed="81"/>
            <rFont val="Tahoma"/>
            <family val="2"/>
          </rPr>
          <t>Snow Gum Grey</t>
        </r>
        <r>
          <rPr>
            <sz val="8"/>
            <color indexed="81"/>
            <rFont val="Tahoma"/>
            <family val="2"/>
          </rPr>
          <t xml:space="preserve">
Snowy Mountains White - </t>
        </r>
        <r>
          <rPr>
            <i/>
            <sz val="8"/>
            <color indexed="81"/>
            <rFont val="Tahoma"/>
            <family val="2"/>
          </rPr>
          <t>Snowy Mountains White</t>
        </r>
        <r>
          <rPr>
            <sz val="8"/>
            <color indexed="81"/>
            <rFont val="Tahoma"/>
            <family val="2"/>
          </rPr>
          <t xml:space="preserve">
For standard Shutters in Fauxwood Designer Eco 
Standard 77mm Hinges will be used.
For standard Shutters in Fauxwood Designer Eco Plus, 
Fauxwood Designer Eco Night &amp; Luvre
Standard 90mm Hinges will be used.
The Pivot Hinged Colour options are;
White
Stainless Steel
Please refer to the Shutter Manual. 
</t>
        </r>
        <r>
          <rPr>
            <i/>
            <sz val="8"/>
            <color indexed="81"/>
            <rFont val="Tahoma"/>
            <family val="2"/>
          </rPr>
          <t>Stainless Steel Surcharge applies.</t>
        </r>
      </text>
    </comment>
    <comment ref="X19" authorId="0" shapeId="0" xr:uid="{C9E65A05-1AA2-4F25-89FC-B92CC703BA34}">
      <text>
        <r>
          <rPr>
            <sz val="8"/>
            <color indexed="81"/>
            <rFont val="Tahoma"/>
            <family val="2"/>
          </rPr>
          <t>Please Note: 
If Closed option is chosen then the blades 
can be damaged if they are left open 
when Sliding the Panel.
Open is not an option for 3 Tracks.</t>
        </r>
      </text>
    </comment>
    <comment ref="Y19" authorId="0" shapeId="0" xr:uid="{547E18E7-72F0-4267-818F-09B1D51B2D80}">
      <text>
        <r>
          <rPr>
            <sz val="8"/>
            <color indexed="81"/>
            <rFont val="Tahoma"/>
            <family val="2"/>
          </rPr>
          <t>If any T Posts are required then the measurements 
must be supplied under the next columns.
Measurements should be made from the left.
A Flat (Unbeaded) T Post can be ordered to match 
the Flat Stile Shutter in the Stile &amp; T Post column.</t>
        </r>
      </text>
    </comment>
    <comment ref="AC19" authorId="0" shapeId="0" xr:uid="{ECBC2851-7265-4F1F-BD2F-990325854309}">
      <text>
        <r>
          <rPr>
            <sz val="8"/>
            <color indexed="81"/>
            <rFont val="Tahoma"/>
            <family val="2"/>
          </rPr>
          <t>The Stile &amp; T Post 
options are;
Default (Beaded)
Flat Stile &amp; T Post
A Flat (unbeaded) Small L Frame can be ordered 
under the Frame Type.</t>
        </r>
      </text>
    </comment>
    <comment ref="AD19" authorId="0" shapeId="0" xr:uid="{FD5E399E-B6D8-4A8C-8C26-7BAA02B1CBE9}">
      <text>
        <r>
          <rPr>
            <sz val="8"/>
            <color indexed="81"/>
            <rFont val="Tahoma"/>
            <family val="2"/>
          </rPr>
          <t xml:space="preserve">The Designer Eco,  
Designer Eco Plus &amp; Luvre
Fluffy Strip options are;
No
Yes
Fluffy Strip is supplied with the Fauxwood Designer Eco Night Shutter.
</t>
        </r>
        <r>
          <rPr>
            <i/>
            <sz val="8"/>
            <color indexed="81"/>
            <rFont val="Tahoma"/>
            <family val="2"/>
          </rPr>
          <t>Fluffy Strip Surcharge applies.</t>
        </r>
      </text>
    </comment>
    <comment ref="C20" authorId="0" shapeId="0" xr:uid="{73BC51FC-068D-4E6A-A1D4-FCE235036431}">
      <text>
        <r>
          <rPr>
            <sz val="8"/>
            <color indexed="81"/>
            <rFont val="Tahoma"/>
            <family val="2"/>
          </rPr>
          <t xml:space="preserve">Minimum Width is 180mm.
Maximum Fauxwood Standard Size 
Width is 650mm.
Maximum Fauxwood Designer Eco Width with 
63mm Blades is 900mm.
Maximum Fauxwood Designer Eco Width with 
89mm Blades is 900mm.
Maximum Fauxwood Designer Eco Plus Width with 
63mm Blades is 950mm.
Maximum Fauxwood Designer Eco Plus Width with 
89mm Blades is 950mm.
Maximum Fauxwood Designer Eco Night 
Width is 650mm.
Maximum Luvre Width is 950mm.
Fauxwood Designer Eco &amp; 
Fauxwood Designer Eco Plus Panels 
with a Width larger than 650mm will require 
Aluminium Inserts.
Conditions apply.
</t>
        </r>
        <r>
          <rPr>
            <i/>
            <sz val="8"/>
            <color indexed="81"/>
            <rFont val="Tahoma"/>
            <family val="2"/>
          </rPr>
          <t>Please note: 
Larger Panels may sometimes require lifting in to the frame.</t>
        </r>
      </text>
    </comment>
    <comment ref="D20" authorId="0" shapeId="0" xr:uid="{BF410C3E-CA9D-4E4F-9868-17BE725664E4}">
      <text>
        <r>
          <rPr>
            <sz val="8"/>
            <color indexed="81"/>
            <rFont val="Tahoma"/>
            <family val="2"/>
          </rPr>
          <t>Minimum Height is 350mm.
Maximum Fauxwood Height is 2600mm.</t>
        </r>
      </text>
    </comment>
    <comment ref="E20" authorId="0" shapeId="0" xr:uid="{DA50BF20-28F8-446E-B20D-1ADD06735AEB}">
      <text>
        <r>
          <rPr>
            <sz val="8"/>
            <color indexed="81"/>
            <rFont val="Tahoma"/>
            <family val="2"/>
          </rPr>
          <t xml:space="preserve">In - Inside or Reveal Fit
Out - Outside or Face Fit
Alternative Option:
MS - Make Size
Panel Only Option
</t>
        </r>
        <r>
          <rPr>
            <i/>
            <sz val="8"/>
            <color indexed="81"/>
            <rFont val="Tahoma"/>
            <family val="2"/>
          </rPr>
          <t>(Used for specific requirements only)</t>
        </r>
      </text>
    </comment>
    <comment ref="F20" authorId="0" shapeId="0" xr:uid="{D101DB6E-AD82-4518-A0C2-89B3EC31B00B}">
      <text>
        <r>
          <rPr>
            <sz val="8"/>
            <color indexed="81"/>
            <rFont val="Tahoma"/>
            <family val="2"/>
          </rPr>
          <t>Quantity is the number of Panels 
within the opening. 
If ordering Make Size (MS), 
this will be the number of Panels 
at this size.</t>
        </r>
      </text>
    </comment>
    <comment ref="G20" authorId="0" shapeId="0" xr:uid="{E26B86EF-324F-4812-B088-6FFCAD4D82F7}">
      <text>
        <r>
          <rPr>
            <sz val="8"/>
            <color indexed="81"/>
            <rFont val="Tahoma"/>
            <family val="2"/>
          </rPr>
          <t>Fauxwood Designer Eco will be made with the standard profile 
Bottom Rail,  Mid Rail &amp; Top Rail.
Fauxwood Designer Eco Plus will be made with the 
reinforced curved profile Bottom Rail, Mid Rail &amp; Top Rail.
Fauxwood Designer Eco Night will be made with the 
curved grooved profile Bottom Rail, Mid Rail &amp; Top Rail.
Luvre will be made with the reinforced
curved profile Bottom Rail, Mid Rail &amp; Top Rail.
Fauxwood Designer Eco Plus, Fauxwood Designer Eco Night &amp; Luvre 
Surcharge applies.</t>
        </r>
      </text>
    </comment>
    <comment ref="H20" authorId="0" shapeId="0" xr:uid="{CF9614F8-6359-48A0-8800-656BC45AD000}">
      <text>
        <r>
          <rPr>
            <sz val="8"/>
            <color indexed="81"/>
            <rFont val="Tahoma"/>
            <family val="2"/>
          </rPr>
          <t xml:space="preserve">Fauxwood Designer Colours options available;
Standard Colours;
Bright White
Classic White
Snow White
Super White
Vanilla
Specialty Colours;
Ceylon
Earl Grey
French White
Infinite White
Polar White
Quiet White
Snow Gum Grey
Snowy Mountains White
</t>
        </r>
        <r>
          <rPr>
            <i/>
            <sz val="8"/>
            <color indexed="81"/>
            <rFont val="Tahoma"/>
            <family val="2"/>
          </rPr>
          <t>Specialty Colours Surcharge applies.</t>
        </r>
        <r>
          <rPr>
            <sz val="8"/>
            <color indexed="81"/>
            <rFont val="Tahoma"/>
            <family val="2"/>
          </rPr>
          <t xml:space="preserve">
Luvre with Therme &amp; Scratch Resistant Paint 
Colours options available;
Snow White
Super White
</t>
        </r>
      </text>
    </comment>
    <comment ref="J20" authorId="0" shapeId="0" xr:uid="{405F8CA8-714F-4060-8BB8-054174642828}">
      <text>
        <r>
          <rPr>
            <sz val="8"/>
            <color indexed="81"/>
            <rFont val="Tahoma"/>
            <family val="2"/>
          </rPr>
          <t>Fauxwood Designer Eco &amp; 
Fauxwood Designer Eco Plus 
Blade sizes options are;
63mm
89mm
Fauxwood Designer Eco Night  
Blade sizes options are;
92mm
Luvre Blade sizes options are;
89mm
114mm</t>
        </r>
      </text>
    </comment>
    <comment ref="K20" authorId="0" shapeId="0" xr:uid="{978F6C34-05E0-411B-AA64-75C6710A8E4D}">
      <text>
        <r>
          <rPr>
            <sz val="8"/>
            <color indexed="81"/>
            <rFont val="Tahoma"/>
            <family val="2"/>
          </rPr>
          <t>Mid Rail is required on Fauxwood Panels over 1500mm.
Cell will highlight yellow when Mid Rail is required.
Only one Critical Mid Rail is allowed.
A Mid Rail that is not marked "Critical" may be moved up or down 
up to 40mm to stop any gaps and increase/decrease the blade quantity.
Fauxwood Designer Eco will be made with the standard profile 
Bottom Rail,  Mid Rail &amp; Top Rail.
Fauxwood Designer Eco Plus will be made with the 
reinforced curved profile Bottom Rail, Mid Rail &amp; Top Rail.
Fauxwood Designer Eco Night will be made with the 
curved grooved profile Bottom Rail, Mid Rail &amp; Top Rail.
Luvre will be made with the reinforced
curved profile Bottom Rail, Mid Rail &amp; Top Rail.
Fauxwood Designer Eco Plus, Fauxwood Designer Eco Night &amp; Luvre Surcharge applies.</t>
        </r>
      </text>
    </comment>
    <comment ref="L20" authorId="0" shapeId="0" xr:uid="{90BCD996-EB56-4F99-9884-74BFD1EB8729}">
      <text>
        <r>
          <rPr>
            <sz val="8"/>
            <color indexed="81"/>
            <rFont val="Tahoma"/>
            <family val="2"/>
          </rPr>
          <t xml:space="preserve">The Fauxwood Designer Eco, 
Fauxwood Designer Eco Plus 
&amp; Luvre Window Type options are;
Standard
Bay Window
Corner Window
Door Cut Out
Shaped Arch
Shaped Hexagon
Shaped Octagon
Shaped Oval
Shaped Parallelogram
Shaped Raked
Shaped Round
Shaped Sunburst
Shaped Triangle
These Shapes are not available
with the Rack &amp; Pinion Tiltrod;
Shaped Arch
Shaped Hexagon
Shaped Octagon
Shaped Oval
Shaped Round
Shaped Sunburst
The Fauxwood Designer Eco Night Window Type 
options are;
Standard
Bay Window
Corner Window
</t>
        </r>
        <r>
          <rPr>
            <i/>
            <sz val="8"/>
            <color indexed="81"/>
            <rFont val="Tahoma"/>
            <family val="2"/>
          </rPr>
          <t xml:space="preserve">
</t>
        </r>
        <r>
          <rPr>
            <sz val="8"/>
            <color indexed="81"/>
            <rFont val="Tahoma"/>
            <family val="2"/>
          </rPr>
          <t>Shaped Shutters will need the Panel Layout to be 
compatible with the Hidden Tiltrod system.</t>
        </r>
      </text>
    </comment>
    <comment ref="M20" authorId="0" shapeId="0" xr:uid="{ED65684B-731C-4440-895B-DDBF6480ADD2}">
      <text>
        <r>
          <rPr>
            <sz val="8"/>
            <color indexed="81"/>
            <rFont val="Tahoma"/>
            <family val="2"/>
          </rPr>
          <t>Mounting Method is dependent 
on  MS, In Or Out &amp; Product.
For IN &amp; Fauxwood Designer Eco,  
Fauxwood Designer Eco Plus 
&amp; Luvre the options are;
Double Hinged
Fixed
Hinged
Pivot Hinged
Sliding
Track Bi Fold
For OUT &amp; Fauxwood Designer Eco,  
Fauxwood Designer Eco Plus 
&amp; Luvre the options are;
Double Hinged
Hinged
Pivot Hinged
Sliding
Track Bi Fold
For IN &amp; Fauxwood Designer Eco Night 
the options are;
Fixed
Hinged
For OUT &amp; Fauxwood Designer Eco Night 
the options are;
Fixed
Hinged
For MS, the options are;
N/A
Pivot Hinged is not recommended for 
Designer Eco Plus or Luvre.</t>
        </r>
      </text>
    </comment>
    <comment ref="N20" authorId="0" shapeId="0" xr:uid="{6516F95C-C95E-47CF-B830-74391C045F3E}">
      <text>
        <r>
          <rPr>
            <sz val="8"/>
            <color indexed="81"/>
            <rFont val="Tahoma"/>
            <family val="2"/>
          </rPr>
          <t>For Sliding Track System options are;
Top Hung (Original System)
Bottom Wheel (New System)
The Top Hung (Original System) uses 
Top Wheels Mounting.
The Bottom Wheel (New System) uses a 
U Channel at the Top and 
Wheels at the Bottom.
This option cannot have a Floor Guide or 
Track On Board.</t>
        </r>
      </text>
    </comment>
    <comment ref="O20" authorId="0" shapeId="0" xr:uid="{CE7E3B67-D6BE-43A2-AE62-0983229EC3CC}">
      <text>
        <r>
          <rPr>
            <sz val="8"/>
            <color indexed="81"/>
            <rFont val="Tahoma"/>
            <family val="2"/>
          </rPr>
          <t>Please refer to the Shutter Manual 
when selecting Layout Code.
The list provides the most common options, 
which are dependent on Mounting Method.
More complex Layout Codes can still be entered manually.</t>
        </r>
      </text>
    </comment>
    <comment ref="P20" authorId="0" shapeId="0" xr:uid="{DD08B9E5-9CAF-40A3-84DE-2FCC92A51708}">
      <text>
        <r>
          <rPr>
            <sz val="8"/>
            <color indexed="81"/>
            <rFont val="Tahoma"/>
            <family val="2"/>
          </rPr>
          <t>Frame Type is dependent on
 Mounting Method.
If a Flat (unbeaded) Small L Frame 
is selected, a matching Stile &amp; T Post can be 
ordered in the Stile &amp; T Post column.</t>
        </r>
      </text>
    </comment>
    <comment ref="V20" authorId="0" shapeId="0" xr:uid="{BB64AE90-670E-43DB-9CC9-7F5325AD9880}">
      <text>
        <r>
          <rPr>
            <sz val="8"/>
            <color indexed="81"/>
            <rFont val="Tahoma"/>
            <family val="2"/>
          </rPr>
          <t>This option is dependent on the 
Material &amp; Product 
and will only be available once this 
option is selected.
For Fauxwood Designer Eco
&amp; Fauxwood Designer Eco Plus 
the options are;
Hidden
Centre
Off-Set
Rack &amp; Pinion
These Shapes are not available
with the Rack &amp; Pinion Tiltrod;
Shaped Arch
Shaped Hexagon
Shaped Octagon
Shaped Oval
Shaped Round
Shaped Sunburst
For Fauxwood Designer Eco Night
the options are;
Hidden
For Luvre the options are;
Hidden</t>
        </r>
      </text>
    </comment>
    <comment ref="W20" authorId="0" shapeId="0" xr:uid="{D993961F-1009-48B5-97DB-5E9EF83ECE30}">
      <text>
        <r>
          <rPr>
            <sz val="8"/>
            <color indexed="81"/>
            <rFont val="Tahoma"/>
            <family val="2"/>
          </rPr>
          <t xml:space="preserve">If no Hinge Colour is selected, 
then the default Hinge Colour and hardware 
will be supplied. 
The Hinge Colour options are;
Default
Stainless Steel
N/A
When Default is selected, the Hinge will be supplied 
as per the matching Hinge Colour list below;
Shutter Colour - </t>
        </r>
        <r>
          <rPr>
            <i/>
            <sz val="8"/>
            <color indexed="81"/>
            <rFont val="Tahoma"/>
            <family val="2"/>
          </rPr>
          <t>Hinge Colour</t>
        </r>
        <r>
          <rPr>
            <sz val="8"/>
            <color indexed="81"/>
            <rFont val="Tahoma"/>
            <family val="2"/>
          </rPr>
          <t xml:space="preserve">
   Bright White - </t>
        </r>
        <r>
          <rPr>
            <i/>
            <sz val="8"/>
            <color indexed="81"/>
            <rFont val="Tahoma"/>
            <family val="2"/>
          </rPr>
          <t>Bright White</t>
        </r>
        <r>
          <rPr>
            <sz val="8"/>
            <color indexed="81"/>
            <rFont val="Tahoma"/>
            <family val="2"/>
          </rPr>
          <t xml:space="preserve">
Classic White - </t>
        </r>
        <r>
          <rPr>
            <i/>
            <sz val="8"/>
            <color indexed="81"/>
            <rFont val="Tahoma"/>
            <family val="2"/>
          </rPr>
          <t>White</t>
        </r>
        <r>
          <rPr>
            <sz val="8"/>
            <color indexed="81"/>
            <rFont val="Tahoma"/>
            <family val="2"/>
          </rPr>
          <t xml:space="preserve">
Snow White - </t>
        </r>
        <r>
          <rPr>
            <i/>
            <sz val="8"/>
            <color indexed="81"/>
            <rFont val="Tahoma"/>
            <family val="2"/>
          </rPr>
          <t>Snow White</t>
        </r>
        <r>
          <rPr>
            <sz val="8"/>
            <color indexed="81"/>
            <rFont val="Tahoma"/>
            <family val="2"/>
          </rPr>
          <t xml:space="preserve">
Super White - </t>
        </r>
        <r>
          <rPr>
            <i/>
            <sz val="8"/>
            <color indexed="81"/>
            <rFont val="Tahoma"/>
            <family val="2"/>
          </rPr>
          <t>Snow White</t>
        </r>
        <r>
          <rPr>
            <sz val="8"/>
            <color indexed="81"/>
            <rFont val="Tahoma"/>
            <family val="2"/>
          </rPr>
          <t xml:space="preserve">
Vanilla - </t>
        </r>
        <r>
          <rPr>
            <i/>
            <sz val="8"/>
            <color indexed="81"/>
            <rFont val="Tahoma"/>
            <family val="2"/>
          </rPr>
          <t xml:space="preserve">Ivory
</t>
        </r>
        <r>
          <rPr>
            <sz val="8"/>
            <color indexed="81"/>
            <rFont val="Tahoma"/>
            <family val="2"/>
          </rPr>
          <t xml:space="preserve">Ceylon - </t>
        </r>
        <r>
          <rPr>
            <i/>
            <sz val="8"/>
            <color indexed="81"/>
            <rFont val="Tahoma"/>
            <family val="2"/>
          </rPr>
          <t>Ceylon</t>
        </r>
        <r>
          <rPr>
            <sz val="8"/>
            <color indexed="81"/>
            <rFont val="Tahoma"/>
            <family val="2"/>
          </rPr>
          <t xml:space="preserve">
Earl Grey - </t>
        </r>
        <r>
          <rPr>
            <i/>
            <sz val="8"/>
            <color indexed="81"/>
            <rFont val="Tahoma"/>
            <family val="2"/>
          </rPr>
          <t>Earl Grey</t>
        </r>
        <r>
          <rPr>
            <sz val="8"/>
            <color indexed="81"/>
            <rFont val="Tahoma"/>
            <family val="2"/>
          </rPr>
          <t xml:space="preserve">
French White - </t>
        </r>
        <r>
          <rPr>
            <i/>
            <sz val="8"/>
            <color indexed="81"/>
            <rFont val="Tahoma"/>
            <family val="2"/>
          </rPr>
          <t>French White</t>
        </r>
        <r>
          <rPr>
            <sz val="8"/>
            <color indexed="81"/>
            <rFont val="Tahoma"/>
            <family val="2"/>
          </rPr>
          <t xml:space="preserve">
Infinite White -</t>
        </r>
        <r>
          <rPr>
            <i/>
            <sz val="8"/>
            <color indexed="81"/>
            <rFont val="Tahoma"/>
            <family val="2"/>
          </rPr>
          <t xml:space="preserve"> Infinite White</t>
        </r>
        <r>
          <rPr>
            <sz val="8"/>
            <color indexed="81"/>
            <rFont val="Tahoma"/>
            <family val="2"/>
          </rPr>
          <t xml:space="preserve">
Polar White - </t>
        </r>
        <r>
          <rPr>
            <i/>
            <sz val="8"/>
            <color indexed="81"/>
            <rFont val="Tahoma"/>
            <family val="2"/>
          </rPr>
          <t>Polar White</t>
        </r>
        <r>
          <rPr>
            <sz val="8"/>
            <color indexed="81"/>
            <rFont val="Tahoma"/>
            <family val="2"/>
          </rPr>
          <t xml:space="preserve">
Quiet White - </t>
        </r>
        <r>
          <rPr>
            <i/>
            <sz val="8"/>
            <color indexed="81"/>
            <rFont val="Tahoma"/>
            <family val="2"/>
          </rPr>
          <t>Quiet White</t>
        </r>
        <r>
          <rPr>
            <sz val="8"/>
            <color indexed="81"/>
            <rFont val="Tahoma"/>
            <family val="2"/>
          </rPr>
          <t xml:space="preserve">
Snow Gum Grey - </t>
        </r>
        <r>
          <rPr>
            <i/>
            <sz val="8"/>
            <color indexed="81"/>
            <rFont val="Tahoma"/>
            <family val="2"/>
          </rPr>
          <t>Snow Gum Grey</t>
        </r>
        <r>
          <rPr>
            <sz val="8"/>
            <color indexed="81"/>
            <rFont val="Tahoma"/>
            <family val="2"/>
          </rPr>
          <t xml:space="preserve">
Snowy Mountains White - </t>
        </r>
        <r>
          <rPr>
            <i/>
            <sz val="8"/>
            <color indexed="81"/>
            <rFont val="Tahoma"/>
            <family val="2"/>
          </rPr>
          <t>Snowy Mountains White</t>
        </r>
        <r>
          <rPr>
            <sz val="8"/>
            <color indexed="81"/>
            <rFont val="Tahoma"/>
            <family val="2"/>
          </rPr>
          <t xml:space="preserve">
For standard Shutters in Fauxwood Designer Eco 
Standard 77mm Hinges will be used.
For standard Shutters in Fauxwood Designer Eco Plus, 
Fauxwood Designer Eco Night &amp; Luvre
Standard 90mm Hinges will be used.
The Pivot Hinged Colour options are;
White
Stainless Steel
Please refer to the Shutter Manual. 
</t>
        </r>
        <r>
          <rPr>
            <i/>
            <sz val="8"/>
            <color indexed="81"/>
            <rFont val="Tahoma"/>
            <family val="2"/>
          </rPr>
          <t>Stainless Steel Surcharge applies.</t>
        </r>
      </text>
    </comment>
    <comment ref="X20" authorId="0" shapeId="0" xr:uid="{D7B39035-E347-4672-B5ED-49C6715A2ACA}">
      <text>
        <r>
          <rPr>
            <sz val="8"/>
            <color indexed="81"/>
            <rFont val="Tahoma"/>
            <family val="2"/>
          </rPr>
          <t>Please Note: 
If Closed option is chosen then the blades 
can be damaged if they are left open 
when Sliding the Panel.
Open is not an option for 3 Tracks.</t>
        </r>
      </text>
    </comment>
    <comment ref="Y20" authorId="0" shapeId="0" xr:uid="{39A77587-3F81-418C-90D2-14FDA017478F}">
      <text>
        <r>
          <rPr>
            <sz val="8"/>
            <color indexed="81"/>
            <rFont val="Tahoma"/>
            <family val="2"/>
          </rPr>
          <t>If any T Posts are required then the measurements 
must be supplied under the next columns.
Measurements should be made from the left.
A Flat (Unbeaded) T Post can be ordered to match 
the Flat Stile Shutter in the Stile &amp; T Post column.</t>
        </r>
      </text>
    </comment>
    <comment ref="AC20" authorId="0" shapeId="0" xr:uid="{9E3BE309-D7B2-492A-BBC3-16B8F82E5324}">
      <text>
        <r>
          <rPr>
            <sz val="8"/>
            <color indexed="81"/>
            <rFont val="Tahoma"/>
            <family val="2"/>
          </rPr>
          <t>The Stile &amp; T Post 
options are;
Default (Beaded)
Flat Stile &amp; T Post
A Flat (unbeaded) Small L Frame can be ordered 
under the Frame Type.</t>
        </r>
      </text>
    </comment>
    <comment ref="AD20" authorId="0" shapeId="0" xr:uid="{10E9A1BF-6885-4978-AC00-9E3EA886F936}">
      <text>
        <r>
          <rPr>
            <sz val="8"/>
            <color indexed="81"/>
            <rFont val="Tahoma"/>
            <family val="2"/>
          </rPr>
          <t xml:space="preserve">The Designer Eco,  
Designer Eco Plus &amp; Luvre
Fluffy Strip options are;
No
Yes
Fluffy Strip is supplied with the Fauxwood Designer Eco Night Shutter.
</t>
        </r>
        <r>
          <rPr>
            <i/>
            <sz val="8"/>
            <color indexed="81"/>
            <rFont val="Tahoma"/>
            <family val="2"/>
          </rPr>
          <t>Fluffy Strip Surcharge applies.</t>
        </r>
      </text>
    </comment>
    <comment ref="C21" authorId="0" shapeId="0" xr:uid="{1FF9C4E4-B9E7-4720-9928-C0887D89BCAE}">
      <text>
        <r>
          <rPr>
            <sz val="8"/>
            <color indexed="81"/>
            <rFont val="Tahoma"/>
            <family val="2"/>
          </rPr>
          <t xml:space="preserve">Minimum Width is 180mm.
Maximum Fauxwood Standard Size 
Width is 650mm.
Maximum Fauxwood Designer Eco Width with 
63mm Blades is 900mm.
Maximum Fauxwood Designer Eco Width with 
89mm Blades is 900mm.
Maximum Fauxwood Designer Eco Plus Width with 
63mm Blades is 950mm.
Maximum Fauxwood Designer Eco Plus Width with 
89mm Blades is 950mm.
Maximum Fauxwood Designer Eco Night 
Width is 650mm.
Maximum Luvre Width is 950mm.
Fauxwood Designer Eco &amp; 
Fauxwood Designer Eco Plus Panels 
with a Width larger than 650mm will require 
Aluminium Inserts.
Conditions apply.
</t>
        </r>
        <r>
          <rPr>
            <i/>
            <sz val="8"/>
            <color indexed="81"/>
            <rFont val="Tahoma"/>
            <family val="2"/>
          </rPr>
          <t>Please note: 
Larger Panels may sometimes require lifting in to the frame.</t>
        </r>
      </text>
    </comment>
    <comment ref="D21" authorId="0" shapeId="0" xr:uid="{4F95BB5E-7EF5-4B8C-B3D1-D2A211C5D154}">
      <text>
        <r>
          <rPr>
            <sz val="8"/>
            <color indexed="81"/>
            <rFont val="Tahoma"/>
            <family val="2"/>
          </rPr>
          <t>Minimum Height is 350mm.
Maximum Fauxwood Height is 2600mm.</t>
        </r>
      </text>
    </comment>
    <comment ref="E21" authorId="0" shapeId="0" xr:uid="{8EB9F0AD-86C4-4DF0-B331-8CA5B36D05A3}">
      <text>
        <r>
          <rPr>
            <sz val="8"/>
            <color indexed="81"/>
            <rFont val="Tahoma"/>
            <family val="2"/>
          </rPr>
          <t xml:space="preserve">In - Inside or Reveal Fit
Out - Outside or Face Fit
Alternative Option:
MS - Make Size
Panel Only Option
</t>
        </r>
        <r>
          <rPr>
            <i/>
            <sz val="8"/>
            <color indexed="81"/>
            <rFont val="Tahoma"/>
            <family val="2"/>
          </rPr>
          <t>(Used for specific requirements only)</t>
        </r>
      </text>
    </comment>
    <comment ref="F21" authorId="0" shapeId="0" xr:uid="{1E6513AA-5F78-467F-86F7-19AC2C1CF68E}">
      <text>
        <r>
          <rPr>
            <sz val="8"/>
            <color indexed="81"/>
            <rFont val="Tahoma"/>
            <family val="2"/>
          </rPr>
          <t>Quantity is the number of Panels 
within the opening. 
If ordering Make Size (MS), 
this will be the number of Panels 
at this size.</t>
        </r>
      </text>
    </comment>
    <comment ref="G21" authorId="0" shapeId="0" xr:uid="{B7AB06CF-EB23-4FCA-A6F9-E9DFF040282B}">
      <text>
        <r>
          <rPr>
            <sz val="8"/>
            <color indexed="81"/>
            <rFont val="Tahoma"/>
            <family val="2"/>
          </rPr>
          <t>Fauxwood Designer Eco will be made with the standard profile 
Bottom Rail,  Mid Rail &amp; Top Rail.
Fauxwood Designer Eco Plus will be made with the 
reinforced curved profile Bottom Rail, Mid Rail &amp; Top Rail.
Fauxwood Designer Eco Night will be made with the 
curved grooved profile Bottom Rail, Mid Rail &amp; Top Rail.
Luvre will be made with the reinforced
curved profile Bottom Rail, Mid Rail &amp; Top Rail.
Fauxwood Designer Eco Plus, Fauxwood Designer Eco Night &amp; Luvre 
Surcharge applies.</t>
        </r>
      </text>
    </comment>
    <comment ref="H21" authorId="0" shapeId="0" xr:uid="{A2EB3F8C-C829-495B-8A22-352AF9DBE471}">
      <text>
        <r>
          <rPr>
            <sz val="8"/>
            <color indexed="81"/>
            <rFont val="Tahoma"/>
            <family val="2"/>
          </rPr>
          <t xml:space="preserve">Fauxwood Designer Colours options available;
Standard Colours;
Bright White
Classic White
Snow White
Super White
Vanilla
Specialty Colours;
Ceylon
Earl Grey
French White
Infinite White
Polar White
Quiet White
Snow Gum Grey
Snowy Mountains White
</t>
        </r>
        <r>
          <rPr>
            <i/>
            <sz val="8"/>
            <color indexed="81"/>
            <rFont val="Tahoma"/>
            <family val="2"/>
          </rPr>
          <t>Specialty Colours Surcharge applies.</t>
        </r>
        <r>
          <rPr>
            <sz val="8"/>
            <color indexed="81"/>
            <rFont val="Tahoma"/>
            <family val="2"/>
          </rPr>
          <t xml:space="preserve">
Luvre with Therme &amp; Scratch Resistant Paint 
Colours options available;
Snow White
Super White
</t>
        </r>
      </text>
    </comment>
    <comment ref="J21" authorId="0" shapeId="0" xr:uid="{132B4095-98AE-4A48-96B2-C0B19D90A1C7}">
      <text>
        <r>
          <rPr>
            <sz val="8"/>
            <color indexed="81"/>
            <rFont val="Tahoma"/>
            <family val="2"/>
          </rPr>
          <t>Fauxwood Designer Eco &amp; 
Fauxwood Designer Eco Plus 
Blade sizes options are;
63mm
89mm
Fauxwood Designer Eco Night  
Blade sizes options are;
92mm
Luvre Blade sizes options are;
89mm
114mm</t>
        </r>
      </text>
    </comment>
    <comment ref="K21" authorId="0" shapeId="0" xr:uid="{A5BD0517-95A4-48BD-884E-9213048DD56A}">
      <text>
        <r>
          <rPr>
            <sz val="8"/>
            <color indexed="81"/>
            <rFont val="Tahoma"/>
            <family val="2"/>
          </rPr>
          <t>Mid Rail is required on Fauxwood Panels over 1500mm.
Cell will highlight yellow when Mid Rail is required.
Only one Critical Mid Rail is allowed.
A Mid Rail that is not marked "Critical" may be moved up or down 
up to 40mm to stop any gaps and increase/decrease the blade quantity.
Fauxwood Designer Eco will be made with the standard profile 
Bottom Rail,  Mid Rail &amp; Top Rail.
Fauxwood Designer Eco Plus will be made with the 
reinforced curved profile Bottom Rail, Mid Rail &amp; Top Rail.
Fauxwood Designer Eco Night will be made with the 
curved grooved profile Bottom Rail, Mid Rail &amp; Top Rail.
Luvre will be made with the reinforced
curved profile Bottom Rail, Mid Rail &amp; Top Rail.
Fauxwood Designer Eco Plus, Fauxwood Designer Eco Night &amp; Luvre Surcharge applies.</t>
        </r>
      </text>
    </comment>
    <comment ref="L21" authorId="0" shapeId="0" xr:uid="{E4B0CFC8-22C7-47AD-9A46-975A6E1A987A}">
      <text>
        <r>
          <rPr>
            <sz val="8"/>
            <color indexed="81"/>
            <rFont val="Tahoma"/>
            <family val="2"/>
          </rPr>
          <t xml:space="preserve">The Fauxwood Designer Eco, 
Fauxwood Designer Eco Plus 
&amp; Luvre Window Type options are;
Standard
Bay Window
Corner Window
Door Cut Out
Shaped Arch
Shaped Hexagon
Shaped Octagon
Shaped Oval
Shaped Parallelogram
Shaped Raked
Shaped Round
Shaped Sunburst
Shaped Triangle
These Shapes are not available
with the Rack &amp; Pinion Tiltrod;
Shaped Arch
Shaped Hexagon
Shaped Octagon
Shaped Oval
Shaped Round
Shaped Sunburst
The Fauxwood Designer Eco Night Window Type 
options are;
Standard
Bay Window
Corner Window
</t>
        </r>
        <r>
          <rPr>
            <i/>
            <sz val="8"/>
            <color indexed="81"/>
            <rFont val="Tahoma"/>
            <family val="2"/>
          </rPr>
          <t xml:space="preserve">
</t>
        </r>
        <r>
          <rPr>
            <sz val="8"/>
            <color indexed="81"/>
            <rFont val="Tahoma"/>
            <family val="2"/>
          </rPr>
          <t>Shaped Shutters will need the Panel Layout to be 
compatible with the Hidden Tiltrod system.</t>
        </r>
      </text>
    </comment>
    <comment ref="M21" authorId="0" shapeId="0" xr:uid="{FBDAE7F9-5FC1-4618-AFAF-50F865F00872}">
      <text>
        <r>
          <rPr>
            <sz val="8"/>
            <color indexed="81"/>
            <rFont val="Tahoma"/>
            <family val="2"/>
          </rPr>
          <t>Mounting Method is dependent 
on  MS, In Or Out &amp; Product.
For IN &amp; Fauxwood Designer Eco,  
Fauxwood Designer Eco Plus 
&amp; Luvre the options are;
Double Hinged
Fixed
Hinged
Pivot Hinged
Sliding
Track Bi Fold
For OUT &amp; Fauxwood Designer Eco,  
Fauxwood Designer Eco Plus 
&amp; Luvre the options are;
Double Hinged
Hinged
Pivot Hinged
Sliding
Track Bi Fold
For IN &amp; Fauxwood Designer Eco Night 
the options are;
Fixed
Hinged
For OUT &amp; Fauxwood Designer Eco Night 
the options are;
Fixed
Hinged
For MS, the options are;
N/A
Pivot Hinged is not recommended for 
Designer Eco Plus or Luvre.</t>
        </r>
      </text>
    </comment>
    <comment ref="N21" authorId="0" shapeId="0" xr:uid="{9454C875-C3F1-4B00-B8D3-FDD7BB875930}">
      <text>
        <r>
          <rPr>
            <sz val="8"/>
            <color indexed="81"/>
            <rFont val="Tahoma"/>
            <family val="2"/>
          </rPr>
          <t>For Sliding Track System options are;
Top Hung (Original System)
Bottom Wheel (New System)
The Top Hung (Original System) uses 
Top Wheels Mounting.
The Bottom Wheel (New System) uses a 
U Channel at the Top and 
Wheels at the Bottom.
This option cannot have a Floor Guide or 
Track On Board.</t>
        </r>
      </text>
    </comment>
    <comment ref="O21" authorId="0" shapeId="0" xr:uid="{BE51159D-3F4D-4E03-933A-AFA28B2DD929}">
      <text>
        <r>
          <rPr>
            <sz val="8"/>
            <color indexed="81"/>
            <rFont val="Tahoma"/>
            <family val="2"/>
          </rPr>
          <t>Please refer to the Shutter Manual 
when selecting Layout Code.
The list provides the most common options, 
which are dependent on Mounting Method.
More complex Layout Codes can still be entered manually.</t>
        </r>
      </text>
    </comment>
    <comment ref="P21" authorId="0" shapeId="0" xr:uid="{1F015642-CF92-4620-9150-DF53F438452E}">
      <text>
        <r>
          <rPr>
            <sz val="8"/>
            <color indexed="81"/>
            <rFont val="Tahoma"/>
            <family val="2"/>
          </rPr>
          <t>Frame Type is dependent on
 Mounting Method.
If a Flat (unbeaded) Small L Frame 
is selected, a matching Stile &amp; T Post can be 
ordered in the Stile &amp; T Post column.</t>
        </r>
      </text>
    </comment>
    <comment ref="V21" authorId="0" shapeId="0" xr:uid="{6927E9D9-A801-4D48-B84C-6BBCEBF422D6}">
      <text>
        <r>
          <rPr>
            <sz val="8"/>
            <color indexed="81"/>
            <rFont val="Tahoma"/>
            <family val="2"/>
          </rPr>
          <t>This option is dependent on the 
Material &amp; Product 
and will only be available once this 
option is selected.
For Fauxwood Designer Eco
&amp; Fauxwood Designer Eco Plus 
the options are;
Hidden
Centre
Off-Set
Rack &amp; Pinion
These Shapes are not available
with the Rack &amp; Pinion Tiltrod;
Shaped Arch
Shaped Hexagon
Shaped Octagon
Shaped Oval
Shaped Round
Shaped Sunburst
For Fauxwood Designer Eco Night
the options are;
Hidden
For Luvre the options are;
Hidden</t>
        </r>
      </text>
    </comment>
    <comment ref="W21" authorId="0" shapeId="0" xr:uid="{9C22C99A-3B4C-46E5-ADAB-626059BF308B}">
      <text>
        <r>
          <rPr>
            <sz val="8"/>
            <color indexed="81"/>
            <rFont val="Tahoma"/>
            <family val="2"/>
          </rPr>
          <t xml:space="preserve">If no Hinge Colour is selected, 
then the default Hinge Colour and hardware 
will be supplied. 
The Hinge Colour options are;
Default
Stainless Steel
N/A
When Default is selected, the Hinge will be supplied 
as per the matching Hinge Colour list below;
Shutter Colour - </t>
        </r>
        <r>
          <rPr>
            <i/>
            <sz val="8"/>
            <color indexed="81"/>
            <rFont val="Tahoma"/>
            <family val="2"/>
          </rPr>
          <t>Hinge Colour</t>
        </r>
        <r>
          <rPr>
            <sz val="8"/>
            <color indexed="81"/>
            <rFont val="Tahoma"/>
            <family val="2"/>
          </rPr>
          <t xml:space="preserve">
   Bright White - </t>
        </r>
        <r>
          <rPr>
            <i/>
            <sz val="8"/>
            <color indexed="81"/>
            <rFont val="Tahoma"/>
            <family val="2"/>
          </rPr>
          <t>Bright White</t>
        </r>
        <r>
          <rPr>
            <sz val="8"/>
            <color indexed="81"/>
            <rFont val="Tahoma"/>
            <family val="2"/>
          </rPr>
          <t xml:space="preserve">
Classic White - </t>
        </r>
        <r>
          <rPr>
            <i/>
            <sz val="8"/>
            <color indexed="81"/>
            <rFont val="Tahoma"/>
            <family val="2"/>
          </rPr>
          <t>White</t>
        </r>
        <r>
          <rPr>
            <sz val="8"/>
            <color indexed="81"/>
            <rFont val="Tahoma"/>
            <family val="2"/>
          </rPr>
          <t xml:space="preserve">
Snow White - </t>
        </r>
        <r>
          <rPr>
            <i/>
            <sz val="8"/>
            <color indexed="81"/>
            <rFont val="Tahoma"/>
            <family val="2"/>
          </rPr>
          <t>Snow White</t>
        </r>
        <r>
          <rPr>
            <sz val="8"/>
            <color indexed="81"/>
            <rFont val="Tahoma"/>
            <family val="2"/>
          </rPr>
          <t xml:space="preserve">
Super White - </t>
        </r>
        <r>
          <rPr>
            <i/>
            <sz val="8"/>
            <color indexed="81"/>
            <rFont val="Tahoma"/>
            <family val="2"/>
          </rPr>
          <t>Snow White</t>
        </r>
        <r>
          <rPr>
            <sz val="8"/>
            <color indexed="81"/>
            <rFont val="Tahoma"/>
            <family val="2"/>
          </rPr>
          <t xml:space="preserve">
Vanilla - </t>
        </r>
        <r>
          <rPr>
            <i/>
            <sz val="8"/>
            <color indexed="81"/>
            <rFont val="Tahoma"/>
            <family val="2"/>
          </rPr>
          <t xml:space="preserve">Ivory
</t>
        </r>
        <r>
          <rPr>
            <sz val="8"/>
            <color indexed="81"/>
            <rFont val="Tahoma"/>
            <family val="2"/>
          </rPr>
          <t xml:space="preserve">Ceylon - </t>
        </r>
        <r>
          <rPr>
            <i/>
            <sz val="8"/>
            <color indexed="81"/>
            <rFont val="Tahoma"/>
            <family val="2"/>
          </rPr>
          <t>Ceylon</t>
        </r>
        <r>
          <rPr>
            <sz val="8"/>
            <color indexed="81"/>
            <rFont val="Tahoma"/>
            <family val="2"/>
          </rPr>
          <t xml:space="preserve">
Earl Grey - </t>
        </r>
        <r>
          <rPr>
            <i/>
            <sz val="8"/>
            <color indexed="81"/>
            <rFont val="Tahoma"/>
            <family val="2"/>
          </rPr>
          <t>Earl Grey</t>
        </r>
        <r>
          <rPr>
            <sz val="8"/>
            <color indexed="81"/>
            <rFont val="Tahoma"/>
            <family val="2"/>
          </rPr>
          <t xml:space="preserve">
French White - </t>
        </r>
        <r>
          <rPr>
            <i/>
            <sz val="8"/>
            <color indexed="81"/>
            <rFont val="Tahoma"/>
            <family val="2"/>
          </rPr>
          <t>French White</t>
        </r>
        <r>
          <rPr>
            <sz val="8"/>
            <color indexed="81"/>
            <rFont val="Tahoma"/>
            <family val="2"/>
          </rPr>
          <t xml:space="preserve">
Infinite White -</t>
        </r>
        <r>
          <rPr>
            <i/>
            <sz val="8"/>
            <color indexed="81"/>
            <rFont val="Tahoma"/>
            <family val="2"/>
          </rPr>
          <t xml:space="preserve"> Infinite White</t>
        </r>
        <r>
          <rPr>
            <sz val="8"/>
            <color indexed="81"/>
            <rFont val="Tahoma"/>
            <family val="2"/>
          </rPr>
          <t xml:space="preserve">
Polar White - </t>
        </r>
        <r>
          <rPr>
            <i/>
            <sz val="8"/>
            <color indexed="81"/>
            <rFont val="Tahoma"/>
            <family val="2"/>
          </rPr>
          <t>Polar White</t>
        </r>
        <r>
          <rPr>
            <sz val="8"/>
            <color indexed="81"/>
            <rFont val="Tahoma"/>
            <family val="2"/>
          </rPr>
          <t xml:space="preserve">
Quiet White - </t>
        </r>
        <r>
          <rPr>
            <i/>
            <sz val="8"/>
            <color indexed="81"/>
            <rFont val="Tahoma"/>
            <family val="2"/>
          </rPr>
          <t>Quiet White</t>
        </r>
        <r>
          <rPr>
            <sz val="8"/>
            <color indexed="81"/>
            <rFont val="Tahoma"/>
            <family val="2"/>
          </rPr>
          <t xml:space="preserve">
Snow Gum Grey - </t>
        </r>
        <r>
          <rPr>
            <i/>
            <sz val="8"/>
            <color indexed="81"/>
            <rFont val="Tahoma"/>
            <family val="2"/>
          </rPr>
          <t>Snow Gum Grey</t>
        </r>
        <r>
          <rPr>
            <sz val="8"/>
            <color indexed="81"/>
            <rFont val="Tahoma"/>
            <family val="2"/>
          </rPr>
          <t xml:space="preserve">
Snowy Mountains White - </t>
        </r>
        <r>
          <rPr>
            <i/>
            <sz val="8"/>
            <color indexed="81"/>
            <rFont val="Tahoma"/>
            <family val="2"/>
          </rPr>
          <t>Snowy Mountains White</t>
        </r>
        <r>
          <rPr>
            <sz val="8"/>
            <color indexed="81"/>
            <rFont val="Tahoma"/>
            <family val="2"/>
          </rPr>
          <t xml:space="preserve">
For standard Shutters in Fauxwood Designer Eco 
Standard 77mm Hinges will be used.
For standard Shutters in Fauxwood Designer Eco Plus, 
Fauxwood Designer Eco Night &amp; Luvre
Standard 90mm Hinges will be used.
The Pivot Hinged Colour options are;
White
Stainless Steel
Please refer to the Shutter Manual. 
</t>
        </r>
        <r>
          <rPr>
            <i/>
            <sz val="8"/>
            <color indexed="81"/>
            <rFont val="Tahoma"/>
            <family val="2"/>
          </rPr>
          <t>Stainless Steel Surcharge applies.</t>
        </r>
      </text>
    </comment>
    <comment ref="X21" authorId="0" shapeId="0" xr:uid="{994E6737-5FD5-46B3-A920-8B0D70C9A798}">
      <text>
        <r>
          <rPr>
            <sz val="8"/>
            <color indexed="81"/>
            <rFont val="Tahoma"/>
            <family val="2"/>
          </rPr>
          <t>Please Note: 
If Closed option is chosen then the blades 
can be damaged if they are left open 
when Sliding the Panel.
Open is not an option for 3 Tracks.</t>
        </r>
      </text>
    </comment>
    <comment ref="Y21" authorId="0" shapeId="0" xr:uid="{8D8FC25A-E850-4CC9-8EBD-DF9E67701DA4}">
      <text>
        <r>
          <rPr>
            <sz val="8"/>
            <color indexed="81"/>
            <rFont val="Tahoma"/>
            <family val="2"/>
          </rPr>
          <t>If any T Posts are required then the measurements 
must be supplied under the next columns.
Measurements should be made from the left.
A Flat (Unbeaded) T Post can be ordered to match 
the Flat Stile Shutter in the Stile &amp; T Post column.</t>
        </r>
      </text>
    </comment>
    <comment ref="AC21" authorId="0" shapeId="0" xr:uid="{E968D2DD-31B8-4972-BC77-41D1E58AF48C}">
      <text>
        <r>
          <rPr>
            <sz val="8"/>
            <color indexed="81"/>
            <rFont val="Tahoma"/>
            <family val="2"/>
          </rPr>
          <t>The Stile &amp; T Post 
options are;
Default (Beaded)
Flat Stile &amp; T Post
A Flat (unbeaded) Small L Frame can be ordered 
under the Frame Type.</t>
        </r>
      </text>
    </comment>
    <comment ref="AD21" authorId="0" shapeId="0" xr:uid="{A623D35C-5B80-4F60-A960-64172E2A5916}">
      <text>
        <r>
          <rPr>
            <sz val="8"/>
            <color indexed="81"/>
            <rFont val="Tahoma"/>
            <family val="2"/>
          </rPr>
          <t xml:space="preserve">The Designer Eco,  
Designer Eco Plus &amp; Luvre
Fluffy Strip options are;
No
Yes
Fluffy Strip is supplied with the Fauxwood Designer Eco Night Shutter.
</t>
        </r>
        <r>
          <rPr>
            <i/>
            <sz val="8"/>
            <color indexed="81"/>
            <rFont val="Tahoma"/>
            <family val="2"/>
          </rPr>
          <t>Fluffy Strip Surcharge applies.</t>
        </r>
      </text>
    </comment>
    <comment ref="C22" authorId="0" shapeId="0" xr:uid="{EC8D157B-173C-44F7-8BC9-B98E56B15BF8}">
      <text>
        <r>
          <rPr>
            <sz val="8"/>
            <color indexed="81"/>
            <rFont val="Tahoma"/>
            <family val="2"/>
          </rPr>
          <t xml:space="preserve">Minimum Width is 180mm.
Maximum Fauxwood Standard Size 
Width is 650mm.
Maximum Fauxwood Designer Eco Width with 
63mm Blades is 900mm.
Maximum Fauxwood Designer Eco Width with 
89mm Blades is 900mm.
Maximum Fauxwood Designer Eco Plus Width with 
63mm Blades is 950mm.
Maximum Fauxwood Designer Eco Plus Width with 
89mm Blades is 950mm.
Maximum Fauxwood Designer Eco Night 
Width is 650mm.
Maximum Luvre Width is 950mm.
Fauxwood Designer Eco &amp; 
Fauxwood Designer Eco Plus Panels 
with a Width larger than 650mm will require 
Aluminium Inserts.
Conditions apply.
</t>
        </r>
        <r>
          <rPr>
            <i/>
            <sz val="8"/>
            <color indexed="81"/>
            <rFont val="Tahoma"/>
            <family val="2"/>
          </rPr>
          <t>Please note: 
Larger Panels may sometimes require lifting in to the frame.</t>
        </r>
      </text>
    </comment>
    <comment ref="D22" authorId="0" shapeId="0" xr:uid="{AA062683-8A4E-4A21-B48F-AA2763B864E8}">
      <text>
        <r>
          <rPr>
            <sz val="8"/>
            <color indexed="81"/>
            <rFont val="Tahoma"/>
            <family val="2"/>
          </rPr>
          <t>Minimum Height is 350mm.
Maximum Fauxwood Height is 2600mm.</t>
        </r>
      </text>
    </comment>
    <comment ref="E22" authorId="0" shapeId="0" xr:uid="{C203DAB9-B98E-4027-88E4-975ECEFF2F00}">
      <text>
        <r>
          <rPr>
            <sz val="8"/>
            <color indexed="81"/>
            <rFont val="Tahoma"/>
            <family val="2"/>
          </rPr>
          <t xml:space="preserve">In - Inside or Reveal Fit
Out - Outside or Face Fit
Alternative Option:
MS - Make Size
Panel Only Option
</t>
        </r>
        <r>
          <rPr>
            <i/>
            <sz val="8"/>
            <color indexed="81"/>
            <rFont val="Tahoma"/>
            <family val="2"/>
          </rPr>
          <t>(Used for specific requirements only)</t>
        </r>
      </text>
    </comment>
    <comment ref="F22" authorId="0" shapeId="0" xr:uid="{86448234-35B7-4590-8ACF-C6673DA9FF9D}">
      <text>
        <r>
          <rPr>
            <sz val="8"/>
            <color indexed="81"/>
            <rFont val="Tahoma"/>
            <family val="2"/>
          </rPr>
          <t>Quantity is the number of Panels 
within the opening. 
If ordering Make Size (MS), 
this will be the number of Panels 
at this size.</t>
        </r>
      </text>
    </comment>
    <comment ref="G22" authorId="0" shapeId="0" xr:uid="{239FDF9F-7B27-4106-908E-4BD4A4AA005B}">
      <text>
        <r>
          <rPr>
            <sz val="8"/>
            <color indexed="81"/>
            <rFont val="Tahoma"/>
            <family val="2"/>
          </rPr>
          <t>Fauxwood Designer Eco will be made with the standard profile 
Bottom Rail,  Mid Rail &amp; Top Rail.
Fauxwood Designer Eco Plus will be made with the 
reinforced curved profile Bottom Rail, Mid Rail &amp; Top Rail.
Fauxwood Designer Eco Night will be made with the 
curved grooved profile Bottom Rail, Mid Rail &amp; Top Rail.
Luvre will be made with the reinforced
curved profile Bottom Rail, Mid Rail &amp; Top Rail.
Fauxwood Designer Eco Plus, Fauxwood Designer Eco Night &amp; Luvre 
Surcharge applies.</t>
        </r>
      </text>
    </comment>
    <comment ref="H22" authorId="0" shapeId="0" xr:uid="{E9918E91-4686-4450-9DC7-CA17096A2E20}">
      <text>
        <r>
          <rPr>
            <sz val="8"/>
            <color indexed="81"/>
            <rFont val="Tahoma"/>
            <family val="2"/>
          </rPr>
          <t xml:space="preserve">Fauxwood Designer Colours options available;
Standard Colours;
Bright White
Classic White
Snow White
Super White
Vanilla
Specialty Colours;
Ceylon
Earl Grey
French White
Infinite White
Polar White
Quiet White
Snow Gum Grey
Snowy Mountains White
</t>
        </r>
        <r>
          <rPr>
            <i/>
            <sz val="8"/>
            <color indexed="81"/>
            <rFont val="Tahoma"/>
            <family val="2"/>
          </rPr>
          <t>Specialty Colours Surcharge applies.</t>
        </r>
        <r>
          <rPr>
            <sz val="8"/>
            <color indexed="81"/>
            <rFont val="Tahoma"/>
            <family val="2"/>
          </rPr>
          <t xml:space="preserve">
Luvre with Therme &amp; Scratch Resistant Paint 
Colours options available;
Snow White
Super White
</t>
        </r>
      </text>
    </comment>
    <comment ref="J22" authorId="0" shapeId="0" xr:uid="{366A3D3F-831F-41FA-8F5C-F51F629526D0}">
      <text>
        <r>
          <rPr>
            <sz val="8"/>
            <color indexed="81"/>
            <rFont val="Tahoma"/>
            <family val="2"/>
          </rPr>
          <t>Fauxwood Designer Eco &amp; 
Fauxwood Designer Eco Plus 
Blade sizes options are;
63mm
89mm
Fauxwood Designer Eco Night  
Blade sizes options are;
92mm
Luvre Blade sizes options are;
89mm
114mm</t>
        </r>
      </text>
    </comment>
    <comment ref="K22" authorId="0" shapeId="0" xr:uid="{B888B88A-8407-479B-9D63-62345CA7633F}">
      <text>
        <r>
          <rPr>
            <sz val="8"/>
            <color indexed="81"/>
            <rFont val="Tahoma"/>
            <family val="2"/>
          </rPr>
          <t>Mid Rail is required on Fauxwood Panels over 1500mm.
Cell will highlight yellow when Mid Rail is required.
Only one Critical Mid Rail is allowed.
A Mid Rail that is not marked "Critical" may be moved up or down 
up to 40mm to stop any gaps and increase/decrease the blade quantity.
Fauxwood Designer Eco will be made with the standard profile 
Bottom Rail,  Mid Rail &amp; Top Rail.
Fauxwood Designer Eco Plus will be made with the 
reinforced curved profile Bottom Rail, Mid Rail &amp; Top Rail.
Fauxwood Designer Eco Night will be made with the 
curved grooved profile Bottom Rail, Mid Rail &amp; Top Rail.
Luvre will be made with the reinforced
curved profile Bottom Rail, Mid Rail &amp; Top Rail.
Fauxwood Designer Eco Plus, Fauxwood Designer Eco Night &amp; Luvre Surcharge applies.</t>
        </r>
      </text>
    </comment>
    <comment ref="L22" authorId="0" shapeId="0" xr:uid="{3DF913BA-FC54-40E3-84AA-A8DA70B93B1F}">
      <text>
        <r>
          <rPr>
            <sz val="8"/>
            <color indexed="81"/>
            <rFont val="Tahoma"/>
            <family val="2"/>
          </rPr>
          <t xml:space="preserve">The Fauxwood Designer Eco, 
Fauxwood Designer Eco Plus 
&amp; Luvre Window Type options are;
Standard
Bay Window
Corner Window
Door Cut Out
Shaped Arch
Shaped Hexagon
Shaped Octagon
Shaped Oval
Shaped Parallelogram
Shaped Raked
Shaped Round
Shaped Sunburst
Shaped Triangle
These Shapes are not available
with the Rack &amp; Pinion Tiltrod;
Shaped Arch
Shaped Hexagon
Shaped Octagon
Shaped Oval
Shaped Round
Shaped Sunburst
The Fauxwood Designer Eco Night Window Type 
options are;
Standard
Bay Window
Corner Window
</t>
        </r>
        <r>
          <rPr>
            <i/>
            <sz val="8"/>
            <color indexed="81"/>
            <rFont val="Tahoma"/>
            <family val="2"/>
          </rPr>
          <t xml:space="preserve">
</t>
        </r>
        <r>
          <rPr>
            <sz val="8"/>
            <color indexed="81"/>
            <rFont val="Tahoma"/>
            <family val="2"/>
          </rPr>
          <t>Shaped Shutters will need the Panel Layout to be 
compatible with the Hidden Tiltrod system.</t>
        </r>
      </text>
    </comment>
    <comment ref="M22" authorId="0" shapeId="0" xr:uid="{71D48599-5C32-4120-8B0E-7469353017DC}">
      <text>
        <r>
          <rPr>
            <sz val="8"/>
            <color indexed="81"/>
            <rFont val="Tahoma"/>
            <family val="2"/>
          </rPr>
          <t>Mounting Method is dependent 
on  MS, In Or Out &amp; Product.
For IN &amp; Fauxwood Designer Eco,  
Fauxwood Designer Eco Plus 
&amp; Luvre the options are;
Double Hinged
Fixed
Hinged
Pivot Hinged
Sliding
Track Bi Fold
For OUT &amp; Fauxwood Designer Eco,  
Fauxwood Designer Eco Plus 
&amp; Luvre the options are;
Double Hinged
Hinged
Pivot Hinged
Sliding
Track Bi Fold
For IN &amp; Fauxwood Designer Eco Night 
the options are;
Fixed
Hinged
For OUT &amp; Fauxwood Designer Eco Night 
the options are;
Fixed
Hinged
For MS, the options are;
N/A
Pivot Hinged is not recommended for 
Designer Eco Plus or Luvre.</t>
        </r>
      </text>
    </comment>
    <comment ref="N22" authorId="0" shapeId="0" xr:uid="{6ECC8E42-E07E-4C28-B90C-823407D8D43A}">
      <text>
        <r>
          <rPr>
            <sz val="8"/>
            <color indexed="81"/>
            <rFont val="Tahoma"/>
            <family val="2"/>
          </rPr>
          <t>For Sliding Track System options are;
Top Hung (Original System)
Bottom Wheel (New System)
The Top Hung (Original System) uses 
Top Wheels Mounting.
The Bottom Wheel (New System) uses a 
U Channel at the Top and 
Wheels at the Bottom.
This option cannot have a Floor Guide or 
Track On Board.</t>
        </r>
      </text>
    </comment>
    <comment ref="O22" authorId="0" shapeId="0" xr:uid="{D517C373-CED2-470F-B04B-FE23F5E83072}">
      <text>
        <r>
          <rPr>
            <sz val="8"/>
            <color indexed="81"/>
            <rFont val="Tahoma"/>
            <family val="2"/>
          </rPr>
          <t>Please refer to the Shutter Manual 
when selecting Layout Code.
The list provides the most common options, 
which are dependent on Mounting Method.
More complex Layout Codes can still be entered manually.</t>
        </r>
      </text>
    </comment>
    <comment ref="P22" authorId="0" shapeId="0" xr:uid="{B1B13714-0515-4AEC-8E92-ABEB1913369B}">
      <text>
        <r>
          <rPr>
            <sz val="8"/>
            <color indexed="81"/>
            <rFont val="Tahoma"/>
            <family val="2"/>
          </rPr>
          <t>Frame Type is dependent on
 Mounting Method.
If a Flat (unbeaded) Small L Frame 
is selected, a matching Stile &amp; T Post can be 
ordered in the Stile &amp; T Post column.</t>
        </r>
      </text>
    </comment>
    <comment ref="V22" authorId="0" shapeId="0" xr:uid="{BBCFAB34-6408-4D68-B2FC-55AA52FE568C}">
      <text>
        <r>
          <rPr>
            <sz val="8"/>
            <color indexed="81"/>
            <rFont val="Tahoma"/>
            <family val="2"/>
          </rPr>
          <t>This option is dependent on the 
Material &amp; Product 
and will only be available once this 
option is selected.
For Fauxwood Designer Eco
&amp; Fauxwood Designer Eco Plus 
the options are;
Hidden
Centre
Off-Set
Rack &amp; Pinion
These Shapes are not available
with the Rack &amp; Pinion Tiltrod;
Shaped Arch
Shaped Hexagon
Shaped Octagon
Shaped Oval
Shaped Round
Shaped Sunburst
For Fauxwood Designer Eco Night
the options are;
Hidden
For Luvre the options are;
Hidden</t>
        </r>
      </text>
    </comment>
    <comment ref="W22" authorId="0" shapeId="0" xr:uid="{876657A8-606C-4C58-B846-4A28C1E92C80}">
      <text>
        <r>
          <rPr>
            <sz val="8"/>
            <color indexed="81"/>
            <rFont val="Tahoma"/>
            <family val="2"/>
          </rPr>
          <t xml:space="preserve">If no Hinge Colour is selected, 
then the default Hinge Colour and hardware 
will be supplied. 
The Hinge Colour options are;
Default
Stainless Steel
N/A
When Default is selected, the Hinge will be supplied 
as per the matching Hinge Colour list below;
Shutter Colour - </t>
        </r>
        <r>
          <rPr>
            <i/>
            <sz val="8"/>
            <color indexed="81"/>
            <rFont val="Tahoma"/>
            <family val="2"/>
          </rPr>
          <t>Hinge Colour</t>
        </r>
        <r>
          <rPr>
            <sz val="8"/>
            <color indexed="81"/>
            <rFont val="Tahoma"/>
            <family val="2"/>
          </rPr>
          <t xml:space="preserve">
   Bright White - </t>
        </r>
        <r>
          <rPr>
            <i/>
            <sz val="8"/>
            <color indexed="81"/>
            <rFont val="Tahoma"/>
            <family val="2"/>
          </rPr>
          <t>Bright White</t>
        </r>
        <r>
          <rPr>
            <sz val="8"/>
            <color indexed="81"/>
            <rFont val="Tahoma"/>
            <family val="2"/>
          </rPr>
          <t xml:space="preserve">
Classic White - </t>
        </r>
        <r>
          <rPr>
            <i/>
            <sz val="8"/>
            <color indexed="81"/>
            <rFont val="Tahoma"/>
            <family val="2"/>
          </rPr>
          <t>White</t>
        </r>
        <r>
          <rPr>
            <sz val="8"/>
            <color indexed="81"/>
            <rFont val="Tahoma"/>
            <family val="2"/>
          </rPr>
          <t xml:space="preserve">
Snow White - </t>
        </r>
        <r>
          <rPr>
            <i/>
            <sz val="8"/>
            <color indexed="81"/>
            <rFont val="Tahoma"/>
            <family val="2"/>
          </rPr>
          <t>Snow White</t>
        </r>
        <r>
          <rPr>
            <sz val="8"/>
            <color indexed="81"/>
            <rFont val="Tahoma"/>
            <family val="2"/>
          </rPr>
          <t xml:space="preserve">
Super White - </t>
        </r>
        <r>
          <rPr>
            <i/>
            <sz val="8"/>
            <color indexed="81"/>
            <rFont val="Tahoma"/>
            <family val="2"/>
          </rPr>
          <t>Snow White</t>
        </r>
        <r>
          <rPr>
            <sz val="8"/>
            <color indexed="81"/>
            <rFont val="Tahoma"/>
            <family val="2"/>
          </rPr>
          <t xml:space="preserve">
Vanilla - </t>
        </r>
        <r>
          <rPr>
            <i/>
            <sz val="8"/>
            <color indexed="81"/>
            <rFont val="Tahoma"/>
            <family val="2"/>
          </rPr>
          <t xml:space="preserve">Ivory
</t>
        </r>
        <r>
          <rPr>
            <sz val="8"/>
            <color indexed="81"/>
            <rFont val="Tahoma"/>
            <family val="2"/>
          </rPr>
          <t xml:space="preserve">Ceylon - </t>
        </r>
        <r>
          <rPr>
            <i/>
            <sz val="8"/>
            <color indexed="81"/>
            <rFont val="Tahoma"/>
            <family val="2"/>
          </rPr>
          <t>Ceylon</t>
        </r>
        <r>
          <rPr>
            <sz val="8"/>
            <color indexed="81"/>
            <rFont val="Tahoma"/>
            <family val="2"/>
          </rPr>
          <t xml:space="preserve">
Earl Grey - </t>
        </r>
        <r>
          <rPr>
            <i/>
            <sz val="8"/>
            <color indexed="81"/>
            <rFont val="Tahoma"/>
            <family val="2"/>
          </rPr>
          <t>Earl Grey</t>
        </r>
        <r>
          <rPr>
            <sz val="8"/>
            <color indexed="81"/>
            <rFont val="Tahoma"/>
            <family val="2"/>
          </rPr>
          <t xml:space="preserve">
French White - </t>
        </r>
        <r>
          <rPr>
            <i/>
            <sz val="8"/>
            <color indexed="81"/>
            <rFont val="Tahoma"/>
            <family val="2"/>
          </rPr>
          <t>French White</t>
        </r>
        <r>
          <rPr>
            <sz val="8"/>
            <color indexed="81"/>
            <rFont val="Tahoma"/>
            <family val="2"/>
          </rPr>
          <t xml:space="preserve">
Infinite White -</t>
        </r>
        <r>
          <rPr>
            <i/>
            <sz val="8"/>
            <color indexed="81"/>
            <rFont val="Tahoma"/>
            <family val="2"/>
          </rPr>
          <t xml:space="preserve"> Infinite White</t>
        </r>
        <r>
          <rPr>
            <sz val="8"/>
            <color indexed="81"/>
            <rFont val="Tahoma"/>
            <family val="2"/>
          </rPr>
          <t xml:space="preserve">
Polar White - </t>
        </r>
        <r>
          <rPr>
            <i/>
            <sz val="8"/>
            <color indexed="81"/>
            <rFont val="Tahoma"/>
            <family val="2"/>
          </rPr>
          <t>Polar White</t>
        </r>
        <r>
          <rPr>
            <sz val="8"/>
            <color indexed="81"/>
            <rFont val="Tahoma"/>
            <family val="2"/>
          </rPr>
          <t xml:space="preserve">
Quiet White - </t>
        </r>
        <r>
          <rPr>
            <i/>
            <sz val="8"/>
            <color indexed="81"/>
            <rFont val="Tahoma"/>
            <family val="2"/>
          </rPr>
          <t>Quiet White</t>
        </r>
        <r>
          <rPr>
            <sz val="8"/>
            <color indexed="81"/>
            <rFont val="Tahoma"/>
            <family val="2"/>
          </rPr>
          <t xml:space="preserve">
Snow Gum Grey - </t>
        </r>
        <r>
          <rPr>
            <i/>
            <sz val="8"/>
            <color indexed="81"/>
            <rFont val="Tahoma"/>
            <family val="2"/>
          </rPr>
          <t>Snow Gum Grey</t>
        </r>
        <r>
          <rPr>
            <sz val="8"/>
            <color indexed="81"/>
            <rFont val="Tahoma"/>
            <family val="2"/>
          </rPr>
          <t xml:space="preserve">
Snowy Mountains White - </t>
        </r>
        <r>
          <rPr>
            <i/>
            <sz val="8"/>
            <color indexed="81"/>
            <rFont val="Tahoma"/>
            <family val="2"/>
          </rPr>
          <t>Snowy Mountains White</t>
        </r>
        <r>
          <rPr>
            <sz val="8"/>
            <color indexed="81"/>
            <rFont val="Tahoma"/>
            <family val="2"/>
          </rPr>
          <t xml:space="preserve">
For standard Shutters in Fauxwood Designer Eco 
Standard 77mm Hinges will be used.
For standard Shutters in Fauxwood Designer Eco Plus, 
Fauxwood Designer Eco Night &amp; Luvre
Standard 90mm Hinges will be used.
The Pivot Hinged Colour options are;
White
Stainless Steel
Please refer to the Shutter Manual. 
</t>
        </r>
        <r>
          <rPr>
            <i/>
            <sz val="8"/>
            <color indexed="81"/>
            <rFont val="Tahoma"/>
            <family val="2"/>
          </rPr>
          <t>Stainless Steel Surcharge applies.</t>
        </r>
      </text>
    </comment>
    <comment ref="X22" authorId="0" shapeId="0" xr:uid="{6A25969F-F23D-4695-87B5-7D24E4A564F6}">
      <text>
        <r>
          <rPr>
            <sz val="8"/>
            <color indexed="81"/>
            <rFont val="Tahoma"/>
            <family val="2"/>
          </rPr>
          <t>Please Note: 
If Closed option is chosen then the blades 
can be damaged if they are left open 
when Sliding the Panel.
Open is not an option for 3 Tracks.</t>
        </r>
      </text>
    </comment>
    <comment ref="Y22" authorId="0" shapeId="0" xr:uid="{15E274C4-4A33-4F96-957A-903689FB72B9}">
      <text>
        <r>
          <rPr>
            <sz val="8"/>
            <color indexed="81"/>
            <rFont val="Tahoma"/>
            <family val="2"/>
          </rPr>
          <t>If any T Posts are required then the measurements 
must be supplied under the next columns.
Measurements should be made from the left.
A Flat (Unbeaded) T Post can be ordered to match 
the Flat Stile Shutter in the Stile &amp; T Post column.</t>
        </r>
      </text>
    </comment>
    <comment ref="AC22" authorId="0" shapeId="0" xr:uid="{F5F98A83-1082-40DC-8619-C8B558785748}">
      <text>
        <r>
          <rPr>
            <sz val="8"/>
            <color indexed="81"/>
            <rFont val="Tahoma"/>
            <family val="2"/>
          </rPr>
          <t>The Stile &amp; T Post 
options are;
Default (Beaded)
Flat Stile &amp; T Post
A Flat (unbeaded) Small L Frame can be ordered 
under the Frame Type.</t>
        </r>
      </text>
    </comment>
    <comment ref="AD22" authorId="0" shapeId="0" xr:uid="{D47E6979-0AC7-4162-AC4C-CE71802EBBD4}">
      <text>
        <r>
          <rPr>
            <sz val="8"/>
            <color indexed="81"/>
            <rFont val="Tahoma"/>
            <family val="2"/>
          </rPr>
          <t xml:space="preserve">The Designer Eco,  
Designer Eco Plus &amp; Luvre
Fluffy Strip options are;
No
Yes
Fluffy Strip is supplied with the Fauxwood Designer Eco Night Shutter.
</t>
        </r>
        <r>
          <rPr>
            <i/>
            <sz val="8"/>
            <color indexed="81"/>
            <rFont val="Tahoma"/>
            <family val="2"/>
          </rPr>
          <t>Fluffy Strip Surcharge applies.</t>
        </r>
      </text>
    </comment>
    <comment ref="C23" authorId="0" shapeId="0" xr:uid="{1E088BE9-668E-49B2-BB04-44E1588F33EF}">
      <text>
        <r>
          <rPr>
            <sz val="8"/>
            <color indexed="81"/>
            <rFont val="Tahoma"/>
            <family val="2"/>
          </rPr>
          <t xml:space="preserve">Minimum Width is 180mm.
Maximum Fauxwood Standard Size 
Width is 650mm.
Maximum Fauxwood Designer Eco Width with 
63mm Blades is 900mm.
Maximum Fauxwood Designer Eco Width with 
89mm Blades is 900mm.
Maximum Fauxwood Designer Eco Plus Width with 
63mm Blades is 950mm.
Maximum Fauxwood Designer Eco Plus Width with 
89mm Blades is 950mm.
Maximum Fauxwood Designer Eco Night 
Width is 650mm.
Maximum Luvre Width is 950mm.
Fauxwood Designer Eco &amp; 
Fauxwood Designer Eco Plus Panels 
with a Width larger than 650mm will require 
Aluminium Inserts.
Conditions apply.
</t>
        </r>
        <r>
          <rPr>
            <i/>
            <sz val="8"/>
            <color indexed="81"/>
            <rFont val="Tahoma"/>
            <family val="2"/>
          </rPr>
          <t>Please note: 
Larger Panels may sometimes require lifting in to the frame.</t>
        </r>
      </text>
    </comment>
    <comment ref="D23" authorId="0" shapeId="0" xr:uid="{F2C4A86A-2546-42F0-B778-B3D37881B99A}">
      <text>
        <r>
          <rPr>
            <sz val="8"/>
            <color indexed="81"/>
            <rFont val="Tahoma"/>
            <family val="2"/>
          </rPr>
          <t>Minimum Height is 350mm.
Maximum Fauxwood Height is 2600mm.</t>
        </r>
      </text>
    </comment>
    <comment ref="E23" authorId="0" shapeId="0" xr:uid="{CCE64FE8-7087-49A4-9D5F-27F8394E1DAF}">
      <text>
        <r>
          <rPr>
            <sz val="8"/>
            <color indexed="81"/>
            <rFont val="Tahoma"/>
            <family val="2"/>
          </rPr>
          <t xml:space="preserve">In - Inside or Reveal Fit
Out - Outside or Face Fit
Alternative Option:
MS - Make Size
Panel Only Option
</t>
        </r>
        <r>
          <rPr>
            <i/>
            <sz val="8"/>
            <color indexed="81"/>
            <rFont val="Tahoma"/>
            <family val="2"/>
          </rPr>
          <t>(Used for specific requirements only)</t>
        </r>
      </text>
    </comment>
    <comment ref="F23" authorId="0" shapeId="0" xr:uid="{3739356F-D33A-437A-9AFA-18995D8E2B68}">
      <text>
        <r>
          <rPr>
            <sz val="8"/>
            <color indexed="81"/>
            <rFont val="Tahoma"/>
            <family val="2"/>
          </rPr>
          <t>Quantity is the number of Panels 
within the opening. 
If ordering Make Size (MS), 
this will be the number of Panels 
at this size.</t>
        </r>
      </text>
    </comment>
    <comment ref="G23" authorId="0" shapeId="0" xr:uid="{BF0FF7C4-1BB7-489F-973D-F89B5E0542EE}">
      <text>
        <r>
          <rPr>
            <sz val="8"/>
            <color indexed="81"/>
            <rFont val="Tahoma"/>
            <family val="2"/>
          </rPr>
          <t>Fauxwood Designer Eco will be made with the standard profile 
Bottom Rail,  Mid Rail &amp; Top Rail.
Fauxwood Designer Eco Plus will be made with the 
reinforced curved profile Bottom Rail, Mid Rail &amp; Top Rail.
Fauxwood Designer Eco Night will be made with the 
curved grooved profile Bottom Rail, Mid Rail &amp; Top Rail.
Luvre will be made with the reinforced
curved profile Bottom Rail, Mid Rail &amp; Top Rail.
Fauxwood Designer Eco Plus, Fauxwood Designer Eco Night &amp; Luvre 
Surcharge applies.</t>
        </r>
      </text>
    </comment>
    <comment ref="H23" authorId="0" shapeId="0" xr:uid="{DC2DECB7-7CDC-4AE2-9A12-B55A1E31284C}">
      <text>
        <r>
          <rPr>
            <sz val="8"/>
            <color indexed="81"/>
            <rFont val="Tahoma"/>
            <family val="2"/>
          </rPr>
          <t xml:space="preserve">Fauxwood Designer Colours options available;
Standard Colours;
Bright White
Classic White
Snow White
Super White
Vanilla
Specialty Colours;
Ceylon
Earl Grey
French White
Infinite White
Polar White
Quiet White
Snow Gum Grey
Snowy Mountains White
</t>
        </r>
        <r>
          <rPr>
            <i/>
            <sz val="8"/>
            <color indexed="81"/>
            <rFont val="Tahoma"/>
            <family val="2"/>
          </rPr>
          <t>Specialty Colours Surcharge applies.</t>
        </r>
        <r>
          <rPr>
            <sz val="8"/>
            <color indexed="81"/>
            <rFont val="Tahoma"/>
            <family val="2"/>
          </rPr>
          <t xml:space="preserve">
Luvre with Therme &amp; Scratch Resistant Paint 
Colours options available;
Snow White
Super White
</t>
        </r>
      </text>
    </comment>
    <comment ref="J23" authorId="0" shapeId="0" xr:uid="{364DA9E6-67B8-4773-86BA-4636ABAC0682}">
      <text>
        <r>
          <rPr>
            <sz val="8"/>
            <color indexed="81"/>
            <rFont val="Tahoma"/>
            <family val="2"/>
          </rPr>
          <t>Fauxwood Designer Eco &amp; 
Fauxwood Designer Eco Plus 
Blade sizes options are;
63mm
89mm
Fauxwood Designer Eco Night  
Blade sizes options are;
92mm
Luvre Blade sizes options are;
89mm
114mm</t>
        </r>
      </text>
    </comment>
    <comment ref="K23" authorId="0" shapeId="0" xr:uid="{37B70DB3-9350-4663-A5B1-E1D1157FE1A7}">
      <text>
        <r>
          <rPr>
            <sz val="8"/>
            <color indexed="81"/>
            <rFont val="Tahoma"/>
            <family val="2"/>
          </rPr>
          <t>Mid Rail is required on Fauxwood Panels over 1500mm.
Cell will highlight yellow when Mid Rail is required.
Only one Critical Mid Rail is allowed.
A Mid Rail that is not marked "Critical" may be moved up or down 
up to 40mm to stop any gaps and increase/decrease the blade quantity.
Fauxwood Designer Eco will be made with the standard profile 
Bottom Rail,  Mid Rail &amp; Top Rail.
Fauxwood Designer Eco Plus will be made with the 
reinforced curved profile Bottom Rail, Mid Rail &amp; Top Rail.
Fauxwood Designer Eco Night will be made with the 
curved grooved profile Bottom Rail, Mid Rail &amp; Top Rail.
Luvre will be made with the reinforced
curved profile Bottom Rail, Mid Rail &amp; Top Rail.
Fauxwood Designer Eco Plus, Fauxwood Designer Eco Night &amp; Luvre Surcharge applies.</t>
        </r>
      </text>
    </comment>
    <comment ref="L23" authorId="0" shapeId="0" xr:uid="{4EF0ED5B-B51D-48E0-BB7A-B7244E74A5F2}">
      <text>
        <r>
          <rPr>
            <sz val="8"/>
            <color indexed="81"/>
            <rFont val="Tahoma"/>
            <family val="2"/>
          </rPr>
          <t xml:space="preserve">The Fauxwood Designer Eco, 
Fauxwood Designer Eco Plus 
&amp; Luvre Window Type options are;
Standard
Bay Window
Corner Window
Door Cut Out
Shaped Arch
Shaped Hexagon
Shaped Octagon
Shaped Oval
Shaped Parallelogram
Shaped Raked
Shaped Round
Shaped Sunburst
Shaped Triangle
These Shapes are not available
with the Rack &amp; Pinion Tiltrod;
Shaped Arch
Shaped Hexagon
Shaped Octagon
Shaped Oval
Shaped Round
Shaped Sunburst
The Fauxwood Designer Eco Night Window Type 
options are;
Standard
Bay Window
Corner Window
</t>
        </r>
        <r>
          <rPr>
            <i/>
            <sz val="8"/>
            <color indexed="81"/>
            <rFont val="Tahoma"/>
            <family val="2"/>
          </rPr>
          <t xml:space="preserve">
</t>
        </r>
        <r>
          <rPr>
            <sz val="8"/>
            <color indexed="81"/>
            <rFont val="Tahoma"/>
            <family val="2"/>
          </rPr>
          <t>Shaped Shutters will need the Panel Layout to be 
compatible with the Hidden Tiltrod system.</t>
        </r>
      </text>
    </comment>
    <comment ref="M23" authorId="0" shapeId="0" xr:uid="{5DC030F0-0BD7-4ABC-B347-FE145A8FC93C}">
      <text>
        <r>
          <rPr>
            <sz val="8"/>
            <color indexed="81"/>
            <rFont val="Tahoma"/>
            <family val="2"/>
          </rPr>
          <t>Mounting Method is dependent 
on  MS, In Or Out &amp; Product.
For IN &amp; Fauxwood Designer Eco,  
Fauxwood Designer Eco Plus 
&amp; Luvre the options are;
Double Hinged
Fixed
Hinged
Pivot Hinged
Sliding
Track Bi Fold
For OUT &amp; Fauxwood Designer Eco,  
Fauxwood Designer Eco Plus 
&amp; Luvre the options are;
Double Hinged
Hinged
Pivot Hinged
Sliding
Track Bi Fold
For IN &amp; Fauxwood Designer Eco Night 
the options are;
Fixed
Hinged
For OUT &amp; Fauxwood Designer Eco Night 
the options are;
Fixed
Hinged
For MS, the options are;
N/A
Pivot Hinged is not recommended for 
Designer Eco Plus or Luvre.</t>
        </r>
      </text>
    </comment>
    <comment ref="N23" authorId="0" shapeId="0" xr:uid="{865DABA3-17C6-453B-B661-9403870D102F}">
      <text>
        <r>
          <rPr>
            <sz val="8"/>
            <color indexed="81"/>
            <rFont val="Tahoma"/>
            <family val="2"/>
          </rPr>
          <t>For Sliding Track System options are;
Top Hung (Original System)
Bottom Wheel (New System)
The Top Hung (Original System) uses 
Top Wheels Mounting.
The Bottom Wheel (New System) uses a 
U Channel at the Top and 
Wheels at the Bottom.
This option cannot have a Floor Guide or 
Track On Board.</t>
        </r>
      </text>
    </comment>
    <comment ref="O23" authorId="0" shapeId="0" xr:uid="{AE291C71-85E8-4287-8965-0360D9788B56}">
      <text>
        <r>
          <rPr>
            <sz val="8"/>
            <color indexed="81"/>
            <rFont val="Tahoma"/>
            <family val="2"/>
          </rPr>
          <t>Please refer to the Shutter Manual 
when selecting Layout Code.
The list provides the most common options, 
which are dependent on Mounting Method.
More complex Layout Codes can still be entered manually.</t>
        </r>
      </text>
    </comment>
    <comment ref="P23" authorId="0" shapeId="0" xr:uid="{C126C843-3363-4878-83E8-F2B6B3DECE32}">
      <text>
        <r>
          <rPr>
            <sz val="8"/>
            <color indexed="81"/>
            <rFont val="Tahoma"/>
            <family val="2"/>
          </rPr>
          <t>Frame Type is dependent on
 Mounting Method.
If a Flat (unbeaded) Small L Frame 
is selected, a matching Stile &amp; T Post can be 
ordered in the Stile &amp; T Post column.</t>
        </r>
      </text>
    </comment>
    <comment ref="V23" authorId="0" shapeId="0" xr:uid="{EAD97D2A-6154-4757-ADA1-FD9A4B3CCB15}">
      <text>
        <r>
          <rPr>
            <sz val="8"/>
            <color indexed="81"/>
            <rFont val="Tahoma"/>
            <family val="2"/>
          </rPr>
          <t>This option is dependent on the 
Material &amp; Product 
and will only be available once this 
option is selected.
For Fauxwood Designer Eco
&amp; Fauxwood Designer Eco Plus 
the options are;
Hidden
Centre
Off-Set
Rack &amp; Pinion
These Shapes are not available
with the Rack &amp; Pinion Tiltrod;
Shaped Arch
Shaped Hexagon
Shaped Octagon
Shaped Oval
Shaped Round
Shaped Sunburst
For Fauxwood Designer Eco Night
the options are;
Hidden
For Luvre the options are;
Hidden</t>
        </r>
      </text>
    </comment>
    <comment ref="W23" authorId="0" shapeId="0" xr:uid="{F5887034-AC1C-4BA8-AD27-EA179D9F7B02}">
      <text>
        <r>
          <rPr>
            <sz val="8"/>
            <color indexed="81"/>
            <rFont val="Tahoma"/>
            <family val="2"/>
          </rPr>
          <t xml:space="preserve">If no Hinge Colour is selected, 
then the default Hinge Colour and hardware 
will be supplied. 
The Hinge Colour options are;
Default
Stainless Steel
N/A
When Default is selected, the Hinge will be supplied 
as per the matching Hinge Colour list below;
Shutter Colour - </t>
        </r>
        <r>
          <rPr>
            <i/>
            <sz val="8"/>
            <color indexed="81"/>
            <rFont val="Tahoma"/>
            <family val="2"/>
          </rPr>
          <t>Hinge Colour</t>
        </r>
        <r>
          <rPr>
            <sz val="8"/>
            <color indexed="81"/>
            <rFont val="Tahoma"/>
            <family val="2"/>
          </rPr>
          <t xml:space="preserve">
   Bright White - </t>
        </r>
        <r>
          <rPr>
            <i/>
            <sz val="8"/>
            <color indexed="81"/>
            <rFont val="Tahoma"/>
            <family val="2"/>
          </rPr>
          <t>Bright White</t>
        </r>
        <r>
          <rPr>
            <sz val="8"/>
            <color indexed="81"/>
            <rFont val="Tahoma"/>
            <family val="2"/>
          </rPr>
          <t xml:space="preserve">
Classic White - </t>
        </r>
        <r>
          <rPr>
            <i/>
            <sz val="8"/>
            <color indexed="81"/>
            <rFont val="Tahoma"/>
            <family val="2"/>
          </rPr>
          <t>White</t>
        </r>
        <r>
          <rPr>
            <sz val="8"/>
            <color indexed="81"/>
            <rFont val="Tahoma"/>
            <family val="2"/>
          </rPr>
          <t xml:space="preserve">
Snow White - </t>
        </r>
        <r>
          <rPr>
            <i/>
            <sz val="8"/>
            <color indexed="81"/>
            <rFont val="Tahoma"/>
            <family val="2"/>
          </rPr>
          <t>Snow White</t>
        </r>
        <r>
          <rPr>
            <sz val="8"/>
            <color indexed="81"/>
            <rFont val="Tahoma"/>
            <family val="2"/>
          </rPr>
          <t xml:space="preserve">
Super White - </t>
        </r>
        <r>
          <rPr>
            <i/>
            <sz val="8"/>
            <color indexed="81"/>
            <rFont val="Tahoma"/>
            <family val="2"/>
          </rPr>
          <t>Snow White</t>
        </r>
        <r>
          <rPr>
            <sz val="8"/>
            <color indexed="81"/>
            <rFont val="Tahoma"/>
            <family val="2"/>
          </rPr>
          <t xml:space="preserve">
Vanilla - </t>
        </r>
        <r>
          <rPr>
            <i/>
            <sz val="8"/>
            <color indexed="81"/>
            <rFont val="Tahoma"/>
            <family val="2"/>
          </rPr>
          <t xml:space="preserve">Ivory
</t>
        </r>
        <r>
          <rPr>
            <sz val="8"/>
            <color indexed="81"/>
            <rFont val="Tahoma"/>
            <family val="2"/>
          </rPr>
          <t xml:space="preserve">Ceylon - </t>
        </r>
        <r>
          <rPr>
            <i/>
            <sz val="8"/>
            <color indexed="81"/>
            <rFont val="Tahoma"/>
            <family val="2"/>
          </rPr>
          <t>Ceylon</t>
        </r>
        <r>
          <rPr>
            <sz val="8"/>
            <color indexed="81"/>
            <rFont val="Tahoma"/>
            <family val="2"/>
          </rPr>
          <t xml:space="preserve">
Earl Grey - </t>
        </r>
        <r>
          <rPr>
            <i/>
            <sz val="8"/>
            <color indexed="81"/>
            <rFont val="Tahoma"/>
            <family val="2"/>
          </rPr>
          <t>Earl Grey</t>
        </r>
        <r>
          <rPr>
            <sz val="8"/>
            <color indexed="81"/>
            <rFont val="Tahoma"/>
            <family val="2"/>
          </rPr>
          <t xml:space="preserve">
French White - </t>
        </r>
        <r>
          <rPr>
            <i/>
            <sz val="8"/>
            <color indexed="81"/>
            <rFont val="Tahoma"/>
            <family val="2"/>
          </rPr>
          <t>French White</t>
        </r>
        <r>
          <rPr>
            <sz val="8"/>
            <color indexed="81"/>
            <rFont val="Tahoma"/>
            <family val="2"/>
          </rPr>
          <t xml:space="preserve">
Infinite White -</t>
        </r>
        <r>
          <rPr>
            <i/>
            <sz val="8"/>
            <color indexed="81"/>
            <rFont val="Tahoma"/>
            <family val="2"/>
          </rPr>
          <t xml:space="preserve"> Infinite White</t>
        </r>
        <r>
          <rPr>
            <sz val="8"/>
            <color indexed="81"/>
            <rFont val="Tahoma"/>
            <family val="2"/>
          </rPr>
          <t xml:space="preserve">
Polar White - </t>
        </r>
        <r>
          <rPr>
            <i/>
            <sz val="8"/>
            <color indexed="81"/>
            <rFont val="Tahoma"/>
            <family val="2"/>
          </rPr>
          <t>Polar White</t>
        </r>
        <r>
          <rPr>
            <sz val="8"/>
            <color indexed="81"/>
            <rFont val="Tahoma"/>
            <family val="2"/>
          </rPr>
          <t xml:space="preserve">
Quiet White - </t>
        </r>
        <r>
          <rPr>
            <i/>
            <sz val="8"/>
            <color indexed="81"/>
            <rFont val="Tahoma"/>
            <family val="2"/>
          </rPr>
          <t>Quiet White</t>
        </r>
        <r>
          <rPr>
            <sz val="8"/>
            <color indexed="81"/>
            <rFont val="Tahoma"/>
            <family val="2"/>
          </rPr>
          <t xml:space="preserve">
Snow Gum Grey - </t>
        </r>
        <r>
          <rPr>
            <i/>
            <sz val="8"/>
            <color indexed="81"/>
            <rFont val="Tahoma"/>
            <family val="2"/>
          </rPr>
          <t>Snow Gum Grey</t>
        </r>
        <r>
          <rPr>
            <sz val="8"/>
            <color indexed="81"/>
            <rFont val="Tahoma"/>
            <family val="2"/>
          </rPr>
          <t xml:space="preserve">
Snowy Mountains White - </t>
        </r>
        <r>
          <rPr>
            <i/>
            <sz val="8"/>
            <color indexed="81"/>
            <rFont val="Tahoma"/>
            <family val="2"/>
          </rPr>
          <t>Snowy Mountains White</t>
        </r>
        <r>
          <rPr>
            <sz val="8"/>
            <color indexed="81"/>
            <rFont val="Tahoma"/>
            <family val="2"/>
          </rPr>
          <t xml:space="preserve">
For standard Shutters in Fauxwood Designer Eco 
Standard 77mm Hinges will be used.
For standard Shutters in Fauxwood Designer Eco Plus, 
Fauxwood Designer Eco Night &amp; Luvre
Standard 90mm Hinges will be used.
The Pivot Hinged Colour options are;
White
Stainless Steel
Please refer to the Shutter Manual. 
</t>
        </r>
        <r>
          <rPr>
            <i/>
            <sz val="8"/>
            <color indexed="81"/>
            <rFont val="Tahoma"/>
            <family val="2"/>
          </rPr>
          <t>Stainless Steel Surcharge applies.</t>
        </r>
      </text>
    </comment>
    <comment ref="X23" authorId="0" shapeId="0" xr:uid="{024F54D6-003E-4145-B50A-01EE3FC47E6A}">
      <text>
        <r>
          <rPr>
            <sz val="8"/>
            <color indexed="81"/>
            <rFont val="Tahoma"/>
            <family val="2"/>
          </rPr>
          <t>Please Note: 
If Closed option is chosen then the blades 
can be damaged if they are left open 
when Sliding the Panel.
Open is not an option for 3 Tracks.</t>
        </r>
      </text>
    </comment>
    <comment ref="Y23" authorId="0" shapeId="0" xr:uid="{F1A08E54-6A56-4DF5-8BE1-F54A113958BB}">
      <text>
        <r>
          <rPr>
            <sz val="8"/>
            <color indexed="81"/>
            <rFont val="Tahoma"/>
            <family val="2"/>
          </rPr>
          <t>If any T Posts are required then the measurements 
must be supplied under the next columns.
Measurements should be made from the left.
A Flat (Unbeaded) T Post can be ordered to match 
the Flat Stile Shutter in the Stile &amp; T Post column.</t>
        </r>
      </text>
    </comment>
    <comment ref="AC23" authorId="0" shapeId="0" xr:uid="{99B46684-3D5A-4A93-8361-E2BEF883BE01}">
      <text>
        <r>
          <rPr>
            <sz val="8"/>
            <color indexed="81"/>
            <rFont val="Tahoma"/>
            <family val="2"/>
          </rPr>
          <t>The Stile &amp; T Post 
options are;
Default (Beaded)
Flat Stile &amp; T Post
A Flat (unbeaded) Small L Frame can be ordered 
under the Frame Type.</t>
        </r>
      </text>
    </comment>
    <comment ref="AD23" authorId="0" shapeId="0" xr:uid="{1337AD92-BF08-46E3-9F4F-C089117EEF7B}">
      <text>
        <r>
          <rPr>
            <sz val="8"/>
            <color indexed="81"/>
            <rFont val="Tahoma"/>
            <family val="2"/>
          </rPr>
          <t xml:space="preserve">The Designer Eco,  
Designer Eco Plus &amp; Luvre
Fluffy Strip options are;
No
Yes
Fluffy Strip is supplied with the Fauxwood Designer Eco Night Shutter.
</t>
        </r>
        <r>
          <rPr>
            <i/>
            <sz val="8"/>
            <color indexed="81"/>
            <rFont val="Tahoma"/>
            <family val="2"/>
          </rPr>
          <t>Fluffy Strip Surcharge applies.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PWD</author>
  </authors>
  <commentList>
    <comment ref="C8" authorId="0" shapeId="0" xr:uid="{B717A2ED-4CD3-4A36-8936-0CEC0576D257}">
      <text>
        <r>
          <rPr>
            <sz val="8"/>
            <color indexed="81"/>
            <rFont val="Tahoma"/>
            <family val="2"/>
          </rPr>
          <t xml:space="preserve">Minimum Width is 180mm.
Maximum Fauxwood Standard Size 
Width is 650mm.
Maximum Fauxwood Designer Eco Width with 
63mm Blades is 900mm.
Maximum Fauxwood Designer Eco Width with 
89mm Blades is 900mm.
Maximum Fauxwood Designer Eco Plus Width with 
63mm Blades is 950mm.
Maximum Fauxwood Designer Eco Plus Width with 
89mm Blades is 950mm.
Maximum Fauxwood Designer Eco Night 
Width is 650mm.
Maximum Luvre Width is 950mm.
Fauxwood Designer Eco &amp; 
Fauxwood Designer Eco Plus Panels 
with a Width larger than 650mm will require 
Aluminium Inserts.
Conditions apply.
</t>
        </r>
        <r>
          <rPr>
            <i/>
            <sz val="8"/>
            <color indexed="81"/>
            <rFont val="Tahoma"/>
            <family val="2"/>
          </rPr>
          <t>Please note: 
Larger Panels may sometimes require lifting in to the frame.</t>
        </r>
      </text>
    </comment>
    <comment ref="D8" authorId="0" shapeId="0" xr:uid="{04614FD6-D584-4089-B620-3B3C0C7C633B}">
      <text>
        <r>
          <rPr>
            <sz val="8"/>
            <color indexed="81"/>
            <rFont val="Tahoma"/>
            <family val="2"/>
          </rPr>
          <t>Minimum Height is 350mm.
Maximum Fauxwood Height is 2600mm.</t>
        </r>
      </text>
    </comment>
    <comment ref="E8" authorId="0" shapeId="0" xr:uid="{579293BA-8F75-4C90-8F3D-D4C2A6DF4899}">
      <text>
        <r>
          <rPr>
            <sz val="8"/>
            <color indexed="81"/>
            <rFont val="Tahoma"/>
            <family val="2"/>
          </rPr>
          <t xml:space="preserve">In - Inside or Reveal Fit
Out - Outside or Face Fit
Alternative Option:
MS - Make Size
Panel Only Option
</t>
        </r>
        <r>
          <rPr>
            <i/>
            <sz val="8"/>
            <color indexed="81"/>
            <rFont val="Tahoma"/>
            <family val="2"/>
          </rPr>
          <t>(Used for specific requirements only)</t>
        </r>
      </text>
    </comment>
    <comment ref="F8" authorId="0" shapeId="0" xr:uid="{2556BF37-BEF6-40D1-9A35-4134874C3E89}">
      <text>
        <r>
          <rPr>
            <sz val="8"/>
            <color indexed="81"/>
            <rFont val="Tahoma"/>
            <family val="2"/>
          </rPr>
          <t>Quantity is the number of Panels 
within the opening. 
If ordering Make Size (MS), 
this will be the number of Panels 
at this size.</t>
        </r>
      </text>
    </comment>
    <comment ref="G8" authorId="0" shapeId="0" xr:uid="{926ECDC0-AADD-4077-8998-1633115B2B35}">
      <text>
        <r>
          <rPr>
            <sz val="8"/>
            <color indexed="81"/>
            <rFont val="Tahoma"/>
            <family val="2"/>
          </rPr>
          <t>Fauxwood Designer Eco will be made with the standard profile 
Bottom Rail,  Mid Rail &amp; Top Rail.
Fauxwood Designer Eco Plus will be made with the 
reinforced curved profile Bottom Rail, Mid Rail &amp; Top Rail.
Fauxwood Designer Eco Night will be made with the 
curved grooved profile Bottom Rail, Mid Rail &amp; Top Rail.
Luvre will be made with the reinforced
curved profile Bottom Rail, Mid Rail &amp; Top Rail.
Fauxwood Designer Eco Plus, Fauxwood Designer Eco Night &amp; Luvre 
Surcharge applies.</t>
        </r>
      </text>
    </comment>
    <comment ref="H8" authorId="0" shapeId="0" xr:uid="{4E4DA0F0-9B4E-434C-AFD9-F057ECDFCF7E}">
      <text>
        <r>
          <rPr>
            <sz val="8"/>
            <color indexed="81"/>
            <rFont val="Tahoma"/>
            <family val="2"/>
          </rPr>
          <t xml:space="preserve">Fauxwood Designer Colours options available;
Standard Colours;
Bright White
Classic White
Snow White
Super White
Vanilla
Specialty Colours;
Ceylon
Earl Grey
French White
Infinite White
Polar White
Quiet White
Snow Gum Grey
Snowy Mountains White
</t>
        </r>
        <r>
          <rPr>
            <i/>
            <sz val="8"/>
            <color indexed="81"/>
            <rFont val="Tahoma"/>
            <family val="2"/>
          </rPr>
          <t>Specialty Colours Surcharge applies.</t>
        </r>
        <r>
          <rPr>
            <sz val="8"/>
            <color indexed="81"/>
            <rFont val="Tahoma"/>
            <family val="2"/>
          </rPr>
          <t xml:space="preserve">
Luvre with Therme &amp; Scratch Resistant Paint 
Colours options available;
Snow White
Super White
</t>
        </r>
      </text>
    </comment>
    <comment ref="J8" authorId="0" shapeId="0" xr:uid="{EBAB9A23-2004-4455-ABCD-B9D849BA3285}">
      <text>
        <r>
          <rPr>
            <sz val="8"/>
            <color indexed="81"/>
            <rFont val="Tahoma"/>
            <family val="2"/>
          </rPr>
          <t>Fauxwood Designer Eco &amp; 
Fauxwood Designer Eco Plus 
Blade sizes options are;
63mm
89mm
Fauxwood Designer Eco Night  
Blade sizes options are;
92mm
Luvre Blade sizes options are;
89mm
114mm</t>
        </r>
      </text>
    </comment>
    <comment ref="K8" authorId="0" shapeId="0" xr:uid="{36662451-8FE7-4978-93D5-BEA3E3EC088C}">
      <text>
        <r>
          <rPr>
            <sz val="8"/>
            <color indexed="81"/>
            <rFont val="Tahoma"/>
            <family val="2"/>
          </rPr>
          <t>Mid Rail is required on Fauxwood Panels over 1500mm.
Cell will highlight yellow when Mid Rail is required.
Only one Critical Mid Rail is allowed.
A Mid Rail that is not marked "Critical" may be moved up or down 
up to 40mm to stop any gaps and increase/decrease the blade quantity.
Fauxwood Designer Eco will be made with the standard profile 
Bottom Rail,  Mid Rail &amp; Top Rail.
Fauxwood Designer Eco Plus will be made with the 
reinforced curved profile Bottom Rail, Mid Rail &amp; Top Rail.
Fauxwood Designer Eco Night will be made with the 
curved grooved profile Bottom Rail, Mid Rail &amp; Top Rail.
Luvre will be made with the reinforced
curved profile Bottom Rail, Mid Rail &amp; Top Rail.
Fauxwood Designer Eco Plus, Fauxwood Designer Eco Night &amp; Luvre Surcharge applies.</t>
        </r>
      </text>
    </comment>
    <comment ref="L8" authorId="0" shapeId="0" xr:uid="{1B8CF0EF-347B-4E4B-A965-609FFABE283A}">
      <text>
        <r>
          <rPr>
            <sz val="8"/>
            <color indexed="81"/>
            <rFont val="Tahoma"/>
            <family val="2"/>
          </rPr>
          <t xml:space="preserve">The Fauxwood Designer Eco, 
Fauxwood Designer Eco Plus 
&amp; Luvre Window Type options are;
Standard
Bay Window
Corner Window
Door Cut Out
Shaped Arch
Shaped Hexagon
Shaped Octagon
Shaped Oval
Shaped Parallelogram
Shaped Raked
Shaped Round
Shaped Sunburst
Shaped Triangle
These Shapes are not available
with the Rack &amp; Pinion Tiltrod;
Shaped Arch
Shaped Hexagon
Shaped Octagon
Shaped Oval
Shaped Round
Shaped Sunburst
The Fauxwood Designer Eco Night Window Type 
options are;
Standard
Bay Window
Corner Window
</t>
        </r>
        <r>
          <rPr>
            <i/>
            <sz val="8"/>
            <color indexed="81"/>
            <rFont val="Tahoma"/>
            <family val="2"/>
          </rPr>
          <t xml:space="preserve">
</t>
        </r>
        <r>
          <rPr>
            <sz val="8"/>
            <color indexed="81"/>
            <rFont val="Tahoma"/>
            <family val="2"/>
          </rPr>
          <t>Shaped Shutters will need the Panel Layout to be 
compatible with the Hidden Tiltrod system.</t>
        </r>
      </text>
    </comment>
    <comment ref="M8" authorId="0" shapeId="0" xr:uid="{85869F39-39EF-4DAC-8961-08CECC81655E}">
      <text>
        <r>
          <rPr>
            <sz val="8"/>
            <color indexed="81"/>
            <rFont val="Tahoma"/>
            <family val="2"/>
          </rPr>
          <t>Mounting Method is dependent 
on  MS, In Or Out &amp; Product.
For IN &amp; Fauxwood Designer Eco,  
Fauxwood Designer Eco Plus 
&amp; Luvre the options are;
Double Hinged
Fixed
Hinged
Pivot Hinged
Sliding
Track Bi Fold
For OUT &amp; Fauxwood Designer Eco,  
Fauxwood Designer Eco Plus 
&amp; Luvre the options are;
Double Hinged
Hinged
Pivot Hinged
Sliding
Track Bi Fold
For IN &amp; Fauxwood Designer Eco Night 
the options are;
Fixed
Hinged
For OUT &amp; Fauxwood Designer Eco Night 
the options are;
Fixed
Hinged
For MS, the options are;
N/A
Pivot Hinged is not recommended for 
Designer Eco Plus or Luvre.</t>
        </r>
      </text>
    </comment>
    <comment ref="N8" authorId="0" shapeId="0" xr:uid="{26DA389F-9501-4D51-84C3-A72C437D8BA6}">
      <text>
        <r>
          <rPr>
            <sz val="8"/>
            <color indexed="81"/>
            <rFont val="Tahoma"/>
            <family val="2"/>
          </rPr>
          <t>For Sliding Track System options are;
Top Hung (Original System)
Bottom Wheel (New System)
The Top Hung (Original System) uses 
Top Wheels Mounting.
The Bottom Wheel (New System) uses a 
U Channel at the Top and 
Wheels at the Bottom.
This option cannot have a Floor Guide or 
Track On Board.</t>
        </r>
      </text>
    </comment>
    <comment ref="O8" authorId="0" shapeId="0" xr:uid="{2F135972-B110-4D11-9A36-BEAFF607B75B}">
      <text>
        <r>
          <rPr>
            <sz val="8"/>
            <color indexed="81"/>
            <rFont val="Tahoma"/>
            <family val="2"/>
          </rPr>
          <t>Please refer to the Shutter Manual 
when selecting Layout Code.
The list provides the most common options, 
which are dependent on Mounting Method.
More complex Layout Codes can still be entered manually.</t>
        </r>
      </text>
    </comment>
    <comment ref="P8" authorId="0" shapeId="0" xr:uid="{148FBA44-0A84-4CD9-BE23-359B4750AC32}">
      <text>
        <r>
          <rPr>
            <sz val="8"/>
            <color indexed="81"/>
            <rFont val="Tahoma"/>
            <family val="2"/>
          </rPr>
          <t>Frame Type is dependent on
 Mounting Method.
If a Flat (unbeaded) Small L Frame 
is selected, a matching Stile &amp; T Post can be 
ordered in the Stile &amp; T Post column.</t>
        </r>
      </text>
    </comment>
    <comment ref="V8" authorId="0" shapeId="0" xr:uid="{DA3450F6-D347-49CF-8816-87E334A0CAE6}">
      <text>
        <r>
          <rPr>
            <sz val="8"/>
            <color indexed="81"/>
            <rFont val="Tahoma"/>
            <family val="2"/>
          </rPr>
          <t>This option is dependent on the 
Material &amp; Product 
and will only be available once this 
option is selected.
For Fauxwood Designer Eco
&amp; Fauxwood Designer Eco Plus 
the options are;
Hidden
Centre
Off-Set
Rack &amp; Pinion
These Shapes are not available
with the Rack &amp; Pinion Tiltrod;
Shaped Arch
Shaped Hexagon
Shaped Octagon
Shaped Oval
Shaped Round
Shaped Sunburst
For Fauxwood Designer Eco Night
the options are;
Hidden
For Luvre the options are;
Hidden</t>
        </r>
      </text>
    </comment>
    <comment ref="W8" authorId="0" shapeId="0" xr:uid="{BC23F39F-4C75-4D99-BFAC-4E3FD2409F7C}">
      <text>
        <r>
          <rPr>
            <sz val="8"/>
            <color indexed="81"/>
            <rFont val="Tahoma"/>
            <family val="2"/>
          </rPr>
          <t xml:space="preserve">If no Hinge Colour is selected, 
then the default Hinge Colour and hardware 
will be supplied. 
The Hinge Colour options are;
Default
Stainless Steel
N/A
When Default is selected, the Hinge will be supplied 
as per the matching Hinge Colour list below;
Shutter Colour - </t>
        </r>
        <r>
          <rPr>
            <i/>
            <sz val="8"/>
            <color indexed="81"/>
            <rFont val="Tahoma"/>
            <family val="2"/>
          </rPr>
          <t>Hinge Colour</t>
        </r>
        <r>
          <rPr>
            <sz val="8"/>
            <color indexed="81"/>
            <rFont val="Tahoma"/>
            <family val="2"/>
          </rPr>
          <t xml:space="preserve">
   Bright White - </t>
        </r>
        <r>
          <rPr>
            <i/>
            <sz val="8"/>
            <color indexed="81"/>
            <rFont val="Tahoma"/>
            <family val="2"/>
          </rPr>
          <t>Bright White</t>
        </r>
        <r>
          <rPr>
            <sz val="8"/>
            <color indexed="81"/>
            <rFont val="Tahoma"/>
            <family val="2"/>
          </rPr>
          <t xml:space="preserve">
Classic White - </t>
        </r>
        <r>
          <rPr>
            <i/>
            <sz val="8"/>
            <color indexed="81"/>
            <rFont val="Tahoma"/>
            <family val="2"/>
          </rPr>
          <t>White</t>
        </r>
        <r>
          <rPr>
            <sz val="8"/>
            <color indexed="81"/>
            <rFont val="Tahoma"/>
            <family val="2"/>
          </rPr>
          <t xml:space="preserve">
Snow White - </t>
        </r>
        <r>
          <rPr>
            <i/>
            <sz val="8"/>
            <color indexed="81"/>
            <rFont val="Tahoma"/>
            <family val="2"/>
          </rPr>
          <t>Snow White</t>
        </r>
        <r>
          <rPr>
            <sz val="8"/>
            <color indexed="81"/>
            <rFont val="Tahoma"/>
            <family val="2"/>
          </rPr>
          <t xml:space="preserve">
Super White - </t>
        </r>
        <r>
          <rPr>
            <i/>
            <sz val="8"/>
            <color indexed="81"/>
            <rFont val="Tahoma"/>
            <family val="2"/>
          </rPr>
          <t>Snow White</t>
        </r>
        <r>
          <rPr>
            <sz val="8"/>
            <color indexed="81"/>
            <rFont val="Tahoma"/>
            <family val="2"/>
          </rPr>
          <t xml:space="preserve">
Vanilla - </t>
        </r>
        <r>
          <rPr>
            <i/>
            <sz val="8"/>
            <color indexed="81"/>
            <rFont val="Tahoma"/>
            <family val="2"/>
          </rPr>
          <t xml:space="preserve">Ivory
</t>
        </r>
        <r>
          <rPr>
            <sz val="8"/>
            <color indexed="81"/>
            <rFont val="Tahoma"/>
            <family val="2"/>
          </rPr>
          <t xml:space="preserve">Ceylon - </t>
        </r>
        <r>
          <rPr>
            <i/>
            <sz val="8"/>
            <color indexed="81"/>
            <rFont val="Tahoma"/>
            <family val="2"/>
          </rPr>
          <t>Ceylon</t>
        </r>
        <r>
          <rPr>
            <sz val="8"/>
            <color indexed="81"/>
            <rFont val="Tahoma"/>
            <family val="2"/>
          </rPr>
          <t xml:space="preserve">
Earl Grey - </t>
        </r>
        <r>
          <rPr>
            <i/>
            <sz val="8"/>
            <color indexed="81"/>
            <rFont val="Tahoma"/>
            <family val="2"/>
          </rPr>
          <t>Earl Grey</t>
        </r>
        <r>
          <rPr>
            <sz val="8"/>
            <color indexed="81"/>
            <rFont val="Tahoma"/>
            <family val="2"/>
          </rPr>
          <t xml:space="preserve">
French White - </t>
        </r>
        <r>
          <rPr>
            <i/>
            <sz val="8"/>
            <color indexed="81"/>
            <rFont val="Tahoma"/>
            <family val="2"/>
          </rPr>
          <t>French White</t>
        </r>
        <r>
          <rPr>
            <sz val="8"/>
            <color indexed="81"/>
            <rFont val="Tahoma"/>
            <family val="2"/>
          </rPr>
          <t xml:space="preserve">
Infinite White -</t>
        </r>
        <r>
          <rPr>
            <i/>
            <sz val="8"/>
            <color indexed="81"/>
            <rFont val="Tahoma"/>
            <family val="2"/>
          </rPr>
          <t xml:space="preserve"> Infinite White</t>
        </r>
        <r>
          <rPr>
            <sz val="8"/>
            <color indexed="81"/>
            <rFont val="Tahoma"/>
            <family val="2"/>
          </rPr>
          <t xml:space="preserve">
Polar White - </t>
        </r>
        <r>
          <rPr>
            <i/>
            <sz val="8"/>
            <color indexed="81"/>
            <rFont val="Tahoma"/>
            <family val="2"/>
          </rPr>
          <t>Polar White</t>
        </r>
        <r>
          <rPr>
            <sz val="8"/>
            <color indexed="81"/>
            <rFont val="Tahoma"/>
            <family val="2"/>
          </rPr>
          <t xml:space="preserve">
Quiet White - </t>
        </r>
        <r>
          <rPr>
            <i/>
            <sz val="8"/>
            <color indexed="81"/>
            <rFont val="Tahoma"/>
            <family val="2"/>
          </rPr>
          <t>Quiet White</t>
        </r>
        <r>
          <rPr>
            <sz val="8"/>
            <color indexed="81"/>
            <rFont val="Tahoma"/>
            <family val="2"/>
          </rPr>
          <t xml:space="preserve">
Snow Gum Grey - </t>
        </r>
        <r>
          <rPr>
            <i/>
            <sz val="8"/>
            <color indexed="81"/>
            <rFont val="Tahoma"/>
            <family val="2"/>
          </rPr>
          <t>Snow Gum Grey</t>
        </r>
        <r>
          <rPr>
            <sz val="8"/>
            <color indexed="81"/>
            <rFont val="Tahoma"/>
            <family val="2"/>
          </rPr>
          <t xml:space="preserve">
Snowy Mountains White - </t>
        </r>
        <r>
          <rPr>
            <i/>
            <sz val="8"/>
            <color indexed="81"/>
            <rFont val="Tahoma"/>
            <family val="2"/>
          </rPr>
          <t>Snowy Mountains White</t>
        </r>
        <r>
          <rPr>
            <sz val="8"/>
            <color indexed="81"/>
            <rFont val="Tahoma"/>
            <family val="2"/>
          </rPr>
          <t xml:space="preserve">
For standard Shutters in Fauxwood Designer Eco 
Standard 77mm Hinges will be used.
For standard Shutters in Fauxwood Designer Eco Plus, 
Fauxwood Designer Eco Night &amp; Luvre
Standard 90mm Hinges will be used.
The Pivot Hinged Colour options are;
White
Stainless Steel
Please refer to the Shutter Manual. 
</t>
        </r>
        <r>
          <rPr>
            <i/>
            <sz val="8"/>
            <color indexed="81"/>
            <rFont val="Tahoma"/>
            <family val="2"/>
          </rPr>
          <t>Stainless Steel Surcharge applies.</t>
        </r>
      </text>
    </comment>
    <comment ref="X8" authorId="0" shapeId="0" xr:uid="{36FF4BBC-0E2E-4666-B198-2CEC65428640}">
      <text>
        <r>
          <rPr>
            <sz val="8"/>
            <color indexed="81"/>
            <rFont val="Tahoma"/>
            <family val="2"/>
          </rPr>
          <t>Please Note: 
If Closed option is chosen then the blades 
can be damaged if they are left open 
when Sliding the Panel.
Open is not an option for 3 Tracks.</t>
        </r>
      </text>
    </comment>
    <comment ref="Y8" authorId="0" shapeId="0" xr:uid="{14C9452D-2B31-4AEB-A556-8391B9C95A0E}">
      <text>
        <r>
          <rPr>
            <sz val="8"/>
            <color indexed="81"/>
            <rFont val="Tahoma"/>
            <family val="2"/>
          </rPr>
          <t>If any T Posts are required then the measurements 
must be supplied under the next columns.
Measurements should be made from the left.
A Flat (Unbeaded) T Post can be ordered to match 
the Flat Stile Shutter in the Stile &amp; T Post column.</t>
        </r>
      </text>
    </comment>
    <comment ref="AC8" authorId="0" shapeId="0" xr:uid="{21015BAB-57EE-4B45-A41F-65E554A8517C}">
      <text>
        <r>
          <rPr>
            <sz val="8"/>
            <color indexed="81"/>
            <rFont val="Tahoma"/>
            <family val="2"/>
          </rPr>
          <t>The Stile &amp; T Post 
options are;
Default (Beaded)
Flat Stile &amp; T Post
A Flat (unbeaded) Small L Frame can be ordered 
under the Frame Type.</t>
        </r>
      </text>
    </comment>
    <comment ref="AD8" authorId="0" shapeId="0" xr:uid="{D9CC4AD8-5E9D-407B-AF6C-73D6ECCC8A02}">
      <text>
        <r>
          <rPr>
            <sz val="8"/>
            <color indexed="81"/>
            <rFont val="Tahoma"/>
            <family val="2"/>
          </rPr>
          <t xml:space="preserve">The Designer Eco,  
Designer Eco Plus &amp; Luvre
Fluffy Strip options are;
No
Yes
Fluffy Strip is supplied with the Fauxwood Designer Eco Night Shutter.
</t>
        </r>
        <r>
          <rPr>
            <i/>
            <sz val="8"/>
            <color indexed="81"/>
            <rFont val="Tahoma"/>
            <family val="2"/>
          </rPr>
          <t>Fluffy Strip Surcharge applies.</t>
        </r>
      </text>
    </comment>
    <comment ref="AT8" authorId="0" shapeId="0" xr:uid="{A4B812FB-97B1-4CC3-A691-D6FA0B16A132}">
      <text>
        <r>
          <rPr>
            <sz val="8"/>
            <color indexed="81"/>
            <rFont val="Tahoma"/>
            <family val="2"/>
          </rPr>
          <t>The Hinge Quantity is  calculated automatically.</t>
        </r>
      </text>
    </comment>
    <comment ref="BH8" authorId="0" shapeId="0" xr:uid="{53A2B85F-D218-4238-ABFF-0D01B901A10C}">
      <text>
        <r>
          <rPr>
            <sz val="8"/>
            <color indexed="81"/>
            <rFont val="Tahoma"/>
            <family val="2"/>
          </rPr>
          <t>Please Note: 
If Closed option is chosen then the blades can be damaged if they are left open 
when sliding the Panel.</t>
        </r>
      </text>
    </comment>
    <comment ref="C9" authorId="0" shapeId="0" xr:uid="{82446EAE-181B-4660-8446-2EF836D9A7FF}">
      <text>
        <r>
          <rPr>
            <sz val="8"/>
            <color indexed="81"/>
            <rFont val="Tahoma"/>
            <family val="2"/>
          </rPr>
          <t xml:space="preserve">Minimum Width is 180mm.
Maximum Fauxwood Standard Size 
Width is 650mm.
Maximum Fauxwood Designer Eco Width with 
63mm Blades is 900mm.
Maximum Fauxwood Designer Eco Width with 
89mm Blades is 900mm.
Maximum Fauxwood Designer Eco Plus Width with 
63mm Blades is 950mm.
Maximum Fauxwood Designer Eco Plus Width with 
89mm Blades is 950mm.
Maximum Fauxwood Designer Eco Night 
Width is 650mm.
Maximum Luvre Width is 950mm.
Fauxwood Designer Eco &amp; 
Fauxwood Designer Eco Plus Panels 
with a Width larger than 650mm will require 
Aluminium Inserts.
Conditions apply.
</t>
        </r>
        <r>
          <rPr>
            <i/>
            <sz val="8"/>
            <color indexed="81"/>
            <rFont val="Tahoma"/>
            <family val="2"/>
          </rPr>
          <t>Please note: 
Larger Panels may sometimes require lifting in to the frame.</t>
        </r>
      </text>
    </comment>
    <comment ref="D9" authorId="0" shapeId="0" xr:uid="{A8D35062-CC39-4CA5-9D92-345168628CD2}">
      <text>
        <r>
          <rPr>
            <sz val="8"/>
            <color indexed="81"/>
            <rFont val="Tahoma"/>
            <family val="2"/>
          </rPr>
          <t>Minimum Height is 350mm.
Maximum Fauxwood Height is 2600mm.</t>
        </r>
      </text>
    </comment>
    <comment ref="E9" authorId="0" shapeId="0" xr:uid="{09D6ADFF-51D9-4912-BF0D-539F13D94DA4}">
      <text>
        <r>
          <rPr>
            <sz val="8"/>
            <color indexed="81"/>
            <rFont val="Tahoma"/>
            <family val="2"/>
          </rPr>
          <t xml:space="preserve">In - Inside or Reveal Fit
Out - Outside or Face Fit
Alternative Option:
MS - Make Size
Panel Only Option
</t>
        </r>
        <r>
          <rPr>
            <i/>
            <sz val="8"/>
            <color indexed="81"/>
            <rFont val="Tahoma"/>
            <family val="2"/>
          </rPr>
          <t>(Used for specific requirements only)</t>
        </r>
      </text>
    </comment>
    <comment ref="F9" authorId="0" shapeId="0" xr:uid="{1C23CBD4-5B2B-4C62-AA32-0A38A30784ED}">
      <text>
        <r>
          <rPr>
            <sz val="8"/>
            <color indexed="81"/>
            <rFont val="Tahoma"/>
            <family val="2"/>
          </rPr>
          <t>Quantity is the number of Panels 
within the opening. 
If ordering Make Size (MS), 
this will be the number of Panels 
at this size.</t>
        </r>
      </text>
    </comment>
    <comment ref="G9" authorId="0" shapeId="0" xr:uid="{699CC197-8F10-4015-BABD-3E18BADEA190}">
      <text>
        <r>
          <rPr>
            <sz val="8"/>
            <color indexed="81"/>
            <rFont val="Tahoma"/>
            <family val="2"/>
          </rPr>
          <t>Fauxwood Designer Eco will be made with the standard profile 
Bottom Rail,  Mid Rail &amp; Top Rail.
Fauxwood Designer Eco Plus will be made with the 
reinforced curved profile Bottom Rail, Mid Rail &amp; Top Rail.
Fauxwood Designer Eco Night will be made with the 
curved grooved profile Bottom Rail, Mid Rail &amp; Top Rail.
Luvre will be made with the reinforced
curved profile Bottom Rail, Mid Rail &amp; Top Rail.
Fauxwood Designer Eco Plus, Fauxwood Designer Eco Night &amp; Luvre 
Surcharge applies.</t>
        </r>
      </text>
    </comment>
    <comment ref="H9" authorId="0" shapeId="0" xr:uid="{CD512E59-B1FD-40DC-812A-1BC10352700A}">
      <text>
        <r>
          <rPr>
            <sz val="8"/>
            <color indexed="81"/>
            <rFont val="Tahoma"/>
            <family val="2"/>
          </rPr>
          <t xml:space="preserve">Fauxwood Designer Colours options available;
Standard Colours;
Bright White
Classic White
Snow White
Super White
Vanilla
Specialty Colours;
Ceylon
Earl Grey
French White
Infinite White
Polar White
Quiet White
Snow Gum Grey
Snowy Mountains White
</t>
        </r>
        <r>
          <rPr>
            <i/>
            <sz val="8"/>
            <color indexed="81"/>
            <rFont val="Tahoma"/>
            <family val="2"/>
          </rPr>
          <t>Specialty Colours Surcharge applies.</t>
        </r>
        <r>
          <rPr>
            <sz val="8"/>
            <color indexed="81"/>
            <rFont val="Tahoma"/>
            <family val="2"/>
          </rPr>
          <t xml:space="preserve">
Luvre with Therme &amp; Scratch Resistant Paint 
Colours options available;
Snow White
Super White
</t>
        </r>
      </text>
    </comment>
    <comment ref="J9" authorId="0" shapeId="0" xr:uid="{B764FD0D-3950-44DA-AF5D-1538E53083D0}">
      <text>
        <r>
          <rPr>
            <sz val="8"/>
            <color indexed="81"/>
            <rFont val="Tahoma"/>
            <family val="2"/>
          </rPr>
          <t>Fauxwood Designer Eco &amp; 
Fauxwood Designer Eco Plus 
Blade sizes options are;
63mm
89mm
Fauxwood Designer Eco Night  
Blade sizes options are;
92mm
Luvre Blade sizes options are;
89mm
114mm</t>
        </r>
      </text>
    </comment>
    <comment ref="K9" authorId="0" shapeId="0" xr:uid="{2F3F6731-ABE5-4FD2-8506-D17D12A30571}">
      <text>
        <r>
          <rPr>
            <sz val="8"/>
            <color indexed="81"/>
            <rFont val="Tahoma"/>
            <family val="2"/>
          </rPr>
          <t>Mid Rail is required on Fauxwood Panels over 1500mm.
Cell will highlight yellow when Mid Rail is required.
Only one Critical Mid Rail is allowed.
A Mid Rail that is not marked "Critical" may be moved up or down 
up to 40mm to stop any gaps and increase/decrease the blade quantity.
Fauxwood Designer Eco will be made with the standard profile 
Bottom Rail,  Mid Rail &amp; Top Rail.
Fauxwood Designer Eco Plus will be made with the 
reinforced curved profile Bottom Rail, Mid Rail &amp; Top Rail.
Fauxwood Designer Eco Night will be made with the 
curved grooved profile Bottom Rail, Mid Rail &amp; Top Rail.
Luvre will be made with the reinforced
curved profile Bottom Rail, Mid Rail &amp; Top Rail.
Fauxwood Designer Eco Plus, Fauxwood Designer Eco Night &amp; Luvre Surcharge applies.</t>
        </r>
      </text>
    </comment>
    <comment ref="L9" authorId="0" shapeId="0" xr:uid="{BB9473AE-D90E-45B1-A3C9-04699AE6F08B}">
      <text>
        <r>
          <rPr>
            <sz val="8"/>
            <color indexed="81"/>
            <rFont val="Tahoma"/>
            <family val="2"/>
          </rPr>
          <t xml:space="preserve">The Fauxwood Designer Eco, 
Fauxwood Designer Eco Plus 
&amp; Luvre Window Type options are;
Standard
Bay Window
Corner Window
Door Cut Out
Shaped Arch
Shaped Hexagon
Shaped Octagon
Shaped Oval
Shaped Parallelogram
Shaped Raked
Shaped Round
Shaped Sunburst
Shaped Triangle
These Shapes are not available
with the Rack &amp; Pinion Tiltrod;
Shaped Arch
Shaped Hexagon
Shaped Octagon
Shaped Oval
Shaped Round
Shaped Sunburst
The Fauxwood Designer Eco Night Window Type 
options are;
Standard
Bay Window
Corner Window
</t>
        </r>
        <r>
          <rPr>
            <i/>
            <sz val="8"/>
            <color indexed="81"/>
            <rFont val="Tahoma"/>
            <family val="2"/>
          </rPr>
          <t xml:space="preserve">
</t>
        </r>
        <r>
          <rPr>
            <sz val="8"/>
            <color indexed="81"/>
            <rFont val="Tahoma"/>
            <family val="2"/>
          </rPr>
          <t>Shaped Shutters will need the Panel Layout to be 
compatible with the Hidden Tiltrod system.</t>
        </r>
      </text>
    </comment>
    <comment ref="M9" authorId="0" shapeId="0" xr:uid="{678FDD0E-9444-4EA9-8F8E-C9CC5A3B9D65}">
      <text>
        <r>
          <rPr>
            <sz val="8"/>
            <color indexed="81"/>
            <rFont val="Tahoma"/>
            <family val="2"/>
          </rPr>
          <t>Mounting Method is dependent 
on  MS, In Or Out &amp; Product.
For IN &amp; Fauxwood Designer Eco,  
Fauxwood Designer Eco Plus 
&amp; Luvre the options are;
Double Hinged
Fixed
Hinged
Pivot Hinged
Sliding
Track Bi Fold
For OUT &amp; Fauxwood Designer Eco,  
Fauxwood Designer Eco Plus 
&amp; Luvre the options are;
Double Hinged
Hinged
Pivot Hinged
Sliding
Track Bi Fold
For IN &amp; Fauxwood Designer Eco Night 
the options are;
Fixed
Hinged
For OUT &amp; Fauxwood Designer Eco Night 
the options are;
Fixed
Hinged
For MS, the options are;
N/A
Pivot Hinged is not recommended for 
Designer Eco Plus or Luvre.</t>
        </r>
      </text>
    </comment>
    <comment ref="N9" authorId="0" shapeId="0" xr:uid="{8D35D812-E720-404A-A19E-99B2DBC1C149}">
      <text>
        <r>
          <rPr>
            <sz val="8"/>
            <color indexed="81"/>
            <rFont val="Tahoma"/>
            <family val="2"/>
          </rPr>
          <t>For Sliding Track System options are;
Top Hung (Original System)
Bottom Wheel (New System)
The Top Hung (Original System) uses 
Top Wheels Mounting.
The Bottom Wheel (New System) uses a 
U Channel at the Top and 
Wheels at the Bottom.
This option cannot have a Floor Guide or 
Track On Board.</t>
        </r>
      </text>
    </comment>
    <comment ref="O9" authorId="0" shapeId="0" xr:uid="{CFC78A34-BE71-4973-ABC8-FF50F4B75F61}">
      <text>
        <r>
          <rPr>
            <sz val="8"/>
            <color indexed="81"/>
            <rFont val="Tahoma"/>
            <family val="2"/>
          </rPr>
          <t>Please refer to the Shutter Manual 
when selecting Layout Code.
The list provides the most common options, 
which are dependent on Mounting Method.
More complex Layout Codes can still be entered manually.</t>
        </r>
      </text>
    </comment>
    <comment ref="P9" authorId="0" shapeId="0" xr:uid="{5D463A72-0051-468A-9608-5F6E5428E0E7}">
      <text>
        <r>
          <rPr>
            <sz val="8"/>
            <color indexed="81"/>
            <rFont val="Tahoma"/>
            <family val="2"/>
          </rPr>
          <t>Frame Type is dependent on
 Mounting Method.
If a Flat (unbeaded) Small L Frame 
is selected, a matching Stile &amp; T Post can be 
ordered in the Stile &amp; T Post column.</t>
        </r>
      </text>
    </comment>
    <comment ref="V9" authorId="0" shapeId="0" xr:uid="{9E2D70D4-045C-4FD9-988F-6E9557ECF3A2}">
      <text>
        <r>
          <rPr>
            <sz val="8"/>
            <color indexed="81"/>
            <rFont val="Tahoma"/>
            <family val="2"/>
          </rPr>
          <t>This option is dependent on the 
Material &amp; Product 
and will only be available once this 
option is selected.
For Fauxwood Designer Eco
&amp; Fauxwood Designer Eco Plus 
the options are;
Hidden
Centre
Off-Set
Rack &amp; Pinion
These Shapes are not available
with the Rack &amp; Pinion Tiltrod;
Shaped Arch
Shaped Hexagon
Shaped Octagon
Shaped Oval
Shaped Round
Shaped Sunburst
For Fauxwood Designer Eco Night
the options are;
Hidden
For Luvre the options are;
Hidden</t>
        </r>
      </text>
    </comment>
    <comment ref="W9" authorId="0" shapeId="0" xr:uid="{4FDF85FE-26FA-419D-AB43-792E6C96A6C9}">
      <text>
        <r>
          <rPr>
            <sz val="8"/>
            <color indexed="81"/>
            <rFont val="Tahoma"/>
            <family val="2"/>
          </rPr>
          <t xml:space="preserve">If no Hinge Colour is selected, 
then the default Hinge Colour and hardware 
will be supplied. 
The Hinge Colour options are;
Default
Stainless Steel
N/A
When Default is selected, the Hinge will be supplied 
as per the matching Hinge Colour list below;
Shutter Colour - </t>
        </r>
        <r>
          <rPr>
            <i/>
            <sz val="8"/>
            <color indexed="81"/>
            <rFont val="Tahoma"/>
            <family val="2"/>
          </rPr>
          <t>Hinge Colour</t>
        </r>
        <r>
          <rPr>
            <sz val="8"/>
            <color indexed="81"/>
            <rFont val="Tahoma"/>
            <family val="2"/>
          </rPr>
          <t xml:space="preserve">
   Bright White - </t>
        </r>
        <r>
          <rPr>
            <i/>
            <sz val="8"/>
            <color indexed="81"/>
            <rFont val="Tahoma"/>
            <family val="2"/>
          </rPr>
          <t>Bright White</t>
        </r>
        <r>
          <rPr>
            <sz val="8"/>
            <color indexed="81"/>
            <rFont val="Tahoma"/>
            <family val="2"/>
          </rPr>
          <t xml:space="preserve">
Classic White - </t>
        </r>
        <r>
          <rPr>
            <i/>
            <sz val="8"/>
            <color indexed="81"/>
            <rFont val="Tahoma"/>
            <family val="2"/>
          </rPr>
          <t>White</t>
        </r>
        <r>
          <rPr>
            <sz val="8"/>
            <color indexed="81"/>
            <rFont val="Tahoma"/>
            <family val="2"/>
          </rPr>
          <t xml:space="preserve">
Snow White - </t>
        </r>
        <r>
          <rPr>
            <i/>
            <sz val="8"/>
            <color indexed="81"/>
            <rFont val="Tahoma"/>
            <family val="2"/>
          </rPr>
          <t>Snow White</t>
        </r>
        <r>
          <rPr>
            <sz val="8"/>
            <color indexed="81"/>
            <rFont val="Tahoma"/>
            <family val="2"/>
          </rPr>
          <t xml:space="preserve">
Super White - </t>
        </r>
        <r>
          <rPr>
            <i/>
            <sz val="8"/>
            <color indexed="81"/>
            <rFont val="Tahoma"/>
            <family val="2"/>
          </rPr>
          <t>Snow White</t>
        </r>
        <r>
          <rPr>
            <sz val="8"/>
            <color indexed="81"/>
            <rFont val="Tahoma"/>
            <family val="2"/>
          </rPr>
          <t xml:space="preserve">
Vanilla - </t>
        </r>
        <r>
          <rPr>
            <i/>
            <sz val="8"/>
            <color indexed="81"/>
            <rFont val="Tahoma"/>
            <family val="2"/>
          </rPr>
          <t xml:space="preserve">Ivory
</t>
        </r>
        <r>
          <rPr>
            <sz val="8"/>
            <color indexed="81"/>
            <rFont val="Tahoma"/>
            <family val="2"/>
          </rPr>
          <t xml:space="preserve">Ceylon - </t>
        </r>
        <r>
          <rPr>
            <i/>
            <sz val="8"/>
            <color indexed="81"/>
            <rFont val="Tahoma"/>
            <family val="2"/>
          </rPr>
          <t>Ceylon</t>
        </r>
        <r>
          <rPr>
            <sz val="8"/>
            <color indexed="81"/>
            <rFont val="Tahoma"/>
            <family val="2"/>
          </rPr>
          <t xml:space="preserve">
Earl Grey - </t>
        </r>
        <r>
          <rPr>
            <i/>
            <sz val="8"/>
            <color indexed="81"/>
            <rFont val="Tahoma"/>
            <family val="2"/>
          </rPr>
          <t>Earl Grey</t>
        </r>
        <r>
          <rPr>
            <sz val="8"/>
            <color indexed="81"/>
            <rFont val="Tahoma"/>
            <family val="2"/>
          </rPr>
          <t xml:space="preserve">
French White - </t>
        </r>
        <r>
          <rPr>
            <i/>
            <sz val="8"/>
            <color indexed="81"/>
            <rFont val="Tahoma"/>
            <family val="2"/>
          </rPr>
          <t>French White</t>
        </r>
        <r>
          <rPr>
            <sz val="8"/>
            <color indexed="81"/>
            <rFont val="Tahoma"/>
            <family val="2"/>
          </rPr>
          <t xml:space="preserve">
Infinite White -</t>
        </r>
        <r>
          <rPr>
            <i/>
            <sz val="8"/>
            <color indexed="81"/>
            <rFont val="Tahoma"/>
            <family val="2"/>
          </rPr>
          <t xml:space="preserve"> Infinite White</t>
        </r>
        <r>
          <rPr>
            <sz val="8"/>
            <color indexed="81"/>
            <rFont val="Tahoma"/>
            <family val="2"/>
          </rPr>
          <t xml:space="preserve">
Polar White - </t>
        </r>
        <r>
          <rPr>
            <i/>
            <sz val="8"/>
            <color indexed="81"/>
            <rFont val="Tahoma"/>
            <family val="2"/>
          </rPr>
          <t>Polar White</t>
        </r>
        <r>
          <rPr>
            <sz val="8"/>
            <color indexed="81"/>
            <rFont val="Tahoma"/>
            <family val="2"/>
          </rPr>
          <t xml:space="preserve">
Quiet White - </t>
        </r>
        <r>
          <rPr>
            <i/>
            <sz val="8"/>
            <color indexed="81"/>
            <rFont val="Tahoma"/>
            <family val="2"/>
          </rPr>
          <t>Quiet White</t>
        </r>
        <r>
          <rPr>
            <sz val="8"/>
            <color indexed="81"/>
            <rFont val="Tahoma"/>
            <family val="2"/>
          </rPr>
          <t xml:space="preserve">
Snow Gum Grey - </t>
        </r>
        <r>
          <rPr>
            <i/>
            <sz val="8"/>
            <color indexed="81"/>
            <rFont val="Tahoma"/>
            <family val="2"/>
          </rPr>
          <t>Snow Gum Grey</t>
        </r>
        <r>
          <rPr>
            <sz val="8"/>
            <color indexed="81"/>
            <rFont val="Tahoma"/>
            <family val="2"/>
          </rPr>
          <t xml:space="preserve">
Snowy Mountains White - </t>
        </r>
        <r>
          <rPr>
            <i/>
            <sz val="8"/>
            <color indexed="81"/>
            <rFont val="Tahoma"/>
            <family val="2"/>
          </rPr>
          <t>Snowy Mountains White</t>
        </r>
        <r>
          <rPr>
            <sz val="8"/>
            <color indexed="81"/>
            <rFont val="Tahoma"/>
            <family val="2"/>
          </rPr>
          <t xml:space="preserve">
For standard Shutters in Fauxwood Designer Eco 
Standard 77mm Hinges will be used.
For standard Shutters in Fauxwood Designer Eco Plus, 
Fauxwood Designer Eco Night &amp; Luvre
Standard 90mm Hinges will be used.
The Pivot Hinged Colour options are;
White
Stainless Steel
Please refer to the Shutter Manual. 
</t>
        </r>
        <r>
          <rPr>
            <i/>
            <sz val="8"/>
            <color indexed="81"/>
            <rFont val="Tahoma"/>
            <family val="2"/>
          </rPr>
          <t>Stainless Steel Surcharge applies.</t>
        </r>
      </text>
    </comment>
    <comment ref="X9" authorId="0" shapeId="0" xr:uid="{45ECC969-F4F0-47F5-89D4-272F163DDDB7}">
      <text>
        <r>
          <rPr>
            <sz val="8"/>
            <color indexed="81"/>
            <rFont val="Tahoma"/>
            <family val="2"/>
          </rPr>
          <t>Please Note: 
If Closed option is chosen then the blades 
can be damaged if they are left open 
when Sliding the Panel.
Open is not an option for 3 Tracks.</t>
        </r>
      </text>
    </comment>
    <comment ref="Y9" authorId="0" shapeId="0" xr:uid="{37A1B3D5-82CA-4E26-9AB2-482735DAC6C9}">
      <text>
        <r>
          <rPr>
            <sz val="8"/>
            <color indexed="81"/>
            <rFont val="Tahoma"/>
            <family val="2"/>
          </rPr>
          <t>If any T Posts are required then the measurements 
must be supplied under the next columns.
Measurements should be made from the left.
A Flat (Unbeaded) T Post can be ordered to match 
the Flat Stile Shutter in the Stile &amp; T Post column.</t>
        </r>
      </text>
    </comment>
    <comment ref="AC9" authorId="0" shapeId="0" xr:uid="{62DA2369-204F-438B-8B21-2AD51F02D9A9}">
      <text>
        <r>
          <rPr>
            <sz val="8"/>
            <color indexed="81"/>
            <rFont val="Tahoma"/>
            <family val="2"/>
          </rPr>
          <t>The Stile &amp; T Post 
options are;
Default (Beaded)
Flat Stile &amp; T Post
A Flat (unbeaded) Small L Frame can be ordered 
under the Frame Type.</t>
        </r>
      </text>
    </comment>
    <comment ref="AD9" authorId="0" shapeId="0" xr:uid="{F256122A-174B-4969-893C-F6EAC5C14870}">
      <text>
        <r>
          <rPr>
            <sz val="8"/>
            <color indexed="81"/>
            <rFont val="Tahoma"/>
            <family val="2"/>
          </rPr>
          <t xml:space="preserve">The Designer Eco,  
Designer Eco Plus &amp; Luvre
Fluffy Strip options are;
No
Yes
Fluffy Strip is supplied with the Fauxwood Designer Eco Night Shutter.
</t>
        </r>
        <r>
          <rPr>
            <i/>
            <sz val="8"/>
            <color indexed="81"/>
            <rFont val="Tahoma"/>
            <family val="2"/>
          </rPr>
          <t>Fluffy Strip Surcharge applies.</t>
        </r>
      </text>
    </comment>
    <comment ref="C10" authorId="0" shapeId="0" xr:uid="{77139A97-5D43-4C81-88FF-74E1CD1B5447}">
      <text>
        <r>
          <rPr>
            <sz val="8"/>
            <color indexed="81"/>
            <rFont val="Tahoma"/>
            <family val="2"/>
          </rPr>
          <t xml:space="preserve">Minimum Width is 180mm.
Maximum Fauxwood Standard Size 
Width is 650mm.
Maximum Fauxwood Designer Eco Width with 
63mm Blades is 900mm.
Maximum Fauxwood Designer Eco Width with 
89mm Blades is 900mm.
Maximum Fauxwood Designer Eco Plus Width with 
63mm Blades is 950mm.
Maximum Fauxwood Designer Eco Plus Width with 
89mm Blades is 950mm.
Maximum Fauxwood Designer Eco Night 
Width is 650mm.
Maximum Luvre Width is 950mm.
Fauxwood Designer Eco &amp; 
Fauxwood Designer Eco Plus Panels 
with a Width larger than 650mm will require 
Aluminium Inserts.
Conditions apply.
</t>
        </r>
        <r>
          <rPr>
            <i/>
            <sz val="8"/>
            <color indexed="81"/>
            <rFont val="Tahoma"/>
            <family val="2"/>
          </rPr>
          <t>Please note: 
Larger Panels may sometimes require lifting in to the frame.</t>
        </r>
      </text>
    </comment>
    <comment ref="D10" authorId="0" shapeId="0" xr:uid="{7C1FA46F-72AF-4330-8651-892F6CC15BB7}">
      <text>
        <r>
          <rPr>
            <sz val="8"/>
            <color indexed="81"/>
            <rFont val="Tahoma"/>
            <family val="2"/>
          </rPr>
          <t>Minimum Height is 350mm.
Maximum Fauxwood Height is 2600mm.</t>
        </r>
      </text>
    </comment>
    <comment ref="E10" authorId="0" shapeId="0" xr:uid="{84AF89EF-5E36-4B35-8623-698EC3265EAB}">
      <text>
        <r>
          <rPr>
            <sz val="8"/>
            <color indexed="81"/>
            <rFont val="Tahoma"/>
            <family val="2"/>
          </rPr>
          <t xml:space="preserve">In - Inside or Reveal Fit
Out - Outside or Face Fit
Alternative Option:
MS - Make Size
Panel Only Option
</t>
        </r>
        <r>
          <rPr>
            <i/>
            <sz val="8"/>
            <color indexed="81"/>
            <rFont val="Tahoma"/>
            <family val="2"/>
          </rPr>
          <t>(Used for specific requirements only)</t>
        </r>
      </text>
    </comment>
    <comment ref="F10" authorId="0" shapeId="0" xr:uid="{FD4F702D-94C8-4793-A603-1DD8775FB397}">
      <text>
        <r>
          <rPr>
            <sz val="8"/>
            <color indexed="81"/>
            <rFont val="Tahoma"/>
            <family val="2"/>
          </rPr>
          <t>Quantity is the number of Panels 
within the opening. 
If ordering Make Size (MS), 
this will be the number of Panels 
at this size.</t>
        </r>
      </text>
    </comment>
    <comment ref="G10" authorId="0" shapeId="0" xr:uid="{B930E3F8-C0FD-4ED9-A821-5F4F36447269}">
      <text>
        <r>
          <rPr>
            <sz val="8"/>
            <color indexed="81"/>
            <rFont val="Tahoma"/>
            <family val="2"/>
          </rPr>
          <t>Fauxwood Designer Eco will be made with the standard profile 
Bottom Rail,  Mid Rail &amp; Top Rail.
Fauxwood Designer Eco Plus will be made with the 
reinforced curved profile Bottom Rail, Mid Rail &amp; Top Rail.
Fauxwood Designer Eco Night will be made with the 
curved grooved profile Bottom Rail, Mid Rail &amp; Top Rail.
Luvre will be made with the reinforced
curved profile Bottom Rail, Mid Rail &amp; Top Rail.
Fauxwood Designer Eco Plus, Fauxwood Designer Eco Night &amp; Luvre 
Surcharge applies.</t>
        </r>
      </text>
    </comment>
    <comment ref="H10" authorId="0" shapeId="0" xr:uid="{EB46C8E7-A76B-40DB-8A1B-FD96740290B5}">
      <text>
        <r>
          <rPr>
            <sz val="8"/>
            <color indexed="81"/>
            <rFont val="Tahoma"/>
            <family val="2"/>
          </rPr>
          <t xml:space="preserve">Fauxwood Designer Colours options available;
Standard Colours;
Bright White
Classic White
Snow White
Super White
Vanilla
Specialty Colours;
Ceylon
Earl Grey
French White
Infinite White
Polar White
Quiet White
Snow Gum Grey
Snowy Mountains White
</t>
        </r>
        <r>
          <rPr>
            <i/>
            <sz val="8"/>
            <color indexed="81"/>
            <rFont val="Tahoma"/>
            <family val="2"/>
          </rPr>
          <t>Specialty Colours Surcharge applies.</t>
        </r>
        <r>
          <rPr>
            <sz val="8"/>
            <color indexed="81"/>
            <rFont val="Tahoma"/>
            <family val="2"/>
          </rPr>
          <t xml:space="preserve">
Luvre with Therme &amp; Scratch Resistant Paint 
Colours options available;
Snow White
Super White
</t>
        </r>
      </text>
    </comment>
    <comment ref="J10" authorId="0" shapeId="0" xr:uid="{ED71E067-5105-4037-9E9F-07BDE239B126}">
      <text>
        <r>
          <rPr>
            <sz val="8"/>
            <color indexed="81"/>
            <rFont val="Tahoma"/>
            <family val="2"/>
          </rPr>
          <t>Fauxwood Designer Eco &amp; 
Fauxwood Designer Eco Plus 
Blade sizes options are;
63mm
89mm
Fauxwood Designer Eco Night  
Blade sizes options are;
92mm
Luvre Blade sizes options are;
89mm
114mm</t>
        </r>
      </text>
    </comment>
    <comment ref="K10" authorId="0" shapeId="0" xr:uid="{B4EAA564-0206-498F-BDC1-C202DC25ACBC}">
      <text>
        <r>
          <rPr>
            <sz val="8"/>
            <color indexed="81"/>
            <rFont val="Tahoma"/>
            <family val="2"/>
          </rPr>
          <t>Mid Rail is required on Fauxwood Panels over 1500mm.
Cell will highlight yellow when Mid Rail is required.
Only one Critical Mid Rail is allowed.
A Mid Rail that is not marked "Critical" may be moved up or down 
up to 40mm to stop any gaps and increase/decrease the blade quantity.
Fauxwood Designer Eco will be made with the standard profile 
Bottom Rail,  Mid Rail &amp; Top Rail.
Fauxwood Designer Eco Plus will be made with the 
reinforced curved profile Bottom Rail, Mid Rail &amp; Top Rail.
Fauxwood Designer Eco Night will be made with the 
curved grooved profile Bottom Rail, Mid Rail &amp; Top Rail.
Luvre will be made with the reinforced
curved profile Bottom Rail, Mid Rail &amp; Top Rail.
Fauxwood Designer Eco Plus, Fauxwood Designer Eco Night &amp; Luvre Surcharge applies.</t>
        </r>
      </text>
    </comment>
    <comment ref="L10" authorId="0" shapeId="0" xr:uid="{FB5309A6-FBCC-4304-8874-92A91E1727E8}">
      <text>
        <r>
          <rPr>
            <sz val="8"/>
            <color indexed="81"/>
            <rFont val="Tahoma"/>
            <family val="2"/>
          </rPr>
          <t xml:space="preserve">The Fauxwood Designer Eco, 
Fauxwood Designer Eco Plus 
&amp; Luvre Window Type options are;
Standard
Bay Window
Corner Window
Door Cut Out
Shaped Arch
Shaped Hexagon
Shaped Octagon
Shaped Oval
Shaped Parallelogram
Shaped Raked
Shaped Round
Shaped Sunburst
Shaped Triangle
These Shapes are not available
with the Rack &amp; Pinion Tiltrod;
Shaped Arch
Shaped Hexagon
Shaped Octagon
Shaped Oval
Shaped Round
Shaped Sunburst
The Fauxwood Designer Eco Night Window Type 
options are;
Standard
Bay Window
Corner Window
</t>
        </r>
        <r>
          <rPr>
            <i/>
            <sz val="8"/>
            <color indexed="81"/>
            <rFont val="Tahoma"/>
            <family val="2"/>
          </rPr>
          <t xml:space="preserve">
</t>
        </r>
        <r>
          <rPr>
            <sz val="8"/>
            <color indexed="81"/>
            <rFont val="Tahoma"/>
            <family val="2"/>
          </rPr>
          <t>Shaped Shutters will need the Panel Layout to be 
compatible with the Hidden Tiltrod system.</t>
        </r>
      </text>
    </comment>
    <comment ref="M10" authorId="0" shapeId="0" xr:uid="{870C8B0E-F9C9-4833-B958-576BC131C087}">
      <text>
        <r>
          <rPr>
            <sz val="8"/>
            <color indexed="81"/>
            <rFont val="Tahoma"/>
            <family val="2"/>
          </rPr>
          <t>Mounting Method is dependent 
on  MS, In Or Out &amp; Product.
For IN &amp; Fauxwood Designer Eco,  
Fauxwood Designer Eco Plus 
&amp; Luvre the options are;
Double Hinged
Fixed
Hinged
Pivot Hinged
Sliding
Track Bi Fold
For OUT &amp; Fauxwood Designer Eco,  
Fauxwood Designer Eco Plus 
&amp; Luvre the options are;
Double Hinged
Hinged
Pivot Hinged
Sliding
Track Bi Fold
For IN &amp; Fauxwood Designer Eco Night 
the options are;
Fixed
Hinged
For OUT &amp; Fauxwood Designer Eco Night 
the options are;
Fixed
Hinged
For MS, the options are;
N/A
Pivot Hinged is not recommended for 
Designer Eco Plus or Luvre.</t>
        </r>
      </text>
    </comment>
    <comment ref="N10" authorId="0" shapeId="0" xr:uid="{F3CD3C1B-F9FA-4390-924B-7535C735541F}">
      <text>
        <r>
          <rPr>
            <sz val="8"/>
            <color indexed="81"/>
            <rFont val="Tahoma"/>
            <family val="2"/>
          </rPr>
          <t>For Sliding Track System options are;
Top Hung (Original System)
Bottom Wheel (New System)
The Top Hung (Original System) uses 
Top Wheels Mounting.
The Bottom Wheel (New System) uses a 
U Channel at the Top and 
Wheels at the Bottom.
This option cannot have a Floor Guide or 
Track On Board.</t>
        </r>
      </text>
    </comment>
    <comment ref="O10" authorId="0" shapeId="0" xr:uid="{C213BAC6-6359-4801-8A8C-37CBFD6A1507}">
      <text>
        <r>
          <rPr>
            <sz val="8"/>
            <color indexed="81"/>
            <rFont val="Tahoma"/>
            <family val="2"/>
          </rPr>
          <t>Please refer to the Shutter Manual 
when selecting Layout Code.
The list provides the most common options, 
which are dependent on Mounting Method.
More complex Layout Codes can still be entered manually.</t>
        </r>
      </text>
    </comment>
    <comment ref="P10" authorId="0" shapeId="0" xr:uid="{44EA56F6-B7D2-4D05-89B2-542F1B7B5683}">
      <text>
        <r>
          <rPr>
            <sz val="8"/>
            <color indexed="81"/>
            <rFont val="Tahoma"/>
            <family val="2"/>
          </rPr>
          <t>Frame Type is dependent on
 Mounting Method.
If a Flat (unbeaded) Small L Frame 
is selected, a matching Stile &amp; T Post can be 
ordered in the Stile &amp; T Post column.</t>
        </r>
      </text>
    </comment>
    <comment ref="V10" authorId="0" shapeId="0" xr:uid="{C739475D-9ECA-47FC-A1AB-672B01831271}">
      <text>
        <r>
          <rPr>
            <sz val="8"/>
            <color indexed="81"/>
            <rFont val="Tahoma"/>
            <family val="2"/>
          </rPr>
          <t>This option is dependent on the 
Material &amp; Product 
and will only be available once this 
option is selected.
For Fauxwood Designer Eco
&amp; Fauxwood Designer Eco Plus 
the options are;
Hidden
Centre
Off-Set
Rack &amp; Pinion
These Shapes are not available
with the Rack &amp; Pinion Tiltrod;
Shaped Arch
Shaped Hexagon
Shaped Octagon
Shaped Oval
Shaped Round
Shaped Sunburst
For Fauxwood Designer Eco Night
the options are;
Hidden
For Luvre the options are;
Hidden</t>
        </r>
      </text>
    </comment>
    <comment ref="W10" authorId="0" shapeId="0" xr:uid="{93B7171B-E410-4032-816D-7E345B30FF1E}">
      <text>
        <r>
          <rPr>
            <sz val="8"/>
            <color indexed="81"/>
            <rFont val="Tahoma"/>
            <family val="2"/>
          </rPr>
          <t xml:space="preserve">If no Hinge Colour is selected, 
then the default Hinge Colour and hardware 
will be supplied. 
The Hinge Colour options are;
Default
Stainless Steel
N/A
When Default is selected, the Hinge will be supplied 
as per the matching Hinge Colour list below;
Shutter Colour - </t>
        </r>
        <r>
          <rPr>
            <i/>
            <sz val="8"/>
            <color indexed="81"/>
            <rFont val="Tahoma"/>
            <family val="2"/>
          </rPr>
          <t>Hinge Colour</t>
        </r>
        <r>
          <rPr>
            <sz val="8"/>
            <color indexed="81"/>
            <rFont val="Tahoma"/>
            <family val="2"/>
          </rPr>
          <t xml:space="preserve">
   Bright White - </t>
        </r>
        <r>
          <rPr>
            <i/>
            <sz val="8"/>
            <color indexed="81"/>
            <rFont val="Tahoma"/>
            <family val="2"/>
          </rPr>
          <t>Bright White</t>
        </r>
        <r>
          <rPr>
            <sz val="8"/>
            <color indexed="81"/>
            <rFont val="Tahoma"/>
            <family val="2"/>
          </rPr>
          <t xml:space="preserve">
Classic White - </t>
        </r>
        <r>
          <rPr>
            <i/>
            <sz val="8"/>
            <color indexed="81"/>
            <rFont val="Tahoma"/>
            <family val="2"/>
          </rPr>
          <t>White</t>
        </r>
        <r>
          <rPr>
            <sz val="8"/>
            <color indexed="81"/>
            <rFont val="Tahoma"/>
            <family val="2"/>
          </rPr>
          <t xml:space="preserve">
Snow White - </t>
        </r>
        <r>
          <rPr>
            <i/>
            <sz val="8"/>
            <color indexed="81"/>
            <rFont val="Tahoma"/>
            <family val="2"/>
          </rPr>
          <t>Snow White</t>
        </r>
        <r>
          <rPr>
            <sz val="8"/>
            <color indexed="81"/>
            <rFont val="Tahoma"/>
            <family val="2"/>
          </rPr>
          <t xml:space="preserve">
Super White - </t>
        </r>
        <r>
          <rPr>
            <i/>
            <sz val="8"/>
            <color indexed="81"/>
            <rFont val="Tahoma"/>
            <family val="2"/>
          </rPr>
          <t>Snow White</t>
        </r>
        <r>
          <rPr>
            <sz val="8"/>
            <color indexed="81"/>
            <rFont val="Tahoma"/>
            <family val="2"/>
          </rPr>
          <t xml:space="preserve">
Vanilla - </t>
        </r>
        <r>
          <rPr>
            <i/>
            <sz val="8"/>
            <color indexed="81"/>
            <rFont val="Tahoma"/>
            <family val="2"/>
          </rPr>
          <t xml:space="preserve">Ivory
</t>
        </r>
        <r>
          <rPr>
            <sz val="8"/>
            <color indexed="81"/>
            <rFont val="Tahoma"/>
            <family val="2"/>
          </rPr>
          <t xml:space="preserve">Ceylon - </t>
        </r>
        <r>
          <rPr>
            <i/>
            <sz val="8"/>
            <color indexed="81"/>
            <rFont val="Tahoma"/>
            <family val="2"/>
          </rPr>
          <t>Ceylon</t>
        </r>
        <r>
          <rPr>
            <sz val="8"/>
            <color indexed="81"/>
            <rFont val="Tahoma"/>
            <family val="2"/>
          </rPr>
          <t xml:space="preserve">
Earl Grey - </t>
        </r>
        <r>
          <rPr>
            <i/>
            <sz val="8"/>
            <color indexed="81"/>
            <rFont val="Tahoma"/>
            <family val="2"/>
          </rPr>
          <t>Earl Grey</t>
        </r>
        <r>
          <rPr>
            <sz val="8"/>
            <color indexed="81"/>
            <rFont val="Tahoma"/>
            <family val="2"/>
          </rPr>
          <t xml:space="preserve">
French White - </t>
        </r>
        <r>
          <rPr>
            <i/>
            <sz val="8"/>
            <color indexed="81"/>
            <rFont val="Tahoma"/>
            <family val="2"/>
          </rPr>
          <t>French White</t>
        </r>
        <r>
          <rPr>
            <sz val="8"/>
            <color indexed="81"/>
            <rFont val="Tahoma"/>
            <family val="2"/>
          </rPr>
          <t xml:space="preserve">
Infinite White -</t>
        </r>
        <r>
          <rPr>
            <i/>
            <sz val="8"/>
            <color indexed="81"/>
            <rFont val="Tahoma"/>
            <family val="2"/>
          </rPr>
          <t xml:space="preserve"> Infinite White</t>
        </r>
        <r>
          <rPr>
            <sz val="8"/>
            <color indexed="81"/>
            <rFont val="Tahoma"/>
            <family val="2"/>
          </rPr>
          <t xml:space="preserve">
Polar White - </t>
        </r>
        <r>
          <rPr>
            <i/>
            <sz val="8"/>
            <color indexed="81"/>
            <rFont val="Tahoma"/>
            <family val="2"/>
          </rPr>
          <t>Polar White</t>
        </r>
        <r>
          <rPr>
            <sz val="8"/>
            <color indexed="81"/>
            <rFont val="Tahoma"/>
            <family val="2"/>
          </rPr>
          <t xml:space="preserve">
Quiet White - </t>
        </r>
        <r>
          <rPr>
            <i/>
            <sz val="8"/>
            <color indexed="81"/>
            <rFont val="Tahoma"/>
            <family val="2"/>
          </rPr>
          <t>Quiet White</t>
        </r>
        <r>
          <rPr>
            <sz val="8"/>
            <color indexed="81"/>
            <rFont val="Tahoma"/>
            <family val="2"/>
          </rPr>
          <t xml:space="preserve">
Snow Gum Grey - </t>
        </r>
        <r>
          <rPr>
            <i/>
            <sz val="8"/>
            <color indexed="81"/>
            <rFont val="Tahoma"/>
            <family val="2"/>
          </rPr>
          <t>Snow Gum Grey</t>
        </r>
        <r>
          <rPr>
            <sz val="8"/>
            <color indexed="81"/>
            <rFont val="Tahoma"/>
            <family val="2"/>
          </rPr>
          <t xml:space="preserve">
Snowy Mountains White - </t>
        </r>
        <r>
          <rPr>
            <i/>
            <sz val="8"/>
            <color indexed="81"/>
            <rFont val="Tahoma"/>
            <family val="2"/>
          </rPr>
          <t>Snowy Mountains White</t>
        </r>
        <r>
          <rPr>
            <sz val="8"/>
            <color indexed="81"/>
            <rFont val="Tahoma"/>
            <family val="2"/>
          </rPr>
          <t xml:space="preserve">
For standard Shutters in Fauxwood Designer Eco 
Standard 77mm Hinges will be used.
For standard Shutters in Fauxwood Designer Eco Plus, 
Fauxwood Designer Eco Night &amp; Luvre
Standard 90mm Hinges will be used.
The Pivot Hinged Colour options are;
White
Stainless Steel
Please refer to the Shutter Manual. 
</t>
        </r>
        <r>
          <rPr>
            <i/>
            <sz val="8"/>
            <color indexed="81"/>
            <rFont val="Tahoma"/>
            <family val="2"/>
          </rPr>
          <t>Stainless Steel Surcharge applies.</t>
        </r>
      </text>
    </comment>
    <comment ref="X10" authorId="0" shapeId="0" xr:uid="{61318095-6401-46A1-B52C-8633E1D5D864}">
      <text>
        <r>
          <rPr>
            <sz val="8"/>
            <color indexed="81"/>
            <rFont val="Tahoma"/>
            <family val="2"/>
          </rPr>
          <t>Please Note: 
If Closed option is chosen then the blades 
can be damaged if they are left open 
when Sliding the Panel.
Open is not an option for 3 Tracks.</t>
        </r>
      </text>
    </comment>
    <comment ref="Y10" authorId="0" shapeId="0" xr:uid="{679C261E-21B2-41C5-8464-C574597492B4}">
      <text>
        <r>
          <rPr>
            <sz val="8"/>
            <color indexed="81"/>
            <rFont val="Tahoma"/>
            <family val="2"/>
          </rPr>
          <t>If any T Posts are required then the measurements 
must be supplied under the next columns.
Measurements should be made from the left.
A Flat (Unbeaded) T Post can be ordered to match 
the Flat Stile Shutter in the Stile &amp; T Post column.</t>
        </r>
      </text>
    </comment>
    <comment ref="AC10" authorId="0" shapeId="0" xr:uid="{1922A274-47E7-4C7C-91F0-74990F77A3FA}">
      <text>
        <r>
          <rPr>
            <sz val="8"/>
            <color indexed="81"/>
            <rFont val="Tahoma"/>
            <family val="2"/>
          </rPr>
          <t>The Stile &amp; T Post 
options are;
Default (Beaded)
Flat Stile &amp; T Post
A Flat (unbeaded) Small L Frame can be ordered 
under the Frame Type.</t>
        </r>
      </text>
    </comment>
    <comment ref="AD10" authorId="0" shapeId="0" xr:uid="{72512032-726B-45C8-8F0F-CCEC5C50935E}">
      <text>
        <r>
          <rPr>
            <sz val="8"/>
            <color indexed="81"/>
            <rFont val="Tahoma"/>
            <family val="2"/>
          </rPr>
          <t xml:space="preserve">The Designer Eco,  
Designer Eco Plus &amp; Luvre
Fluffy Strip options are;
No
Yes
Fluffy Strip is supplied with the Fauxwood Designer Eco Night Shutter.
</t>
        </r>
        <r>
          <rPr>
            <i/>
            <sz val="8"/>
            <color indexed="81"/>
            <rFont val="Tahoma"/>
            <family val="2"/>
          </rPr>
          <t>Fluffy Strip Surcharge applies.</t>
        </r>
      </text>
    </comment>
    <comment ref="C11" authorId="0" shapeId="0" xr:uid="{B960A22D-23B3-41D6-89CB-F88DB2F7C87B}">
      <text>
        <r>
          <rPr>
            <sz val="8"/>
            <color indexed="81"/>
            <rFont val="Tahoma"/>
            <family val="2"/>
          </rPr>
          <t xml:space="preserve">Minimum Width is 180mm.
Maximum Fauxwood Standard Size 
Width is 650mm.
Maximum Fauxwood Designer Eco Width with 
63mm Blades is 900mm.
Maximum Fauxwood Designer Eco Width with 
89mm Blades is 900mm.
Maximum Fauxwood Designer Eco Plus Width with 
63mm Blades is 950mm.
Maximum Fauxwood Designer Eco Plus Width with 
89mm Blades is 950mm.
Maximum Fauxwood Designer Eco Night 
Width is 650mm.
Maximum Luvre Width is 950mm.
Fauxwood Designer Eco &amp; 
Fauxwood Designer Eco Plus Panels 
with a Width larger than 650mm will require 
Aluminium Inserts.
Conditions apply.
</t>
        </r>
        <r>
          <rPr>
            <i/>
            <sz val="8"/>
            <color indexed="81"/>
            <rFont val="Tahoma"/>
            <family val="2"/>
          </rPr>
          <t>Please note: 
Larger Panels may sometimes require lifting in to the frame.</t>
        </r>
      </text>
    </comment>
    <comment ref="D11" authorId="0" shapeId="0" xr:uid="{DD7940AB-A298-416B-9241-D673514E925A}">
      <text>
        <r>
          <rPr>
            <sz val="8"/>
            <color indexed="81"/>
            <rFont val="Tahoma"/>
            <family val="2"/>
          </rPr>
          <t>Minimum Height is 350mm.
Maximum Fauxwood Height is 2600mm.</t>
        </r>
      </text>
    </comment>
    <comment ref="E11" authorId="0" shapeId="0" xr:uid="{1C9EC4C1-49C7-4153-9B40-C8CE32C8071F}">
      <text>
        <r>
          <rPr>
            <sz val="8"/>
            <color indexed="81"/>
            <rFont val="Tahoma"/>
            <family val="2"/>
          </rPr>
          <t xml:space="preserve">In - Inside or Reveal Fit
Out - Outside or Face Fit
Alternative Option:
MS - Make Size
Panel Only Option
</t>
        </r>
        <r>
          <rPr>
            <i/>
            <sz val="8"/>
            <color indexed="81"/>
            <rFont val="Tahoma"/>
            <family val="2"/>
          </rPr>
          <t>(Used for specific requirements only)</t>
        </r>
      </text>
    </comment>
    <comment ref="F11" authorId="0" shapeId="0" xr:uid="{0C71E33D-30C8-4168-B041-7D9243AC4515}">
      <text>
        <r>
          <rPr>
            <sz val="8"/>
            <color indexed="81"/>
            <rFont val="Tahoma"/>
            <family val="2"/>
          </rPr>
          <t>Quantity is the number of Panels 
within the opening. 
If ordering Make Size (MS), 
this will be the number of Panels 
at this size.</t>
        </r>
      </text>
    </comment>
    <comment ref="G11" authorId="0" shapeId="0" xr:uid="{467A78C5-4903-422C-A1A3-2F26781361DD}">
      <text>
        <r>
          <rPr>
            <sz val="8"/>
            <color indexed="81"/>
            <rFont val="Tahoma"/>
            <family val="2"/>
          </rPr>
          <t>Fauxwood Designer Eco will be made with the standard profile 
Bottom Rail,  Mid Rail &amp; Top Rail.
Fauxwood Designer Eco Plus will be made with the 
reinforced curved profile Bottom Rail, Mid Rail &amp; Top Rail.
Fauxwood Designer Eco Night will be made with the 
curved grooved profile Bottom Rail, Mid Rail &amp; Top Rail.
Luvre will be made with the reinforced
curved profile Bottom Rail, Mid Rail &amp; Top Rail.
Fauxwood Designer Eco Plus, Fauxwood Designer Eco Night &amp; Luvre 
Surcharge applies.</t>
        </r>
      </text>
    </comment>
    <comment ref="H11" authorId="0" shapeId="0" xr:uid="{AD88D382-9B54-4D81-8019-3D37C14B1DBB}">
      <text>
        <r>
          <rPr>
            <sz val="8"/>
            <color indexed="81"/>
            <rFont val="Tahoma"/>
            <family val="2"/>
          </rPr>
          <t xml:space="preserve">Fauxwood Designer Colours options available;
Standard Colours;
Bright White
Classic White
Snow White
Super White
Vanilla
Specialty Colours;
Ceylon
Earl Grey
French White
Infinite White
Polar White
Quiet White
Snow Gum Grey
Snowy Mountains White
</t>
        </r>
        <r>
          <rPr>
            <i/>
            <sz val="8"/>
            <color indexed="81"/>
            <rFont val="Tahoma"/>
            <family val="2"/>
          </rPr>
          <t>Specialty Colours Surcharge applies.</t>
        </r>
        <r>
          <rPr>
            <sz val="8"/>
            <color indexed="81"/>
            <rFont val="Tahoma"/>
            <family val="2"/>
          </rPr>
          <t xml:space="preserve">
Luvre with Therme &amp; Scratch Resistant Paint 
Colours options available;
Snow White
Super White
</t>
        </r>
      </text>
    </comment>
    <comment ref="J11" authorId="0" shapeId="0" xr:uid="{D4D7AE14-0AEE-45A2-9490-19F798D70641}">
      <text>
        <r>
          <rPr>
            <sz val="8"/>
            <color indexed="81"/>
            <rFont val="Tahoma"/>
            <family val="2"/>
          </rPr>
          <t>Fauxwood Designer Eco &amp; 
Fauxwood Designer Eco Plus 
Blade sizes options are;
63mm
89mm
Fauxwood Designer Eco Night  
Blade sizes options are;
92mm
Luvre Blade sizes options are;
89mm
114mm</t>
        </r>
      </text>
    </comment>
    <comment ref="K11" authorId="0" shapeId="0" xr:uid="{5CF0EE77-ADBA-4C02-A751-629BBD9663A6}">
      <text>
        <r>
          <rPr>
            <sz val="8"/>
            <color indexed="81"/>
            <rFont val="Tahoma"/>
            <family val="2"/>
          </rPr>
          <t>Mid Rail is required on Fauxwood Panels over 1500mm.
Cell will highlight yellow when Mid Rail is required.
Only one Critical Mid Rail is allowed.
A Mid Rail that is not marked "Critical" may be moved up or down 
up to 40mm to stop any gaps and increase/decrease the blade quantity.
Fauxwood Designer Eco will be made with the standard profile 
Bottom Rail,  Mid Rail &amp; Top Rail.
Fauxwood Designer Eco Plus will be made with the 
reinforced curved profile Bottom Rail, Mid Rail &amp; Top Rail.
Fauxwood Designer Eco Night will be made with the 
curved grooved profile Bottom Rail, Mid Rail &amp; Top Rail.
Luvre will be made with the reinforced
curved profile Bottom Rail, Mid Rail &amp; Top Rail.
Fauxwood Designer Eco Plus, Fauxwood Designer Eco Night &amp; Luvre Surcharge applies.</t>
        </r>
      </text>
    </comment>
    <comment ref="L11" authorId="0" shapeId="0" xr:uid="{62786C50-0F25-4F91-82BA-6D6689D36779}">
      <text>
        <r>
          <rPr>
            <sz val="8"/>
            <color indexed="81"/>
            <rFont val="Tahoma"/>
            <family val="2"/>
          </rPr>
          <t xml:space="preserve">The Fauxwood Designer Eco, 
Fauxwood Designer Eco Plus 
&amp; Luvre Window Type options are;
Standard
Bay Window
Corner Window
Door Cut Out
Shaped Arch
Shaped Hexagon
Shaped Octagon
Shaped Oval
Shaped Parallelogram
Shaped Raked
Shaped Round
Shaped Sunburst
Shaped Triangle
These Shapes are not available
with the Rack &amp; Pinion Tiltrod;
Shaped Arch
Shaped Hexagon
Shaped Octagon
Shaped Oval
Shaped Round
Shaped Sunburst
The Fauxwood Designer Eco Night Window Type 
options are;
Standard
Bay Window
Corner Window
</t>
        </r>
        <r>
          <rPr>
            <i/>
            <sz val="8"/>
            <color indexed="81"/>
            <rFont val="Tahoma"/>
            <family val="2"/>
          </rPr>
          <t xml:space="preserve">
</t>
        </r>
        <r>
          <rPr>
            <sz val="8"/>
            <color indexed="81"/>
            <rFont val="Tahoma"/>
            <family val="2"/>
          </rPr>
          <t>Shaped Shutters will need the Panel Layout to be 
compatible with the Hidden Tiltrod system.</t>
        </r>
      </text>
    </comment>
    <comment ref="M11" authorId="0" shapeId="0" xr:uid="{7B774853-94CA-439F-9656-0ECF521861AA}">
      <text>
        <r>
          <rPr>
            <sz val="8"/>
            <color indexed="81"/>
            <rFont val="Tahoma"/>
            <family val="2"/>
          </rPr>
          <t>Mounting Method is dependent 
on  MS, In Or Out &amp; Product.
For IN &amp; Fauxwood Designer Eco,  
Fauxwood Designer Eco Plus 
&amp; Luvre the options are;
Double Hinged
Fixed
Hinged
Pivot Hinged
Sliding
Track Bi Fold
For OUT &amp; Fauxwood Designer Eco,  
Fauxwood Designer Eco Plus 
&amp; Luvre the options are;
Double Hinged
Hinged
Pivot Hinged
Sliding
Track Bi Fold
For IN &amp; Fauxwood Designer Eco Night 
the options are;
Fixed
Hinged
For OUT &amp; Fauxwood Designer Eco Night 
the options are;
Fixed
Hinged
For MS, the options are;
N/A
Pivot Hinged is not recommended for 
Designer Eco Plus or Luvre.</t>
        </r>
      </text>
    </comment>
    <comment ref="N11" authorId="0" shapeId="0" xr:uid="{1A192B08-F352-456C-BD6A-D92D75D618E5}">
      <text>
        <r>
          <rPr>
            <sz val="8"/>
            <color indexed="81"/>
            <rFont val="Tahoma"/>
            <family val="2"/>
          </rPr>
          <t>For Sliding Track System options are;
Top Hung (Original System)
Bottom Wheel (New System)
The Top Hung (Original System) uses 
Top Wheels Mounting.
The Bottom Wheel (New System) uses a 
U Channel at the Top and 
Wheels at the Bottom.
This option cannot have a Floor Guide or 
Track On Board.</t>
        </r>
      </text>
    </comment>
    <comment ref="O11" authorId="0" shapeId="0" xr:uid="{27DC57D6-0288-4270-930F-B0BF80027FE8}">
      <text>
        <r>
          <rPr>
            <sz val="8"/>
            <color indexed="81"/>
            <rFont val="Tahoma"/>
            <family val="2"/>
          </rPr>
          <t>Please refer to the Shutter Manual 
when selecting Layout Code.
The list provides the most common options, 
which are dependent on Mounting Method.
More complex Layout Codes can still be entered manually.</t>
        </r>
      </text>
    </comment>
    <comment ref="P11" authorId="0" shapeId="0" xr:uid="{A8BCA117-F8C8-4937-A2BA-7216ABB0927E}">
      <text>
        <r>
          <rPr>
            <sz val="8"/>
            <color indexed="81"/>
            <rFont val="Tahoma"/>
            <family val="2"/>
          </rPr>
          <t>Frame Type is dependent on
 Mounting Method.
If a Flat (unbeaded) Small L Frame 
is selected, a matching Stile &amp; T Post can be 
ordered in the Stile &amp; T Post column.</t>
        </r>
      </text>
    </comment>
    <comment ref="V11" authorId="0" shapeId="0" xr:uid="{1C0A4B78-B009-47B1-89E5-5DF1E87C56BA}">
      <text>
        <r>
          <rPr>
            <sz val="8"/>
            <color indexed="81"/>
            <rFont val="Tahoma"/>
            <family val="2"/>
          </rPr>
          <t>This option is dependent on the 
Material &amp; Product 
and will only be available once this 
option is selected.
For Fauxwood Designer Eco
&amp; Fauxwood Designer Eco Plus 
the options are;
Hidden
Centre
Off-Set
Rack &amp; Pinion
These Shapes are not available
with the Rack &amp; Pinion Tiltrod;
Shaped Arch
Shaped Hexagon
Shaped Octagon
Shaped Oval
Shaped Round
Shaped Sunburst
For Fauxwood Designer Eco Night
the options are;
Hidden
For Luvre the options are;
Hidden</t>
        </r>
      </text>
    </comment>
    <comment ref="W11" authorId="0" shapeId="0" xr:uid="{1433D12D-ADAD-4426-9B5E-F36E1E8DAB58}">
      <text>
        <r>
          <rPr>
            <sz val="8"/>
            <color indexed="81"/>
            <rFont val="Tahoma"/>
            <family val="2"/>
          </rPr>
          <t xml:space="preserve">If no Hinge Colour is selected, 
then the default Hinge Colour and hardware 
will be supplied. 
The Hinge Colour options are;
Default
Stainless Steel
N/A
When Default is selected, the Hinge will be supplied 
as per the matching Hinge Colour list below;
Shutter Colour - </t>
        </r>
        <r>
          <rPr>
            <i/>
            <sz val="8"/>
            <color indexed="81"/>
            <rFont val="Tahoma"/>
            <family val="2"/>
          </rPr>
          <t>Hinge Colour</t>
        </r>
        <r>
          <rPr>
            <sz val="8"/>
            <color indexed="81"/>
            <rFont val="Tahoma"/>
            <family val="2"/>
          </rPr>
          <t xml:space="preserve">
   Bright White - </t>
        </r>
        <r>
          <rPr>
            <i/>
            <sz val="8"/>
            <color indexed="81"/>
            <rFont val="Tahoma"/>
            <family val="2"/>
          </rPr>
          <t>Bright White</t>
        </r>
        <r>
          <rPr>
            <sz val="8"/>
            <color indexed="81"/>
            <rFont val="Tahoma"/>
            <family val="2"/>
          </rPr>
          <t xml:space="preserve">
Classic White - </t>
        </r>
        <r>
          <rPr>
            <i/>
            <sz val="8"/>
            <color indexed="81"/>
            <rFont val="Tahoma"/>
            <family val="2"/>
          </rPr>
          <t>White</t>
        </r>
        <r>
          <rPr>
            <sz val="8"/>
            <color indexed="81"/>
            <rFont val="Tahoma"/>
            <family val="2"/>
          </rPr>
          <t xml:space="preserve">
Snow White - </t>
        </r>
        <r>
          <rPr>
            <i/>
            <sz val="8"/>
            <color indexed="81"/>
            <rFont val="Tahoma"/>
            <family val="2"/>
          </rPr>
          <t>Snow White</t>
        </r>
        <r>
          <rPr>
            <sz val="8"/>
            <color indexed="81"/>
            <rFont val="Tahoma"/>
            <family val="2"/>
          </rPr>
          <t xml:space="preserve">
Super White - </t>
        </r>
        <r>
          <rPr>
            <i/>
            <sz val="8"/>
            <color indexed="81"/>
            <rFont val="Tahoma"/>
            <family val="2"/>
          </rPr>
          <t>Snow White</t>
        </r>
        <r>
          <rPr>
            <sz val="8"/>
            <color indexed="81"/>
            <rFont val="Tahoma"/>
            <family val="2"/>
          </rPr>
          <t xml:space="preserve">
Vanilla - </t>
        </r>
        <r>
          <rPr>
            <i/>
            <sz val="8"/>
            <color indexed="81"/>
            <rFont val="Tahoma"/>
            <family val="2"/>
          </rPr>
          <t xml:space="preserve">Ivory
</t>
        </r>
        <r>
          <rPr>
            <sz val="8"/>
            <color indexed="81"/>
            <rFont val="Tahoma"/>
            <family val="2"/>
          </rPr>
          <t xml:space="preserve">Ceylon - </t>
        </r>
        <r>
          <rPr>
            <i/>
            <sz val="8"/>
            <color indexed="81"/>
            <rFont val="Tahoma"/>
            <family val="2"/>
          </rPr>
          <t>Ceylon</t>
        </r>
        <r>
          <rPr>
            <sz val="8"/>
            <color indexed="81"/>
            <rFont val="Tahoma"/>
            <family val="2"/>
          </rPr>
          <t xml:space="preserve">
Earl Grey - </t>
        </r>
        <r>
          <rPr>
            <i/>
            <sz val="8"/>
            <color indexed="81"/>
            <rFont val="Tahoma"/>
            <family val="2"/>
          </rPr>
          <t>Earl Grey</t>
        </r>
        <r>
          <rPr>
            <sz val="8"/>
            <color indexed="81"/>
            <rFont val="Tahoma"/>
            <family val="2"/>
          </rPr>
          <t xml:space="preserve">
French White - </t>
        </r>
        <r>
          <rPr>
            <i/>
            <sz val="8"/>
            <color indexed="81"/>
            <rFont val="Tahoma"/>
            <family val="2"/>
          </rPr>
          <t>French White</t>
        </r>
        <r>
          <rPr>
            <sz val="8"/>
            <color indexed="81"/>
            <rFont val="Tahoma"/>
            <family val="2"/>
          </rPr>
          <t xml:space="preserve">
Infinite White -</t>
        </r>
        <r>
          <rPr>
            <i/>
            <sz val="8"/>
            <color indexed="81"/>
            <rFont val="Tahoma"/>
            <family val="2"/>
          </rPr>
          <t xml:space="preserve"> Infinite White</t>
        </r>
        <r>
          <rPr>
            <sz val="8"/>
            <color indexed="81"/>
            <rFont val="Tahoma"/>
            <family val="2"/>
          </rPr>
          <t xml:space="preserve">
Polar White - </t>
        </r>
        <r>
          <rPr>
            <i/>
            <sz val="8"/>
            <color indexed="81"/>
            <rFont val="Tahoma"/>
            <family val="2"/>
          </rPr>
          <t>Polar White</t>
        </r>
        <r>
          <rPr>
            <sz val="8"/>
            <color indexed="81"/>
            <rFont val="Tahoma"/>
            <family val="2"/>
          </rPr>
          <t xml:space="preserve">
Quiet White - </t>
        </r>
        <r>
          <rPr>
            <i/>
            <sz val="8"/>
            <color indexed="81"/>
            <rFont val="Tahoma"/>
            <family val="2"/>
          </rPr>
          <t>Quiet White</t>
        </r>
        <r>
          <rPr>
            <sz val="8"/>
            <color indexed="81"/>
            <rFont val="Tahoma"/>
            <family val="2"/>
          </rPr>
          <t xml:space="preserve">
Snow Gum Grey - </t>
        </r>
        <r>
          <rPr>
            <i/>
            <sz val="8"/>
            <color indexed="81"/>
            <rFont val="Tahoma"/>
            <family val="2"/>
          </rPr>
          <t>Snow Gum Grey</t>
        </r>
        <r>
          <rPr>
            <sz val="8"/>
            <color indexed="81"/>
            <rFont val="Tahoma"/>
            <family val="2"/>
          </rPr>
          <t xml:space="preserve">
Snowy Mountains White - </t>
        </r>
        <r>
          <rPr>
            <i/>
            <sz val="8"/>
            <color indexed="81"/>
            <rFont val="Tahoma"/>
            <family val="2"/>
          </rPr>
          <t>Snowy Mountains White</t>
        </r>
        <r>
          <rPr>
            <sz val="8"/>
            <color indexed="81"/>
            <rFont val="Tahoma"/>
            <family val="2"/>
          </rPr>
          <t xml:space="preserve">
For standard Shutters in Fauxwood Designer Eco 
Standard 77mm Hinges will be used.
For standard Shutters in Fauxwood Designer Eco Plus, 
Fauxwood Designer Eco Night &amp; Luvre
Standard 90mm Hinges will be used.
The Pivot Hinged Colour options are;
White
Stainless Steel
Please refer to the Shutter Manual. 
</t>
        </r>
        <r>
          <rPr>
            <i/>
            <sz val="8"/>
            <color indexed="81"/>
            <rFont val="Tahoma"/>
            <family val="2"/>
          </rPr>
          <t>Stainless Steel Surcharge applies.</t>
        </r>
      </text>
    </comment>
    <comment ref="X11" authorId="0" shapeId="0" xr:uid="{6BAE3EC1-D445-4324-A574-7A66BF0009E1}">
      <text>
        <r>
          <rPr>
            <sz val="8"/>
            <color indexed="81"/>
            <rFont val="Tahoma"/>
            <family val="2"/>
          </rPr>
          <t>Please Note: 
If Closed option is chosen then the blades 
can be damaged if they are left open 
when Sliding the Panel.
Open is not an option for 3 Tracks.</t>
        </r>
      </text>
    </comment>
    <comment ref="Y11" authorId="0" shapeId="0" xr:uid="{EC233CD3-AD54-418C-B4F7-5DA1ED170743}">
      <text>
        <r>
          <rPr>
            <sz val="8"/>
            <color indexed="81"/>
            <rFont val="Tahoma"/>
            <family val="2"/>
          </rPr>
          <t>If any T Posts are required then the measurements 
must be supplied under the next columns.
Measurements should be made from the left.
A Flat (Unbeaded) T Post can be ordered to match 
the Flat Stile Shutter in the Stile &amp; T Post column.</t>
        </r>
      </text>
    </comment>
    <comment ref="AC11" authorId="0" shapeId="0" xr:uid="{6D927FA2-7817-47DC-A1E9-5C9F6599F0F4}">
      <text>
        <r>
          <rPr>
            <sz val="8"/>
            <color indexed="81"/>
            <rFont val="Tahoma"/>
            <family val="2"/>
          </rPr>
          <t>The Stile &amp; T Post 
options are;
Default (Beaded)
Flat Stile &amp; T Post
A Flat (unbeaded) Small L Frame can be ordered 
under the Frame Type.</t>
        </r>
      </text>
    </comment>
    <comment ref="AD11" authorId="0" shapeId="0" xr:uid="{F8CF2526-EF33-48D7-9E6D-20739E74C107}">
      <text>
        <r>
          <rPr>
            <sz val="8"/>
            <color indexed="81"/>
            <rFont val="Tahoma"/>
            <family val="2"/>
          </rPr>
          <t xml:space="preserve">The Designer Eco,  
Designer Eco Plus &amp; Luvre
Fluffy Strip options are;
No
Yes
Fluffy Strip is supplied with the Fauxwood Designer Eco Night Shutter.
</t>
        </r>
        <r>
          <rPr>
            <i/>
            <sz val="8"/>
            <color indexed="81"/>
            <rFont val="Tahoma"/>
            <family val="2"/>
          </rPr>
          <t>Fluffy Strip Surcharge applies.</t>
        </r>
      </text>
    </comment>
    <comment ref="C12" authorId="0" shapeId="0" xr:uid="{E7835CF0-4AD5-4FA1-AE13-60F13C1D7B63}">
      <text>
        <r>
          <rPr>
            <sz val="8"/>
            <color indexed="81"/>
            <rFont val="Tahoma"/>
            <family val="2"/>
          </rPr>
          <t xml:space="preserve">Minimum Width is 180mm.
Maximum Fauxwood Standard Size 
Width is 650mm.
Maximum Fauxwood Designer Eco Width with 
63mm Blades is 900mm.
Maximum Fauxwood Designer Eco Width with 
89mm Blades is 900mm.
Maximum Fauxwood Designer Eco Plus Width with 
63mm Blades is 950mm.
Maximum Fauxwood Designer Eco Plus Width with 
89mm Blades is 950mm.
Maximum Fauxwood Designer Eco Night 
Width is 650mm.
Maximum Luvre Width is 950mm.
Fauxwood Designer Eco &amp; 
Fauxwood Designer Eco Plus Panels 
with a Width larger than 650mm will require 
Aluminium Inserts.
Conditions apply.
</t>
        </r>
        <r>
          <rPr>
            <i/>
            <sz val="8"/>
            <color indexed="81"/>
            <rFont val="Tahoma"/>
            <family val="2"/>
          </rPr>
          <t>Please note: 
Larger Panels may sometimes require lifting in to the frame.</t>
        </r>
      </text>
    </comment>
    <comment ref="D12" authorId="0" shapeId="0" xr:uid="{87F2A234-4FB1-43C4-8ED7-11D67CB5AFD7}">
      <text>
        <r>
          <rPr>
            <sz val="8"/>
            <color indexed="81"/>
            <rFont val="Tahoma"/>
            <family val="2"/>
          </rPr>
          <t>Minimum Height is 350mm.
Maximum Fauxwood Height is 2600mm.</t>
        </r>
      </text>
    </comment>
    <comment ref="E12" authorId="0" shapeId="0" xr:uid="{5BBBBD3C-6A2C-45B8-B07A-69E7F6934328}">
      <text>
        <r>
          <rPr>
            <sz val="8"/>
            <color indexed="81"/>
            <rFont val="Tahoma"/>
            <family val="2"/>
          </rPr>
          <t xml:space="preserve">In - Inside or Reveal Fit
Out - Outside or Face Fit
Alternative Option:
MS - Make Size
Panel Only Option
</t>
        </r>
        <r>
          <rPr>
            <i/>
            <sz val="8"/>
            <color indexed="81"/>
            <rFont val="Tahoma"/>
            <family val="2"/>
          </rPr>
          <t>(Used for specific requirements only)</t>
        </r>
      </text>
    </comment>
    <comment ref="F12" authorId="0" shapeId="0" xr:uid="{50941B2B-A5DD-4E3E-B6A8-F629B85B78D1}">
      <text>
        <r>
          <rPr>
            <sz val="8"/>
            <color indexed="81"/>
            <rFont val="Tahoma"/>
            <family val="2"/>
          </rPr>
          <t>Quantity is the number of Panels 
within the opening. 
If ordering Make Size (MS), 
this will be the number of Panels 
at this size.</t>
        </r>
      </text>
    </comment>
    <comment ref="G12" authorId="0" shapeId="0" xr:uid="{7C270DC8-220E-4B25-8A2F-D8D44CB27F97}">
      <text>
        <r>
          <rPr>
            <sz val="8"/>
            <color indexed="81"/>
            <rFont val="Tahoma"/>
            <family val="2"/>
          </rPr>
          <t>Fauxwood Designer Eco will be made with the standard profile 
Bottom Rail,  Mid Rail &amp; Top Rail.
Fauxwood Designer Eco Plus will be made with the 
reinforced curved profile Bottom Rail, Mid Rail &amp; Top Rail.
Fauxwood Designer Eco Night will be made with the 
curved grooved profile Bottom Rail, Mid Rail &amp; Top Rail.
Luvre will be made with the reinforced
curved profile Bottom Rail, Mid Rail &amp; Top Rail.
Fauxwood Designer Eco Plus, Fauxwood Designer Eco Night &amp; Luvre 
Surcharge applies.</t>
        </r>
      </text>
    </comment>
    <comment ref="H12" authorId="0" shapeId="0" xr:uid="{54209A2E-738E-4BE2-B350-8727E6E3CA14}">
      <text>
        <r>
          <rPr>
            <sz val="8"/>
            <color indexed="81"/>
            <rFont val="Tahoma"/>
            <family val="2"/>
          </rPr>
          <t xml:space="preserve">Fauxwood Designer Colours options available;
Standard Colours;
Bright White
Classic White
Snow White
Super White
Vanilla
Specialty Colours;
Ceylon
Earl Grey
French White
Infinite White
Polar White
Quiet White
Snow Gum Grey
Snowy Mountains White
</t>
        </r>
        <r>
          <rPr>
            <i/>
            <sz val="8"/>
            <color indexed="81"/>
            <rFont val="Tahoma"/>
            <family val="2"/>
          </rPr>
          <t>Specialty Colours Surcharge applies.</t>
        </r>
        <r>
          <rPr>
            <sz val="8"/>
            <color indexed="81"/>
            <rFont val="Tahoma"/>
            <family val="2"/>
          </rPr>
          <t xml:space="preserve">
Luvre with Therme &amp; Scratch Resistant Paint 
Colours options available;
Snow White
Super White
</t>
        </r>
      </text>
    </comment>
    <comment ref="J12" authorId="0" shapeId="0" xr:uid="{E2BEDA25-78F7-4D55-9D2E-651889931B1A}">
      <text>
        <r>
          <rPr>
            <sz val="8"/>
            <color indexed="81"/>
            <rFont val="Tahoma"/>
            <family val="2"/>
          </rPr>
          <t>Fauxwood Designer Eco &amp; 
Fauxwood Designer Eco Plus 
Blade sizes options are;
63mm
89mm
Fauxwood Designer Eco Night  
Blade sizes options are;
92mm
Luvre Blade sizes options are;
89mm
114mm</t>
        </r>
      </text>
    </comment>
    <comment ref="K12" authorId="0" shapeId="0" xr:uid="{8D821F4D-8D90-4382-BB6E-824A0A6CE865}">
      <text>
        <r>
          <rPr>
            <sz val="8"/>
            <color indexed="81"/>
            <rFont val="Tahoma"/>
            <family val="2"/>
          </rPr>
          <t>Mid Rail is required on Fauxwood Panels over 1500mm.
Cell will highlight yellow when Mid Rail is required.
Only one Critical Mid Rail is allowed.
A Mid Rail that is not marked "Critical" may be moved up or down 
up to 40mm to stop any gaps and increase/decrease the blade quantity.
Fauxwood Designer Eco will be made with the standard profile 
Bottom Rail,  Mid Rail &amp; Top Rail.
Fauxwood Designer Eco Plus will be made with the 
reinforced curved profile Bottom Rail, Mid Rail &amp; Top Rail.
Fauxwood Designer Eco Night will be made with the 
curved grooved profile Bottom Rail, Mid Rail &amp; Top Rail.
Luvre will be made with the reinforced
curved profile Bottom Rail, Mid Rail &amp; Top Rail.
Fauxwood Designer Eco Plus, Fauxwood Designer Eco Night &amp; Luvre Surcharge applies.</t>
        </r>
      </text>
    </comment>
    <comment ref="L12" authorId="0" shapeId="0" xr:uid="{CB5F2D56-06C7-426A-9397-BB73A6BCE3D7}">
      <text>
        <r>
          <rPr>
            <sz val="8"/>
            <color indexed="81"/>
            <rFont val="Tahoma"/>
            <family val="2"/>
          </rPr>
          <t xml:space="preserve">The Fauxwood Designer Eco, 
Fauxwood Designer Eco Plus 
&amp; Luvre Window Type options are;
Standard
Bay Window
Corner Window
Door Cut Out
Shaped Arch
Shaped Hexagon
Shaped Octagon
Shaped Oval
Shaped Parallelogram
Shaped Raked
Shaped Round
Shaped Sunburst
Shaped Triangle
These Shapes are not available
with the Rack &amp; Pinion Tiltrod;
Shaped Arch
Shaped Hexagon
Shaped Octagon
Shaped Oval
Shaped Round
Shaped Sunburst
The Fauxwood Designer Eco Night Window Type 
options are;
Standard
Bay Window
Corner Window
</t>
        </r>
        <r>
          <rPr>
            <i/>
            <sz val="8"/>
            <color indexed="81"/>
            <rFont val="Tahoma"/>
            <family val="2"/>
          </rPr>
          <t xml:space="preserve">
</t>
        </r>
        <r>
          <rPr>
            <sz val="8"/>
            <color indexed="81"/>
            <rFont val="Tahoma"/>
            <family val="2"/>
          </rPr>
          <t>Shaped Shutters will need the Panel Layout to be 
compatible with the Hidden Tiltrod system.</t>
        </r>
      </text>
    </comment>
    <comment ref="M12" authorId="0" shapeId="0" xr:uid="{D6EAFDFE-8DC2-4864-BCCA-9877FF8F8EBF}">
      <text>
        <r>
          <rPr>
            <sz val="8"/>
            <color indexed="81"/>
            <rFont val="Tahoma"/>
            <family val="2"/>
          </rPr>
          <t>Mounting Method is dependent 
on  MS, In Or Out &amp; Product.
For IN &amp; Fauxwood Designer Eco,  
Fauxwood Designer Eco Plus 
&amp; Luvre the options are;
Double Hinged
Fixed
Hinged
Pivot Hinged
Sliding
Track Bi Fold
For OUT &amp; Fauxwood Designer Eco,  
Fauxwood Designer Eco Plus 
&amp; Luvre the options are;
Double Hinged
Hinged
Pivot Hinged
Sliding
Track Bi Fold
For IN &amp; Fauxwood Designer Eco Night 
the options are;
Fixed
Hinged
For OUT &amp; Fauxwood Designer Eco Night 
the options are;
Fixed
Hinged
For MS, the options are;
N/A
Pivot Hinged is not recommended for 
Designer Eco Plus or Luvre.</t>
        </r>
      </text>
    </comment>
    <comment ref="N12" authorId="0" shapeId="0" xr:uid="{EB9CB834-1E65-4F75-8D06-0CA7A901B768}">
      <text>
        <r>
          <rPr>
            <sz val="8"/>
            <color indexed="81"/>
            <rFont val="Tahoma"/>
            <family val="2"/>
          </rPr>
          <t>For Sliding Track System options are;
Top Hung (Original System)
Bottom Wheel (New System)
The Top Hung (Original System) uses 
Top Wheels Mounting.
The Bottom Wheel (New System) uses a 
U Channel at the Top and 
Wheels at the Bottom.
This option cannot have a Floor Guide or 
Track On Board.</t>
        </r>
      </text>
    </comment>
    <comment ref="O12" authorId="0" shapeId="0" xr:uid="{B154AE8D-D090-4730-BB88-76A59E5D3F66}">
      <text>
        <r>
          <rPr>
            <sz val="8"/>
            <color indexed="81"/>
            <rFont val="Tahoma"/>
            <family val="2"/>
          </rPr>
          <t>Please refer to the Shutter Manual 
when selecting Layout Code.
The list provides the most common options, 
which are dependent on Mounting Method.
More complex Layout Codes can still be entered manually.</t>
        </r>
      </text>
    </comment>
    <comment ref="P12" authorId="0" shapeId="0" xr:uid="{A04FE317-DCAF-45E3-A389-82265AAB5EC8}">
      <text>
        <r>
          <rPr>
            <sz val="8"/>
            <color indexed="81"/>
            <rFont val="Tahoma"/>
            <family val="2"/>
          </rPr>
          <t>Frame Type is dependent on
 Mounting Method.
If a Flat (unbeaded) Small L Frame 
is selected, a matching Stile &amp; T Post can be 
ordered in the Stile &amp; T Post column.</t>
        </r>
      </text>
    </comment>
    <comment ref="V12" authorId="0" shapeId="0" xr:uid="{F1109855-202A-45B1-A682-AD04C1317900}">
      <text>
        <r>
          <rPr>
            <sz val="8"/>
            <color indexed="81"/>
            <rFont val="Tahoma"/>
            <family val="2"/>
          </rPr>
          <t>This option is dependent on the 
Material &amp; Product 
and will only be available once this 
option is selected.
For Fauxwood Designer Eco
&amp; Fauxwood Designer Eco Plus 
the options are;
Hidden
Centre
Off-Set
Rack &amp; Pinion
These Shapes are not available
with the Rack &amp; Pinion Tiltrod;
Shaped Arch
Shaped Hexagon
Shaped Octagon
Shaped Oval
Shaped Round
Shaped Sunburst
For Fauxwood Designer Eco Night
the options are;
Hidden
For Luvre the options are;
Hidden</t>
        </r>
      </text>
    </comment>
    <comment ref="W12" authorId="0" shapeId="0" xr:uid="{F6CA9A30-4ED4-4387-BB6A-F36E128BABF7}">
      <text>
        <r>
          <rPr>
            <sz val="8"/>
            <color indexed="81"/>
            <rFont val="Tahoma"/>
            <family val="2"/>
          </rPr>
          <t xml:space="preserve">If no Hinge Colour is selected, 
then the default Hinge Colour and hardware 
will be supplied. 
The Hinge Colour options are;
Default
Stainless Steel
N/A
When Default is selected, the Hinge will be supplied 
as per the matching Hinge Colour list below;
Shutter Colour - </t>
        </r>
        <r>
          <rPr>
            <i/>
            <sz val="8"/>
            <color indexed="81"/>
            <rFont val="Tahoma"/>
            <family val="2"/>
          </rPr>
          <t>Hinge Colour</t>
        </r>
        <r>
          <rPr>
            <sz val="8"/>
            <color indexed="81"/>
            <rFont val="Tahoma"/>
            <family val="2"/>
          </rPr>
          <t xml:space="preserve">
   Bright White - </t>
        </r>
        <r>
          <rPr>
            <i/>
            <sz val="8"/>
            <color indexed="81"/>
            <rFont val="Tahoma"/>
            <family val="2"/>
          </rPr>
          <t>Bright White</t>
        </r>
        <r>
          <rPr>
            <sz val="8"/>
            <color indexed="81"/>
            <rFont val="Tahoma"/>
            <family val="2"/>
          </rPr>
          <t xml:space="preserve">
Classic White - </t>
        </r>
        <r>
          <rPr>
            <i/>
            <sz val="8"/>
            <color indexed="81"/>
            <rFont val="Tahoma"/>
            <family val="2"/>
          </rPr>
          <t>White</t>
        </r>
        <r>
          <rPr>
            <sz val="8"/>
            <color indexed="81"/>
            <rFont val="Tahoma"/>
            <family val="2"/>
          </rPr>
          <t xml:space="preserve">
Snow White - </t>
        </r>
        <r>
          <rPr>
            <i/>
            <sz val="8"/>
            <color indexed="81"/>
            <rFont val="Tahoma"/>
            <family val="2"/>
          </rPr>
          <t>Snow White</t>
        </r>
        <r>
          <rPr>
            <sz val="8"/>
            <color indexed="81"/>
            <rFont val="Tahoma"/>
            <family val="2"/>
          </rPr>
          <t xml:space="preserve">
Super White - </t>
        </r>
        <r>
          <rPr>
            <i/>
            <sz val="8"/>
            <color indexed="81"/>
            <rFont val="Tahoma"/>
            <family val="2"/>
          </rPr>
          <t>Snow White</t>
        </r>
        <r>
          <rPr>
            <sz val="8"/>
            <color indexed="81"/>
            <rFont val="Tahoma"/>
            <family val="2"/>
          </rPr>
          <t xml:space="preserve">
Vanilla - </t>
        </r>
        <r>
          <rPr>
            <i/>
            <sz val="8"/>
            <color indexed="81"/>
            <rFont val="Tahoma"/>
            <family val="2"/>
          </rPr>
          <t xml:space="preserve">Ivory
</t>
        </r>
        <r>
          <rPr>
            <sz val="8"/>
            <color indexed="81"/>
            <rFont val="Tahoma"/>
            <family val="2"/>
          </rPr>
          <t xml:space="preserve">Ceylon - </t>
        </r>
        <r>
          <rPr>
            <i/>
            <sz val="8"/>
            <color indexed="81"/>
            <rFont val="Tahoma"/>
            <family val="2"/>
          </rPr>
          <t>Ceylon</t>
        </r>
        <r>
          <rPr>
            <sz val="8"/>
            <color indexed="81"/>
            <rFont val="Tahoma"/>
            <family val="2"/>
          </rPr>
          <t xml:space="preserve">
Earl Grey - </t>
        </r>
        <r>
          <rPr>
            <i/>
            <sz val="8"/>
            <color indexed="81"/>
            <rFont val="Tahoma"/>
            <family val="2"/>
          </rPr>
          <t>Earl Grey</t>
        </r>
        <r>
          <rPr>
            <sz val="8"/>
            <color indexed="81"/>
            <rFont val="Tahoma"/>
            <family val="2"/>
          </rPr>
          <t xml:space="preserve">
French White - </t>
        </r>
        <r>
          <rPr>
            <i/>
            <sz val="8"/>
            <color indexed="81"/>
            <rFont val="Tahoma"/>
            <family val="2"/>
          </rPr>
          <t>French White</t>
        </r>
        <r>
          <rPr>
            <sz val="8"/>
            <color indexed="81"/>
            <rFont val="Tahoma"/>
            <family val="2"/>
          </rPr>
          <t xml:space="preserve">
Infinite White -</t>
        </r>
        <r>
          <rPr>
            <i/>
            <sz val="8"/>
            <color indexed="81"/>
            <rFont val="Tahoma"/>
            <family val="2"/>
          </rPr>
          <t xml:space="preserve"> Infinite White</t>
        </r>
        <r>
          <rPr>
            <sz val="8"/>
            <color indexed="81"/>
            <rFont val="Tahoma"/>
            <family val="2"/>
          </rPr>
          <t xml:space="preserve">
Polar White - </t>
        </r>
        <r>
          <rPr>
            <i/>
            <sz val="8"/>
            <color indexed="81"/>
            <rFont val="Tahoma"/>
            <family val="2"/>
          </rPr>
          <t>Polar White</t>
        </r>
        <r>
          <rPr>
            <sz val="8"/>
            <color indexed="81"/>
            <rFont val="Tahoma"/>
            <family val="2"/>
          </rPr>
          <t xml:space="preserve">
Quiet White - </t>
        </r>
        <r>
          <rPr>
            <i/>
            <sz val="8"/>
            <color indexed="81"/>
            <rFont val="Tahoma"/>
            <family val="2"/>
          </rPr>
          <t>Quiet White</t>
        </r>
        <r>
          <rPr>
            <sz val="8"/>
            <color indexed="81"/>
            <rFont val="Tahoma"/>
            <family val="2"/>
          </rPr>
          <t xml:space="preserve">
Snow Gum Grey - </t>
        </r>
        <r>
          <rPr>
            <i/>
            <sz val="8"/>
            <color indexed="81"/>
            <rFont val="Tahoma"/>
            <family val="2"/>
          </rPr>
          <t>Snow Gum Grey</t>
        </r>
        <r>
          <rPr>
            <sz val="8"/>
            <color indexed="81"/>
            <rFont val="Tahoma"/>
            <family val="2"/>
          </rPr>
          <t xml:space="preserve">
Snowy Mountains White - </t>
        </r>
        <r>
          <rPr>
            <i/>
            <sz val="8"/>
            <color indexed="81"/>
            <rFont val="Tahoma"/>
            <family val="2"/>
          </rPr>
          <t>Snowy Mountains White</t>
        </r>
        <r>
          <rPr>
            <sz val="8"/>
            <color indexed="81"/>
            <rFont val="Tahoma"/>
            <family val="2"/>
          </rPr>
          <t xml:space="preserve">
For standard Shutters in Fauxwood Designer Eco 
Standard 77mm Hinges will be used.
For standard Shutters in Fauxwood Designer Eco Plus, 
Fauxwood Designer Eco Night &amp; Luvre
Standard 90mm Hinges will be used.
The Pivot Hinged Colour options are;
White
Stainless Steel
Please refer to the Shutter Manual. 
</t>
        </r>
        <r>
          <rPr>
            <i/>
            <sz val="8"/>
            <color indexed="81"/>
            <rFont val="Tahoma"/>
            <family val="2"/>
          </rPr>
          <t>Stainless Steel Surcharge applies.</t>
        </r>
      </text>
    </comment>
    <comment ref="X12" authorId="0" shapeId="0" xr:uid="{0279FF98-EB5E-472C-9305-D7DB5E97B897}">
      <text>
        <r>
          <rPr>
            <sz val="8"/>
            <color indexed="81"/>
            <rFont val="Tahoma"/>
            <family val="2"/>
          </rPr>
          <t>Please Note: 
If Closed option is chosen then the blades 
can be damaged if they are left open 
when Sliding the Panel.
Open is not an option for 3 Tracks.</t>
        </r>
      </text>
    </comment>
    <comment ref="Y12" authorId="0" shapeId="0" xr:uid="{9595B278-9F20-4B5B-967C-F8BCC7780036}">
      <text>
        <r>
          <rPr>
            <sz val="8"/>
            <color indexed="81"/>
            <rFont val="Tahoma"/>
            <family val="2"/>
          </rPr>
          <t>If any T Posts are required then the measurements 
must be supplied under the next columns.
Measurements should be made from the left.
A Flat (Unbeaded) T Post can be ordered to match 
the Flat Stile Shutter in the Stile &amp; T Post column.</t>
        </r>
      </text>
    </comment>
    <comment ref="AC12" authorId="0" shapeId="0" xr:uid="{DEF58D77-2F00-467C-B3E3-5A508236D113}">
      <text>
        <r>
          <rPr>
            <sz val="8"/>
            <color indexed="81"/>
            <rFont val="Tahoma"/>
            <family val="2"/>
          </rPr>
          <t>The Stile &amp; T Post 
options are;
Default (Beaded)
Flat Stile &amp; T Post
A Flat (unbeaded) Small L Frame can be ordered 
under the Frame Type.</t>
        </r>
      </text>
    </comment>
    <comment ref="AD12" authorId="0" shapeId="0" xr:uid="{9374B3D3-BF6F-4EB0-BDB0-D89297E71460}">
      <text>
        <r>
          <rPr>
            <sz val="8"/>
            <color indexed="81"/>
            <rFont val="Tahoma"/>
            <family val="2"/>
          </rPr>
          <t xml:space="preserve">The Designer Eco,  
Designer Eco Plus &amp; Luvre
Fluffy Strip options are;
No
Yes
Fluffy Strip is supplied with the Fauxwood Designer Eco Night Shutter.
</t>
        </r>
        <r>
          <rPr>
            <i/>
            <sz val="8"/>
            <color indexed="81"/>
            <rFont val="Tahoma"/>
            <family val="2"/>
          </rPr>
          <t>Fluffy Strip Surcharge applies.</t>
        </r>
      </text>
    </comment>
    <comment ref="C13" authorId="0" shapeId="0" xr:uid="{CFC7008D-ECB3-4F3B-BB08-AA0449271FDD}">
      <text>
        <r>
          <rPr>
            <sz val="8"/>
            <color indexed="81"/>
            <rFont val="Tahoma"/>
            <family val="2"/>
          </rPr>
          <t xml:space="preserve">Minimum Width is 180mm.
Maximum Fauxwood Standard Size 
Width is 650mm.
Maximum Fauxwood Designer Eco Width with 
63mm Blades is 900mm.
Maximum Fauxwood Designer Eco Width with 
89mm Blades is 900mm.
Maximum Fauxwood Designer Eco Plus Width with 
63mm Blades is 950mm.
Maximum Fauxwood Designer Eco Plus Width with 
89mm Blades is 950mm.
Maximum Fauxwood Designer Eco Night 
Width is 650mm.
Maximum Luvre Width is 950mm.
Fauxwood Designer Eco &amp; 
Fauxwood Designer Eco Plus Panels 
with a Width larger than 650mm will require 
Aluminium Inserts.
Conditions apply.
</t>
        </r>
        <r>
          <rPr>
            <i/>
            <sz val="8"/>
            <color indexed="81"/>
            <rFont val="Tahoma"/>
            <family val="2"/>
          </rPr>
          <t>Please note: 
Larger Panels may sometimes require lifting in to the frame.</t>
        </r>
      </text>
    </comment>
    <comment ref="D13" authorId="0" shapeId="0" xr:uid="{F78D1A46-C33E-49FD-9590-FA6803582600}">
      <text>
        <r>
          <rPr>
            <sz val="8"/>
            <color indexed="81"/>
            <rFont val="Tahoma"/>
            <family val="2"/>
          </rPr>
          <t>Minimum Height is 350mm.
Maximum Fauxwood Height is 2600mm.</t>
        </r>
      </text>
    </comment>
    <comment ref="E13" authorId="0" shapeId="0" xr:uid="{63602695-21F5-4C83-B01B-C5557A779A96}">
      <text>
        <r>
          <rPr>
            <sz val="8"/>
            <color indexed="81"/>
            <rFont val="Tahoma"/>
            <family val="2"/>
          </rPr>
          <t xml:space="preserve">In - Inside or Reveal Fit
Out - Outside or Face Fit
Alternative Option:
MS - Make Size
Panel Only Option
</t>
        </r>
        <r>
          <rPr>
            <i/>
            <sz val="8"/>
            <color indexed="81"/>
            <rFont val="Tahoma"/>
            <family val="2"/>
          </rPr>
          <t>(Used for specific requirements only)</t>
        </r>
      </text>
    </comment>
    <comment ref="F13" authorId="0" shapeId="0" xr:uid="{53127A32-3E5F-4484-95A0-0CE90BDE2CE0}">
      <text>
        <r>
          <rPr>
            <sz val="8"/>
            <color indexed="81"/>
            <rFont val="Tahoma"/>
            <family val="2"/>
          </rPr>
          <t>Quantity is the number of Panels 
within the opening. 
If ordering Make Size (MS), 
this will be the number of Panels 
at this size.</t>
        </r>
      </text>
    </comment>
    <comment ref="G13" authorId="0" shapeId="0" xr:uid="{770CF04D-22DB-45AC-872B-B3899683FC66}">
      <text>
        <r>
          <rPr>
            <sz val="8"/>
            <color indexed="81"/>
            <rFont val="Tahoma"/>
            <family val="2"/>
          </rPr>
          <t>Fauxwood Designer Eco will be made with the standard profile 
Bottom Rail,  Mid Rail &amp; Top Rail.
Fauxwood Designer Eco Plus will be made with the 
reinforced curved profile Bottom Rail, Mid Rail &amp; Top Rail.
Fauxwood Designer Eco Night will be made with the 
curved grooved profile Bottom Rail, Mid Rail &amp; Top Rail.
Luvre will be made with the reinforced
curved profile Bottom Rail, Mid Rail &amp; Top Rail.
Fauxwood Designer Eco Plus, Fauxwood Designer Eco Night &amp; Luvre 
Surcharge applies.</t>
        </r>
      </text>
    </comment>
    <comment ref="H13" authorId="0" shapeId="0" xr:uid="{50D794A9-6DA8-4A45-8AC9-D96428C094C0}">
      <text>
        <r>
          <rPr>
            <sz val="8"/>
            <color indexed="81"/>
            <rFont val="Tahoma"/>
            <family val="2"/>
          </rPr>
          <t xml:space="preserve">Fauxwood Designer Colours options available;
Standard Colours;
Bright White
Classic White
Snow White
Super White
Vanilla
Specialty Colours;
Ceylon
Earl Grey
French White
Infinite White
Polar White
Quiet White
Snow Gum Grey
Snowy Mountains White
</t>
        </r>
        <r>
          <rPr>
            <i/>
            <sz val="8"/>
            <color indexed="81"/>
            <rFont val="Tahoma"/>
            <family val="2"/>
          </rPr>
          <t>Specialty Colours Surcharge applies.</t>
        </r>
        <r>
          <rPr>
            <sz val="8"/>
            <color indexed="81"/>
            <rFont val="Tahoma"/>
            <family val="2"/>
          </rPr>
          <t xml:space="preserve">
Luvre with Therme &amp; Scratch Resistant Paint 
Colours options available;
Snow White
Super White
</t>
        </r>
      </text>
    </comment>
    <comment ref="J13" authorId="0" shapeId="0" xr:uid="{DE9306D4-421F-46EC-A855-C86CF0EC094F}">
      <text>
        <r>
          <rPr>
            <sz val="8"/>
            <color indexed="81"/>
            <rFont val="Tahoma"/>
            <family val="2"/>
          </rPr>
          <t>Fauxwood Designer Eco &amp; 
Fauxwood Designer Eco Plus 
Blade sizes options are;
63mm
89mm
Fauxwood Designer Eco Night  
Blade sizes options are;
92mm
Luvre Blade sizes options are;
89mm
114mm</t>
        </r>
      </text>
    </comment>
    <comment ref="K13" authorId="0" shapeId="0" xr:uid="{19F3AEFD-410E-451C-8046-07E5DECEC532}">
      <text>
        <r>
          <rPr>
            <sz val="8"/>
            <color indexed="81"/>
            <rFont val="Tahoma"/>
            <family val="2"/>
          </rPr>
          <t>Mid Rail is required on Fauxwood Panels over 1500mm.
Cell will highlight yellow when Mid Rail is required.
Only one Critical Mid Rail is allowed.
A Mid Rail that is not marked "Critical" may be moved up or down 
up to 40mm to stop any gaps and increase/decrease the blade quantity.
Fauxwood Designer Eco will be made with the standard profile 
Bottom Rail,  Mid Rail &amp; Top Rail.
Fauxwood Designer Eco Plus will be made with the 
reinforced curved profile Bottom Rail, Mid Rail &amp; Top Rail.
Fauxwood Designer Eco Night will be made with the 
curved grooved profile Bottom Rail, Mid Rail &amp; Top Rail.
Luvre will be made with the reinforced
curved profile Bottom Rail, Mid Rail &amp; Top Rail.
Fauxwood Designer Eco Plus, Fauxwood Designer Eco Night &amp; Luvre Surcharge applies.</t>
        </r>
      </text>
    </comment>
    <comment ref="L13" authorId="0" shapeId="0" xr:uid="{4944865A-17DC-4A37-967C-CA15EBE92EDE}">
      <text>
        <r>
          <rPr>
            <sz val="8"/>
            <color indexed="81"/>
            <rFont val="Tahoma"/>
            <family val="2"/>
          </rPr>
          <t xml:space="preserve">The Fauxwood Designer Eco, 
Fauxwood Designer Eco Plus 
&amp; Luvre Window Type options are;
Standard
Bay Window
Corner Window
Door Cut Out
Shaped Arch
Shaped Hexagon
Shaped Octagon
Shaped Oval
Shaped Parallelogram
Shaped Raked
Shaped Round
Shaped Sunburst
Shaped Triangle
These Shapes are not available
with the Rack &amp; Pinion Tiltrod;
Shaped Arch
Shaped Hexagon
Shaped Octagon
Shaped Oval
Shaped Round
Shaped Sunburst
The Fauxwood Designer Eco Night Window Type 
options are;
Standard
Bay Window
Corner Window
</t>
        </r>
        <r>
          <rPr>
            <i/>
            <sz val="8"/>
            <color indexed="81"/>
            <rFont val="Tahoma"/>
            <family val="2"/>
          </rPr>
          <t xml:space="preserve">
</t>
        </r>
        <r>
          <rPr>
            <sz val="8"/>
            <color indexed="81"/>
            <rFont val="Tahoma"/>
            <family val="2"/>
          </rPr>
          <t>Shaped Shutters will need the Panel Layout to be 
compatible with the Hidden Tiltrod system.</t>
        </r>
      </text>
    </comment>
    <comment ref="M13" authorId="0" shapeId="0" xr:uid="{B98B6EEF-16C3-4F22-BBEB-A4DA9E5ED898}">
      <text>
        <r>
          <rPr>
            <sz val="8"/>
            <color indexed="81"/>
            <rFont val="Tahoma"/>
            <family val="2"/>
          </rPr>
          <t>Mounting Method is dependent 
on  MS, In Or Out &amp; Product.
For IN &amp; Fauxwood Designer Eco,  
Fauxwood Designer Eco Plus 
&amp; Luvre the options are;
Double Hinged
Fixed
Hinged
Pivot Hinged
Sliding
Track Bi Fold
For OUT &amp; Fauxwood Designer Eco,  
Fauxwood Designer Eco Plus 
&amp; Luvre the options are;
Double Hinged
Hinged
Pivot Hinged
Sliding
Track Bi Fold
For IN &amp; Fauxwood Designer Eco Night 
the options are;
Fixed
Hinged
For OUT &amp; Fauxwood Designer Eco Night 
the options are;
Fixed
Hinged
For MS, the options are;
N/A
Pivot Hinged is not recommended for 
Designer Eco Plus or Luvre.</t>
        </r>
      </text>
    </comment>
    <comment ref="N13" authorId="0" shapeId="0" xr:uid="{E100F8B1-2DA0-4B06-83A2-FDFEFDB49DF6}">
      <text>
        <r>
          <rPr>
            <sz val="8"/>
            <color indexed="81"/>
            <rFont val="Tahoma"/>
            <family val="2"/>
          </rPr>
          <t>For Sliding Track System options are;
Top Hung (Original System)
Bottom Wheel (New System)
The Top Hung (Original System) uses 
Top Wheels Mounting.
The Bottom Wheel (New System) uses a 
U Channel at the Top and 
Wheels at the Bottom.
This option cannot have a Floor Guide or 
Track On Board.</t>
        </r>
      </text>
    </comment>
    <comment ref="O13" authorId="0" shapeId="0" xr:uid="{A093E575-8A08-40F2-AD26-095267DBB2EE}">
      <text>
        <r>
          <rPr>
            <sz val="8"/>
            <color indexed="81"/>
            <rFont val="Tahoma"/>
            <family val="2"/>
          </rPr>
          <t>Please refer to the Shutter Manual 
when selecting Layout Code.
The list provides the most common options, 
which are dependent on Mounting Method.
More complex Layout Codes can still be entered manually.</t>
        </r>
      </text>
    </comment>
    <comment ref="P13" authorId="0" shapeId="0" xr:uid="{707DD86B-E18C-4104-B423-92FF9FA0B6B0}">
      <text>
        <r>
          <rPr>
            <sz val="8"/>
            <color indexed="81"/>
            <rFont val="Tahoma"/>
            <family val="2"/>
          </rPr>
          <t>Frame Type is dependent on
 Mounting Method.
If a Flat (unbeaded) Small L Frame 
is selected, a matching Stile &amp; T Post can be 
ordered in the Stile &amp; T Post column.</t>
        </r>
      </text>
    </comment>
    <comment ref="V13" authorId="0" shapeId="0" xr:uid="{10E1C930-01FA-4C59-89DE-C9C0CDE7D0C3}">
      <text>
        <r>
          <rPr>
            <sz val="8"/>
            <color indexed="81"/>
            <rFont val="Tahoma"/>
            <family val="2"/>
          </rPr>
          <t>This option is dependent on the 
Material &amp; Product 
and will only be available once this 
option is selected.
For Fauxwood Designer Eco
&amp; Fauxwood Designer Eco Plus 
the options are;
Hidden
Centre
Off-Set
Rack &amp; Pinion
These Shapes are not available
with the Rack &amp; Pinion Tiltrod;
Shaped Arch
Shaped Hexagon
Shaped Octagon
Shaped Oval
Shaped Round
Shaped Sunburst
For Fauxwood Designer Eco Night
the options are;
Hidden
For Luvre the options are;
Hidden</t>
        </r>
      </text>
    </comment>
    <comment ref="W13" authorId="0" shapeId="0" xr:uid="{1401595D-5359-4B39-878B-2157CB3055CE}">
      <text>
        <r>
          <rPr>
            <sz val="8"/>
            <color indexed="81"/>
            <rFont val="Tahoma"/>
            <family val="2"/>
          </rPr>
          <t xml:space="preserve">If no Hinge Colour is selected, 
then the default Hinge Colour and hardware 
will be supplied. 
The Hinge Colour options are;
Default
Stainless Steel
N/A
When Default is selected, the Hinge will be supplied 
as per the matching Hinge Colour list below;
Shutter Colour - </t>
        </r>
        <r>
          <rPr>
            <i/>
            <sz val="8"/>
            <color indexed="81"/>
            <rFont val="Tahoma"/>
            <family val="2"/>
          </rPr>
          <t>Hinge Colour</t>
        </r>
        <r>
          <rPr>
            <sz val="8"/>
            <color indexed="81"/>
            <rFont val="Tahoma"/>
            <family val="2"/>
          </rPr>
          <t xml:space="preserve">
   Bright White - </t>
        </r>
        <r>
          <rPr>
            <i/>
            <sz val="8"/>
            <color indexed="81"/>
            <rFont val="Tahoma"/>
            <family val="2"/>
          </rPr>
          <t>Bright White</t>
        </r>
        <r>
          <rPr>
            <sz val="8"/>
            <color indexed="81"/>
            <rFont val="Tahoma"/>
            <family val="2"/>
          </rPr>
          <t xml:space="preserve">
Classic White - </t>
        </r>
        <r>
          <rPr>
            <i/>
            <sz val="8"/>
            <color indexed="81"/>
            <rFont val="Tahoma"/>
            <family val="2"/>
          </rPr>
          <t>White</t>
        </r>
        <r>
          <rPr>
            <sz val="8"/>
            <color indexed="81"/>
            <rFont val="Tahoma"/>
            <family val="2"/>
          </rPr>
          <t xml:space="preserve">
Snow White - </t>
        </r>
        <r>
          <rPr>
            <i/>
            <sz val="8"/>
            <color indexed="81"/>
            <rFont val="Tahoma"/>
            <family val="2"/>
          </rPr>
          <t>Snow White</t>
        </r>
        <r>
          <rPr>
            <sz val="8"/>
            <color indexed="81"/>
            <rFont val="Tahoma"/>
            <family val="2"/>
          </rPr>
          <t xml:space="preserve">
Super White - </t>
        </r>
        <r>
          <rPr>
            <i/>
            <sz val="8"/>
            <color indexed="81"/>
            <rFont val="Tahoma"/>
            <family val="2"/>
          </rPr>
          <t>Snow White</t>
        </r>
        <r>
          <rPr>
            <sz val="8"/>
            <color indexed="81"/>
            <rFont val="Tahoma"/>
            <family val="2"/>
          </rPr>
          <t xml:space="preserve">
Vanilla - </t>
        </r>
        <r>
          <rPr>
            <i/>
            <sz val="8"/>
            <color indexed="81"/>
            <rFont val="Tahoma"/>
            <family val="2"/>
          </rPr>
          <t xml:space="preserve">Ivory
</t>
        </r>
        <r>
          <rPr>
            <sz val="8"/>
            <color indexed="81"/>
            <rFont val="Tahoma"/>
            <family val="2"/>
          </rPr>
          <t xml:space="preserve">Ceylon - </t>
        </r>
        <r>
          <rPr>
            <i/>
            <sz val="8"/>
            <color indexed="81"/>
            <rFont val="Tahoma"/>
            <family val="2"/>
          </rPr>
          <t>Ceylon</t>
        </r>
        <r>
          <rPr>
            <sz val="8"/>
            <color indexed="81"/>
            <rFont val="Tahoma"/>
            <family val="2"/>
          </rPr>
          <t xml:space="preserve">
Earl Grey - </t>
        </r>
        <r>
          <rPr>
            <i/>
            <sz val="8"/>
            <color indexed="81"/>
            <rFont val="Tahoma"/>
            <family val="2"/>
          </rPr>
          <t>Earl Grey</t>
        </r>
        <r>
          <rPr>
            <sz val="8"/>
            <color indexed="81"/>
            <rFont val="Tahoma"/>
            <family val="2"/>
          </rPr>
          <t xml:space="preserve">
French White - </t>
        </r>
        <r>
          <rPr>
            <i/>
            <sz val="8"/>
            <color indexed="81"/>
            <rFont val="Tahoma"/>
            <family val="2"/>
          </rPr>
          <t>French White</t>
        </r>
        <r>
          <rPr>
            <sz val="8"/>
            <color indexed="81"/>
            <rFont val="Tahoma"/>
            <family val="2"/>
          </rPr>
          <t xml:space="preserve">
Infinite White -</t>
        </r>
        <r>
          <rPr>
            <i/>
            <sz val="8"/>
            <color indexed="81"/>
            <rFont val="Tahoma"/>
            <family val="2"/>
          </rPr>
          <t xml:space="preserve"> Infinite White</t>
        </r>
        <r>
          <rPr>
            <sz val="8"/>
            <color indexed="81"/>
            <rFont val="Tahoma"/>
            <family val="2"/>
          </rPr>
          <t xml:space="preserve">
Polar White - </t>
        </r>
        <r>
          <rPr>
            <i/>
            <sz val="8"/>
            <color indexed="81"/>
            <rFont val="Tahoma"/>
            <family val="2"/>
          </rPr>
          <t>Polar White</t>
        </r>
        <r>
          <rPr>
            <sz val="8"/>
            <color indexed="81"/>
            <rFont val="Tahoma"/>
            <family val="2"/>
          </rPr>
          <t xml:space="preserve">
Quiet White - </t>
        </r>
        <r>
          <rPr>
            <i/>
            <sz val="8"/>
            <color indexed="81"/>
            <rFont val="Tahoma"/>
            <family val="2"/>
          </rPr>
          <t>Quiet White</t>
        </r>
        <r>
          <rPr>
            <sz val="8"/>
            <color indexed="81"/>
            <rFont val="Tahoma"/>
            <family val="2"/>
          </rPr>
          <t xml:space="preserve">
Snow Gum Grey - </t>
        </r>
        <r>
          <rPr>
            <i/>
            <sz val="8"/>
            <color indexed="81"/>
            <rFont val="Tahoma"/>
            <family val="2"/>
          </rPr>
          <t>Snow Gum Grey</t>
        </r>
        <r>
          <rPr>
            <sz val="8"/>
            <color indexed="81"/>
            <rFont val="Tahoma"/>
            <family val="2"/>
          </rPr>
          <t xml:space="preserve">
Snowy Mountains White - </t>
        </r>
        <r>
          <rPr>
            <i/>
            <sz val="8"/>
            <color indexed="81"/>
            <rFont val="Tahoma"/>
            <family val="2"/>
          </rPr>
          <t>Snowy Mountains White</t>
        </r>
        <r>
          <rPr>
            <sz val="8"/>
            <color indexed="81"/>
            <rFont val="Tahoma"/>
            <family val="2"/>
          </rPr>
          <t xml:space="preserve">
For standard Shutters in Fauxwood Designer Eco 
Standard 77mm Hinges will be used.
For standard Shutters in Fauxwood Designer Eco Plus, 
Fauxwood Designer Eco Night &amp; Luvre
Standard 90mm Hinges will be used.
The Pivot Hinged Colour options are;
White
Stainless Steel
Please refer to the Shutter Manual. 
</t>
        </r>
        <r>
          <rPr>
            <i/>
            <sz val="8"/>
            <color indexed="81"/>
            <rFont val="Tahoma"/>
            <family val="2"/>
          </rPr>
          <t>Stainless Steel Surcharge applies.</t>
        </r>
      </text>
    </comment>
    <comment ref="X13" authorId="0" shapeId="0" xr:uid="{AD57E3FA-6A62-4A9E-8CD1-23B88953F4E5}">
      <text>
        <r>
          <rPr>
            <sz val="8"/>
            <color indexed="81"/>
            <rFont val="Tahoma"/>
            <family val="2"/>
          </rPr>
          <t>Please Note: 
If Closed option is chosen then the blades 
can be damaged if they are left open 
when Sliding the Panel.
Open is not an option for 3 Tracks.</t>
        </r>
      </text>
    </comment>
    <comment ref="Y13" authorId="0" shapeId="0" xr:uid="{82688673-47D1-4841-8283-7B09070E561E}">
      <text>
        <r>
          <rPr>
            <sz val="8"/>
            <color indexed="81"/>
            <rFont val="Tahoma"/>
            <family val="2"/>
          </rPr>
          <t>If any T Posts are required then the measurements 
must be supplied under the next columns.
Measurements should be made from the left.
A Flat (Unbeaded) T Post can be ordered to match 
the Flat Stile Shutter in the Stile &amp; T Post column.</t>
        </r>
      </text>
    </comment>
    <comment ref="AC13" authorId="0" shapeId="0" xr:uid="{0690FE0B-55DF-4B17-A8BC-8A56FCDC8843}">
      <text>
        <r>
          <rPr>
            <sz val="8"/>
            <color indexed="81"/>
            <rFont val="Tahoma"/>
            <family val="2"/>
          </rPr>
          <t>The Stile &amp; T Post 
options are;
Default (Beaded)
Flat Stile &amp; T Post
A Flat (unbeaded) Small L Frame can be ordered 
under the Frame Type.</t>
        </r>
      </text>
    </comment>
    <comment ref="AD13" authorId="0" shapeId="0" xr:uid="{3C75C84E-7EE8-4B9C-A5F4-DFC87897CEF2}">
      <text>
        <r>
          <rPr>
            <sz val="8"/>
            <color indexed="81"/>
            <rFont val="Tahoma"/>
            <family val="2"/>
          </rPr>
          <t xml:space="preserve">The Designer Eco,  
Designer Eco Plus &amp; Luvre
Fluffy Strip options are;
No
Yes
Fluffy Strip is supplied with the Fauxwood Designer Eco Night Shutter.
</t>
        </r>
        <r>
          <rPr>
            <i/>
            <sz val="8"/>
            <color indexed="81"/>
            <rFont val="Tahoma"/>
            <family val="2"/>
          </rPr>
          <t>Fluffy Strip Surcharge applies.</t>
        </r>
      </text>
    </comment>
    <comment ref="C14" authorId="0" shapeId="0" xr:uid="{FEB88CF2-438B-4D20-930C-02B64120D214}">
      <text>
        <r>
          <rPr>
            <sz val="8"/>
            <color indexed="81"/>
            <rFont val="Tahoma"/>
            <family val="2"/>
          </rPr>
          <t xml:space="preserve">Minimum Width is 180mm.
Maximum Fauxwood Standard Size 
Width is 650mm.
Maximum Fauxwood Designer Eco Width with 
63mm Blades is 900mm.
Maximum Fauxwood Designer Eco Width with 
89mm Blades is 900mm.
Maximum Fauxwood Designer Eco Plus Width with 
63mm Blades is 950mm.
Maximum Fauxwood Designer Eco Plus Width with 
89mm Blades is 950mm.
Maximum Fauxwood Designer Eco Night 
Width is 650mm.
Maximum Luvre Width is 950mm.
Fauxwood Designer Eco &amp; 
Fauxwood Designer Eco Plus Panels 
with a Width larger than 650mm will require 
Aluminium Inserts.
Conditions apply.
</t>
        </r>
        <r>
          <rPr>
            <i/>
            <sz val="8"/>
            <color indexed="81"/>
            <rFont val="Tahoma"/>
            <family val="2"/>
          </rPr>
          <t>Please note: 
Larger Panels may sometimes require lifting in to the frame.</t>
        </r>
      </text>
    </comment>
    <comment ref="D14" authorId="0" shapeId="0" xr:uid="{C8E69E76-E7AB-4A01-B40B-68F34E6F6370}">
      <text>
        <r>
          <rPr>
            <sz val="8"/>
            <color indexed="81"/>
            <rFont val="Tahoma"/>
            <family val="2"/>
          </rPr>
          <t>Minimum Height is 350mm.
Maximum Fauxwood Height is 2600mm.</t>
        </r>
      </text>
    </comment>
    <comment ref="E14" authorId="0" shapeId="0" xr:uid="{A445A8C8-D889-4670-9A7D-A0F128CA433E}">
      <text>
        <r>
          <rPr>
            <sz val="8"/>
            <color indexed="81"/>
            <rFont val="Tahoma"/>
            <family val="2"/>
          </rPr>
          <t xml:space="preserve">In - Inside or Reveal Fit
Out - Outside or Face Fit
Alternative Option:
MS - Make Size
Panel Only Option
</t>
        </r>
        <r>
          <rPr>
            <i/>
            <sz val="8"/>
            <color indexed="81"/>
            <rFont val="Tahoma"/>
            <family val="2"/>
          </rPr>
          <t>(Used for specific requirements only)</t>
        </r>
      </text>
    </comment>
    <comment ref="F14" authorId="0" shapeId="0" xr:uid="{50DD25EC-3005-47F9-9A97-DB2D4BDB1140}">
      <text>
        <r>
          <rPr>
            <sz val="8"/>
            <color indexed="81"/>
            <rFont val="Tahoma"/>
            <family val="2"/>
          </rPr>
          <t>Quantity is the number of Panels 
within the opening. 
If ordering Make Size (MS), 
this will be the number of Panels 
at this size.</t>
        </r>
      </text>
    </comment>
    <comment ref="G14" authorId="0" shapeId="0" xr:uid="{E11580B0-128B-4B55-9785-EC6308985E03}">
      <text>
        <r>
          <rPr>
            <sz val="8"/>
            <color indexed="81"/>
            <rFont val="Tahoma"/>
            <family val="2"/>
          </rPr>
          <t>Fauxwood Designer Eco will be made with the standard profile 
Bottom Rail,  Mid Rail &amp; Top Rail.
Fauxwood Designer Eco Plus will be made with the 
reinforced curved profile Bottom Rail, Mid Rail &amp; Top Rail.
Fauxwood Designer Eco Night will be made with the 
curved grooved profile Bottom Rail, Mid Rail &amp; Top Rail.
Luvre will be made with the reinforced
curved profile Bottom Rail, Mid Rail &amp; Top Rail.
Fauxwood Designer Eco Plus, Fauxwood Designer Eco Night &amp; Luvre 
Surcharge applies.</t>
        </r>
      </text>
    </comment>
    <comment ref="H14" authorId="0" shapeId="0" xr:uid="{0AB126F4-8291-479D-B1CA-1A1AB9D0AD55}">
      <text>
        <r>
          <rPr>
            <sz val="8"/>
            <color indexed="81"/>
            <rFont val="Tahoma"/>
            <family val="2"/>
          </rPr>
          <t xml:space="preserve">Fauxwood Designer Colours options available;
Standard Colours;
Bright White
Classic White
Snow White
Super White
Vanilla
Specialty Colours;
Ceylon
Earl Grey
French White
Infinite White
Polar White
Quiet White
Snow Gum Grey
Snowy Mountains White
</t>
        </r>
        <r>
          <rPr>
            <i/>
            <sz val="8"/>
            <color indexed="81"/>
            <rFont val="Tahoma"/>
            <family val="2"/>
          </rPr>
          <t>Specialty Colours Surcharge applies.</t>
        </r>
        <r>
          <rPr>
            <sz val="8"/>
            <color indexed="81"/>
            <rFont val="Tahoma"/>
            <family val="2"/>
          </rPr>
          <t xml:space="preserve">
Luvre with Therme &amp; Scratch Resistant Paint 
Colours options available;
Snow White
Super White
</t>
        </r>
      </text>
    </comment>
    <comment ref="J14" authorId="0" shapeId="0" xr:uid="{A3A07B40-16DE-48C3-AD71-10E6C6F7ABDD}">
      <text>
        <r>
          <rPr>
            <sz val="8"/>
            <color indexed="81"/>
            <rFont val="Tahoma"/>
            <family val="2"/>
          </rPr>
          <t>Fauxwood Designer Eco &amp; 
Fauxwood Designer Eco Plus 
Blade sizes options are;
63mm
89mm
Fauxwood Designer Eco Night  
Blade sizes options are;
92mm
Luvre Blade sizes options are;
89mm
114mm</t>
        </r>
      </text>
    </comment>
    <comment ref="K14" authorId="0" shapeId="0" xr:uid="{5BB35845-C2F8-4098-AE7B-14C5CD62BFE2}">
      <text>
        <r>
          <rPr>
            <sz val="8"/>
            <color indexed="81"/>
            <rFont val="Tahoma"/>
            <family val="2"/>
          </rPr>
          <t>Mid Rail is required on Fauxwood Panels over 1500mm.
Cell will highlight yellow when Mid Rail is required.
Only one Critical Mid Rail is allowed.
A Mid Rail that is not marked "Critical" may be moved up or down 
up to 40mm to stop any gaps and increase/decrease the blade quantity.
Fauxwood Designer Eco will be made with the standard profile 
Bottom Rail,  Mid Rail &amp; Top Rail.
Fauxwood Designer Eco Plus will be made with the 
reinforced curved profile Bottom Rail, Mid Rail &amp; Top Rail.
Fauxwood Designer Eco Night will be made with the 
curved grooved profile Bottom Rail, Mid Rail &amp; Top Rail.
Luvre will be made with the reinforced
curved profile Bottom Rail, Mid Rail &amp; Top Rail.
Fauxwood Designer Eco Plus, Fauxwood Designer Eco Night &amp; Luvre Surcharge applies.</t>
        </r>
      </text>
    </comment>
    <comment ref="L14" authorId="0" shapeId="0" xr:uid="{02A171FE-49EA-417B-891D-45D579542208}">
      <text>
        <r>
          <rPr>
            <sz val="8"/>
            <color indexed="81"/>
            <rFont val="Tahoma"/>
            <family val="2"/>
          </rPr>
          <t xml:space="preserve">The Fauxwood Designer Eco, 
Fauxwood Designer Eco Plus 
&amp; Luvre Window Type options are;
Standard
Bay Window
Corner Window
Door Cut Out
Shaped Arch
Shaped Hexagon
Shaped Octagon
Shaped Oval
Shaped Parallelogram
Shaped Raked
Shaped Round
Shaped Sunburst
Shaped Triangle
These Shapes are not available
with the Rack &amp; Pinion Tiltrod;
Shaped Arch
Shaped Hexagon
Shaped Octagon
Shaped Oval
Shaped Round
Shaped Sunburst
The Fauxwood Designer Eco Night Window Type 
options are;
Standard
Bay Window
Corner Window
</t>
        </r>
        <r>
          <rPr>
            <i/>
            <sz val="8"/>
            <color indexed="81"/>
            <rFont val="Tahoma"/>
            <family val="2"/>
          </rPr>
          <t xml:space="preserve">
</t>
        </r>
        <r>
          <rPr>
            <sz val="8"/>
            <color indexed="81"/>
            <rFont val="Tahoma"/>
            <family val="2"/>
          </rPr>
          <t>Shaped Shutters will need the Panel Layout to be 
compatible with the Hidden Tiltrod system.</t>
        </r>
      </text>
    </comment>
    <comment ref="M14" authorId="0" shapeId="0" xr:uid="{2698689C-1746-4B69-BC5E-E7B9D2F5294A}">
      <text>
        <r>
          <rPr>
            <sz val="8"/>
            <color indexed="81"/>
            <rFont val="Tahoma"/>
            <family val="2"/>
          </rPr>
          <t>Mounting Method is dependent 
on  MS, In Or Out &amp; Product.
For IN &amp; Fauxwood Designer Eco,  
Fauxwood Designer Eco Plus 
&amp; Luvre the options are;
Double Hinged
Fixed
Hinged
Pivot Hinged
Sliding
Track Bi Fold
For OUT &amp; Fauxwood Designer Eco,  
Fauxwood Designer Eco Plus 
&amp; Luvre the options are;
Double Hinged
Hinged
Pivot Hinged
Sliding
Track Bi Fold
For IN &amp; Fauxwood Designer Eco Night 
the options are;
Fixed
Hinged
For OUT &amp; Fauxwood Designer Eco Night 
the options are;
Fixed
Hinged
For MS, the options are;
N/A
Pivot Hinged is not recommended for 
Designer Eco Plus or Luvre.</t>
        </r>
      </text>
    </comment>
    <comment ref="N14" authorId="0" shapeId="0" xr:uid="{8EA223A2-F1CF-4C06-ADB5-5AC1FE58735A}">
      <text>
        <r>
          <rPr>
            <sz val="8"/>
            <color indexed="81"/>
            <rFont val="Tahoma"/>
            <family val="2"/>
          </rPr>
          <t>For Sliding Track System options are;
Top Hung (Original System)
Bottom Wheel (New System)
The Top Hung (Original System) uses 
Top Wheels Mounting.
The Bottom Wheel (New System) uses a 
U Channel at the Top and 
Wheels at the Bottom.
This option cannot have a Floor Guide or 
Track On Board.</t>
        </r>
      </text>
    </comment>
    <comment ref="O14" authorId="0" shapeId="0" xr:uid="{970DC205-6409-4BE0-AA0F-6F1C888C4773}">
      <text>
        <r>
          <rPr>
            <sz val="8"/>
            <color indexed="81"/>
            <rFont val="Tahoma"/>
            <family val="2"/>
          </rPr>
          <t>Please refer to the Shutter Manual 
when selecting Layout Code.
The list provides the most common options, 
which are dependent on Mounting Method.
More complex Layout Codes can still be entered manually.</t>
        </r>
      </text>
    </comment>
    <comment ref="P14" authorId="0" shapeId="0" xr:uid="{2FC96796-1884-43BD-9862-0DB39A6D01E5}">
      <text>
        <r>
          <rPr>
            <sz val="8"/>
            <color indexed="81"/>
            <rFont val="Tahoma"/>
            <family val="2"/>
          </rPr>
          <t>Frame Type is dependent on
 Mounting Method.
If a Flat (unbeaded) Small L Frame 
is selected, a matching Stile &amp; T Post can be 
ordered in the Stile &amp; T Post column.</t>
        </r>
      </text>
    </comment>
    <comment ref="V14" authorId="0" shapeId="0" xr:uid="{E0AFBF1E-C500-44B9-9C20-06D4BAEEA893}">
      <text>
        <r>
          <rPr>
            <sz val="8"/>
            <color indexed="81"/>
            <rFont val="Tahoma"/>
            <family val="2"/>
          </rPr>
          <t>This option is dependent on the 
Material &amp; Product 
and will only be available once this 
option is selected.
For Fauxwood Designer Eco
&amp; Fauxwood Designer Eco Plus 
the options are;
Hidden
Centre
Off-Set
Rack &amp; Pinion
These Shapes are not available
with the Rack &amp; Pinion Tiltrod;
Shaped Arch
Shaped Hexagon
Shaped Octagon
Shaped Oval
Shaped Round
Shaped Sunburst
For Fauxwood Designer Eco Night
the options are;
Hidden
For Luvre the options are;
Hidden</t>
        </r>
      </text>
    </comment>
    <comment ref="W14" authorId="0" shapeId="0" xr:uid="{4993BF1D-CD1F-49DA-A1AD-3487EF90333D}">
      <text>
        <r>
          <rPr>
            <sz val="8"/>
            <color indexed="81"/>
            <rFont val="Tahoma"/>
            <family val="2"/>
          </rPr>
          <t xml:space="preserve">If no Hinge Colour is selected, 
then the default Hinge Colour and hardware 
will be supplied. 
The Hinge Colour options are;
Default
Stainless Steel
N/A
When Default is selected, the Hinge will be supplied 
as per the matching Hinge Colour list below;
Shutter Colour - </t>
        </r>
        <r>
          <rPr>
            <i/>
            <sz val="8"/>
            <color indexed="81"/>
            <rFont val="Tahoma"/>
            <family val="2"/>
          </rPr>
          <t>Hinge Colour</t>
        </r>
        <r>
          <rPr>
            <sz val="8"/>
            <color indexed="81"/>
            <rFont val="Tahoma"/>
            <family val="2"/>
          </rPr>
          <t xml:space="preserve">
   Bright White - </t>
        </r>
        <r>
          <rPr>
            <i/>
            <sz val="8"/>
            <color indexed="81"/>
            <rFont val="Tahoma"/>
            <family val="2"/>
          </rPr>
          <t>Bright White</t>
        </r>
        <r>
          <rPr>
            <sz val="8"/>
            <color indexed="81"/>
            <rFont val="Tahoma"/>
            <family val="2"/>
          </rPr>
          <t xml:space="preserve">
Classic White - </t>
        </r>
        <r>
          <rPr>
            <i/>
            <sz val="8"/>
            <color indexed="81"/>
            <rFont val="Tahoma"/>
            <family val="2"/>
          </rPr>
          <t>White</t>
        </r>
        <r>
          <rPr>
            <sz val="8"/>
            <color indexed="81"/>
            <rFont val="Tahoma"/>
            <family val="2"/>
          </rPr>
          <t xml:space="preserve">
Snow White - </t>
        </r>
        <r>
          <rPr>
            <i/>
            <sz val="8"/>
            <color indexed="81"/>
            <rFont val="Tahoma"/>
            <family val="2"/>
          </rPr>
          <t>Snow White</t>
        </r>
        <r>
          <rPr>
            <sz val="8"/>
            <color indexed="81"/>
            <rFont val="Tahoma"/>
            <family val="2"/>
          </rPr>
          <t xml:space="preserve">
Super White - </t>
        </r>
        <r>
          <rPr>
            <i/>
            <sz val="8"/>
            <color indexed="81"/>
            <rFont val="Tahoma"/>
            <family val="2"/>
          </rPr>
          <t>Snow White</t>
        </r>
        <r>
          <rPr>
            <sz val="8"/>
            <color indexed="81"/>
            <rFont val="Tahoma"/>
            <family val="2"/>
          </rPr>
          <t xml:space="preserve">
Vanilla - </t>
        </r>
        <r>
          <rPr>
            <i/>
            <sz val="8"/>
            <color indexed="81"/>
            <rFont val="Tahoma"/>
            <family val="2"/>
          </rPr>
          <t xml:space="preserve">Ivory
</t>
        </r>
        <r>
          <rPr>
            <sz val="8"/>
            <color indexed="81"/>
            <rFont val="Tahoma"/>
            <family val="2"/>
          </rPr>
          <t xml:space="preserve">Ceylon - </t>
        </r>
        <r>
          <rPr>
            <i/>
            <sz val="8"/>
            <color indexed="81"/>
            <rFont val="Tahoma"/>
            <family val="2"/>
          </rPr>
          <t>Ceylon</t>
        </r>
        <r>
          <rPr>
            <sz val="8"/>
            <color indexed="81"/>
            <rFont val="Tahoma"/>
            <family val="2"/>
          </rPr>
          <t xml:space="preserve">
Earl Grey - </t>
        </r>
        <r>
          <rPr>
            <i/>
            <sz val="8"/>
            <color indexed="81"/>
            <rFont val="Tahoma"/>
            <family val="2"/>
          </rPr>
          <t>Earl Grey</t>
        </r>
        <r>
          <rPr>
            <sz val="8"/>
            <color indexed="81"/>
            <rFont val="Tahoma"/>
            <family val="2"/>
          </rPr>
          <t xml:space="preserve">
French White - </t>
        </r>
        <r>
          <rPr>
            <i/>
            <sz val="8"/>
            <color indexed="81"/>
            <rFont val="Tahoma"/>
            <family val="2"/>
          </rPr>
          <t>French White</t>
        </r>
        <r>
          <rPr>
            <sz val="8"/>
            <color indexed="81"/>
            <rFont val="Tahoma"/>
            <family val="2"/>
          </rPr>
          <t xml:space="preserve">
Infinite White -</t>
        </r>
        <r>
          <rPr>
            <i/>
            <sz val="8"/>
            <color indexed="81"/>
            <rFont val="Tahoma"/>
            <family val="2"/>
          </rPr>
          <t xml:space="preserve"> Infinite White</t>
        </r>
        <r>
          <rPr>
            <sz val="8"/>
            <color indexed="81"/>
            <rFont val="Tahoma"/>
            <family val="2"/>
          </rPr>
          <t xml:space="preserve">
Polar White - </t>
        </r>
        <r>
          <rPr>
            <i/>
            <sz val="8"/>
            <color indexed="81"/>
            <rFont val="Tahoma"/>
            <family val="2"/>
          </rPr>
          <t>Polar White</t>
        </r>
        <r>
          <rPr>
            <sz val="8"/>
            <color indexed="81"/>
            <rFont val="Tahoma"/>
            <family val="2"/>
          </rPr>
          <t xml:space="preserve">
Quiet White - </t>
        </r>
        <r>
          <rPr>
            <i/>
            <sz val="8"/>
            <color indexed="81"/>
            <rFont val="Tahoma"/>
            <family val="2"/>
          </rPr>
          <t>Quiet White</t>
        </r>
        <r>
          <rPr>
            <sz val="8"/>
            <color indexed="81"/>
            <rFont val="Tahoma"/>
            <family val="2"/>
          </rPr>
          <t xml:space="preserve">
Snow Gum Grey - </t>
        </r>
        <r>
          <rPr>
            <i/>
            <sz val="8"/>
            <color indexed="81"/>
            <rFont val="Tahoma"/>
            <family val="2"/>
          </rPr>
          <t>Snow Gum Grey</t>
        </r>
        <r>
          <rPr>
            <sz val="8"/>
            <color indexed="81"/>
            <rFont val="Tahoma"/>
            <family val="2"/>
          </rPr>
          <t xml:space="preserve">
Snowy Mountains White - </t>
        </r>
        <r>
          <rPr>
            <i/>
            <sz val="8"/>
            <color indexed="81"/>
            <rFont val="Tahoma"/>
            <family val="2"/>
          </rPr>
          <t>Snowy Mountains White</t>
        </r>
        <r>
          <rPr>
            <sz val="8"/>
            <color indexed="81"/>
            <rFont val="Tahoma"/>
            <family val="2"/>
          </rPr>
          <t xml:space="preserve">
For standard Shutters in Fauxwood Designer Eco 
Standard 77mm Hinges will be used.
For standard Shutters in Fauxwood Designer Eco Plus, 
Fauxwood Designer Eco Night &amp; Luvre
Standard 90mm Hinges will be used.
The Pivot Hinged Colour options are;
White
Stainless Steel
Please refer to the Shutter Manual. 
</t>
        </r>
        <r>
          <rPr>
            <i/>
            <sz val="8"/>
            <color indexed="81"/>
            <rFont val="Tahoma"/>
            <family val="2"/>
          </rPr>
          <t>Stainless Steel Surcharge applies.</t>
        </r>
      </text>
    </comment>
    <comment ref="X14" authorId="0" shapeId="0" xr:uid="{A422752E-CB03-4E4C-BE86-727686444AA5}">
      <text>
        <r>
          <rPr>
            <sz val="8"/>
            <color indexed="81"/>
            <rFont val="Tahoma"/>
            <family val="2"/>
          </rPr>
          <t>Please Note: 
If Closed option is chosen then the blades 
can be damaged if they are left open 
when Sliding the Panel.
Open is not an option for 3 Tracks.</t>
        </r>
      </text>
    </comment>
    <comment ref="Y14" authorId="0" shapeId="0" xr:uid="{125D9C7E-7C91-4B10-844F-ACECCDA827EC}">
      <text>
        <r>
          <rPr>
            <sz val="8"/>
            <color indexed="81"/>
            <rFont val="Tahoma"/>
            <family val="2"/>
          </rPr>
          <t>If any T Posts are required then the measurements 
must be supplied under the next columns.
Measurements should be made from the left.
A Flat (Unbeaded) T Post can be ordered to match 
the Flat Stile Shutter in the Stile &amp; T Post column.</t>
        </r>
      </text>
    </comment>
    <comment ref="AC14" authorId="0" shapeId="0" xr:uid="{D8E74F94-1655-46B8-9181-535A7B3B8F2C}">
      <text>
        <r>
          <rPr>
            <sz val="8"/>
            <color indexed="81"/>
            <rFont val="Tahoma"/>
            <family val="2"/>
          </rPr>
          <t>The Stile &amp; T Post 
options are;
Default (Beaded)
Flat Stile &amp; T Post
A Flat (unbeaded) Small L Frame can be ordered 
under the Frame Type.</t>
        </r>
      </text>
    </comment>
    <comment ref="AD14" authorId="0" shapeId="0" xr:uid="{1D33BD15-B811-42AD-B80F-FAB4ED52D7B5}">
      <text>
        <r>
          <rPr>
            <sz val="8"/>
            <color indexed="81"/>
            <rFont val="Tahoma"/>
            <family val="2"/>
          </rPr>
          <t xml:space="preserve">The Designer Eco,  
Designer Eco Plus &amp; Luvre
Fluffy Strip options are;
No
Yes
Fluffy Strip is supplied with the Fauxwood Designer Eco Night Shutter.
</t>
        </r>
        <r>
          <rPr>
            <i/>
            <sz val="8"/>
            <color indexed="81"/>
            <rFont val="Tahoma"/>
            <family val="2"/>
          </rPr>
          <t>Fluffy Strip Surcharge applies.</t>
        </r>
      </text>
    </comment>
    <comment ref="C15" authorId="0" shapeId="0" xr:uid="{C6591E32-C1AC-4FC3-BB65-C04744E994CA}">
      <text>
        <r>
          <rPr>
            <sz val="8"/>
            <color indexed="81"/>
            <rFont val="Tahoma"/>
            <family val="2"/>
          </rPr>
          <t xml:space="preserve">Minimum Width is 180mm.
Maximum Fauxwood Standard Size 
Width is 650mm.
Maximum Fauxwood Designer Eco Width with 
63mm Blades is 900mm.
Maximum Fauxwood Designer Eco Width with 
89mm Blades is 900mm.
Maximum Fauxwood Designer Eco Plus Width with 
63mm Blades is 950mm.
Maximum Fauxwood Designer Eco Plus Width with 
89mm Blades is 950mm.
Maximum Fauxwood Designer Eco Night 
Width is 650mm.
Maximum Luvre Width is 950mm.
Fauxwood Designer Eco &amp; 
Fauxwood Designer Eco Plus Panels 
with a Width larger than 650mm will require 
Aluminium Inserts.
Conditions apply.
</t>
        </r>
        <r>
          <rPr>
            <i/>
            <sz val="8"/>
            <color indexed="81"/>
            <rFont val="Tahoma"/>
            <family val="2"/>
          </rPr>
          <t>Please note: 
Larger Panels may sometimes require lifting in to the frame.</t>
        </r>
      </text>
    </comment>
    <comment ref="D15" authorId="0" shapeId="0" xr:uid="{A2A9C223-879A-45A9-B782-57029D316035}">
      <text>
        <r>
          <rPr>
            <sz val="8"/>
            <color indexed="81"/>
            <rFont val="Tahoma"/>
            <family val="2"/>
          </rPr>
          <t>Minimum Height is 350mm.
Maximum Fauxwood Height is 2600mm.</t>
        </r>
      </text>
    </comment>
    <comment ref="E15" authorId="0" shapeId="0" xr:uid="{24293042-D27F-46A0-B668-ACB40D5EF237}">
      <text>
        <r>
          <rPr>
            <sz val="8"/>
            <color indexed="81"/>
            <rFont val="Tahoma"/>
            <family val="2"/>
          </rPr>
          <t xml:space="preserve">In - Inside or Reveal Fit
Out - Outside or Face Fit
Alternative Option:
MS - Make Size
Panel Only Option
</t>
        </r>
        <r>
          <rPr>
            <i/>
            <sz val="8"/>
            <color indexed="81"/>
            <rFont val="Tahoma"/>
            <family val="2"/>
          </rPr>
          <t>(Used for specific requirements only)</t>
        </r>
      </text>
    </comment>
    <comment ref="F15" authorId="0" shapeId="0" xr:uid="{A84B8128-9596-4EA8-B9E8-494CF40867E8}">
      <text>
        <r>
          <rPr>
            <sz val="8"/>
            <color indexed="81"/>
            <rFont val="Tahoma"/>
            <family val="2"/>
          </rPr>
          <t>Quantity is the number of Panels 
within the opening. 
If ordering Make Size (MS), 
this will be the number of Panels 
at this size.</t>
        </r>
      </text>
    </comment>
    <comment ref="G15" authorId="0" shapeId="0" xr:uid="{D9B0268B-4F26-4302-9A84-779B3BF68B1B}">
      <text>
        <r>
          <rPr>
            <sz val="8"/>
            <color indexed="81"/>
            <rFont val="Tahoma"/>
            <family val="2"/>
          </rPr>
          <t>Fauxwood Designer Eco will be made with the standard profile 
Bottom Rail,  Mid Rail &amp; Top Rail.
Fauxwood Designer Eco Plus will be made with the 
reinforced curved profile Bottom Rail, Mid Rail &amp; Top Rail.
Fauxwood Designer Eco Night will be made with the 
curved grooved profile Bottom Rail, Mid Rail &amp; Top Rail.
Luvre will be made with the reinforced
curved profile Bottom Rail, Mid Rail &amp; Top Rail.
Fauxwood Designer Eco Plus, Fauxwood Designer Eco Night &amp; Luvre 
Surcharge applies.</t>
        </r>
      </text>
    </comment>
    <comment ref="H15" authorId="0" shapeId="0" xr:uid="{4C81B6A3-999F-4CAB-B7EC-BFD4B0FEF29B}">
      <text>
        <r>
          <rPr>
            <sz val="8"/>
            <color indexed="81"/>
            <rFont val="Tahoma"/>
            <family val="2"/>
          </rPr>
          <t xml:space="preserve">Fauxwood Designer Colours options available;
Standard Colours;
Bright White
Classic White
Snow White
Super White
Vanilla
Specialty Colours;
Ceylon
Earl Grey
French White
Infinite White
Polar White
Quiet White
Snow Gum Grey
Snowy Mountains White
</t>
        </r>
        <r>
          <rPr>
            <i/>
            <sz val="8"/>
            <color indexed="81"/>
            <rFont val="Tahoma"/>
            <family val="2"/>
          </rPr>
          <t>Specialty Colours Surcharge applies.</t>
        </r>
        <r>
          <rPr>
            <sz val="8"/>
            <color indexed="81"/>
            <rFont val="Tahoma"/>
            <family val="2"/>
          </rPr>
          <t xml:space="preserve">
Luvre with Therme &amp; Scratch Resistant Paint 
Colours options available;
Snow White
Super White
</t>
        </r>
      </text>
    </comment>
    <comment ref="J15" authorId="0" shapeId="0" xr:uid="{84DDB34E-FFC5-498E-9E5F-3646C51E084B}">
      <text>
        <r>
          <rPr>
            <sz val="8"/>
            <color indexed="81"/>
            <rFont val="Tahoma"/>
            <family val="2"/>
          </rPr>
          <t>Fauxwood Designer Eco &amp; 
Fauxwood Designer Eco Plus 
Blade sizes options are;
63mm
89mm
Fauxwood Designer Eco Night  
Blade sizes options are;
92mm
Luvre Blade sizes options are;
89mm
114mm</t>
        </r>
      </text>
    </comment>
    <comment ref="K15" authorId="0" shapeId="0" xr:uid="{1EEEB789-2E99-4157-A0BB-5BEC07FEFC2A}">
      <text>
        <r>
          <rPr>
            <sz val="8"/>
            <color indexed="81"/>
            <rFont val="Tahoma"/>
            <family val="2"/>
          </rPr>
          <t>Mid Rail is required on Fauxwood Panels over 1500mm.
Cell will highlight yellow when Mid Rail is required.
Only one Critical Mid Rail is allowed.
A Mid Rail that is not marked "Critical" may be moved up or down 
up to 40mm to stop any gaps and increase/decrease the blade quantity.
Fauxwood Designer Eco will be made with the standard profile 
Bottom Rail,  Mid Rail &amp; Top Rail.
Fauxwood Designer Eco Plus will be made with the 
reinforced curved profile Bottom Rail, Mid Rail &amp; Top Rail.
Fauxwood Designer Eco Night will be made with the 
curved grooved profile Bottom Rail, Mid Rail &amp; Top Rail.
Luvre will be made with the reinforced
curved profile Bottom Rail, Mid Rail &amp; Top Rail.
Fauxwood Designer Eco Plus, Fauxwood Designer Eco Night &amp; Luvre Surcharge applies.</t>
        </r>
      </text>
    </comment>
    <comment ref="L15" authorId="0" shapeId="0" xr:uid="{AEB48473-86E2-4F45-969C-48F3AF4D5FA4}">
      <text>
        <r>
          <rPr>
            <sz val="8"/>
            <color indexed="81"/>
            <rFont val="Tahoma"/>
            <family val="2"/>
          </rPr>
          <t xml:space="preserve">The Fauxwood Designer Eco, 
Fauxwood Designer Eco Plus 
&amp; Luvre Window Type options are;
Standard
Bay Window
Corner Window
Door Cut Out
Shaped Arch
Shaped Hexagon
Shaped Octagon
Shaped Oval
Shaped Parallelogram
Shaped Raked
Shaped Round
Shaped Sunburst
Shaped Triangle
These Shapes are not available
with the Rack &amp; Pinion Tiltrod;
Shaped Arch
Shaped Hexagon
Shaped Octagon
Shaped Oval
Shaped Round
Shaped Sunburst
The Fauxwood Designer Eco Night Window Type 
options are;
Standard
Bay Window
Corner Window
</t>
        </r>
        <r>
          <rPr>
            <i/>
            <sz val="8"/>
            <color indexed="81"/>
            <rFont val="Tahoma"/>
            <family val="2"/>
          </rPr>
          <t xml:space="preserve">
</t>
        </r>
        <r>
          <rPr>
            <sz val="8"/>
            <color indexed="81"/>
            <rFont val="Tahoma"/>
            <family val="2"/>
          </rPr>
          <t>Shaped Shutters will need the Panel Layout to be 
compatible with the Hidden Tiltrod system.</t>
        </r>
      </text>
    </comment>
    <comment ref="M15" authorId="0" shapeId="0" xr:uid="{3857C284-260C-42B2-8D28-2404989B343E}">
      <text>
        <r>
          <rPr>
            <sz val="8"/>
            <color indexed="81"/>
            <rFont val="Tahoma"/>
            <family val="2"/>
          </rPr>
          <t>Mounting Method is dependent 
on  MS, In Or Out &amp; Product.
For IN &amp; Fauxwood Designer Eco,  
Fauxwood Designer Eco Plus 
&amp; Luvre the options are;
Double Hinged
Fixed
Hinged
Pivot Hinged
Sliding
Track Bi Fold
For OUT &amp; Fauxwood Designer Eco,  
Fauxwood Designer Eco Plus 
&amp; Luvre the options are;
Double Hinged
Hinged
Pivot Hinged
Sliding
Track Bi Fold
For IN &amp; Fauxwood Designer Eco Night 
the options are;
Fixed
Hinged
For OUT &amp; Fauxwood Designer Eco Night 
the options are;
Fixed
Hinged
For MS, the options are;
N/A
Pivot Hinged is not recommended for 
Designer Eco Plus or Luvre.</t>
        </r>
      </text>
    </comment>
    <comment ref="N15" authorId="0" shapeId="0" xr:uid="{D8F3EF72-6DC9-4807-9CF9-D35F0554DBE1}">
      <text>
        <r>
          <rPr>
            <sz val="8"/>
            <color indexed="81"/>
            <rFont val="Tahoma"/>
            <family val="2"/>
          </rPr>
          <t>For Sliding Track System options are;
Top Hung (Original System)
Bottom Wheel (New System)
The Top Hung (Original System) uses 
Top Wheels Mounting.
The Bottom Wheel (New System) uses a 
U Channel at the Top and 
Wheels at the Bottom.
This option cannot have a Floor Guide or 
Track On Board.</t>
        </r>
      </text>
    </comment>
    <comment ref="O15" authorId="0" shapeId="0" xr:uid="{398E639E-816D-45CA-BF8E-DC8F43B023D2}">
      <text>
        <r>
          <rPr>
            <sz val="8"/>
            <color indexed="81"/>
            <rFont val="Tahoma"/>
            <family val="2"/>
          </rPr>
          <t>Please refer to the Shutter Manual 
when selecting Layout Code.
The list provides the most common options, 
which are dependent on Mounting Method.
More complex Layout Codes can still be entered manually.</t>
        </r>
      </text>
    </comment>
    <comment ref="P15" authorId="0" shapeId="0" xr:uid="{64D11B0C-81EA-4A1A-A4AA-3AD1873EC0A4}">
      <text>
        <r>
          <rPr>
            <sz val="8"/>
            <color indexed="81"/>
            <rFont val="Tahoma"/>
            <family val="2"/>
          </rPr>
          <t>Frame Type is dependent on
 Mounting Method.
If a Flat (unbeaded) Small L Frame 
is selected, a matching Stile &amp; T Post can be 
ordered in the Stile &amp; T Post column.</t>
        </r>
      </text>
    </comment>
    <comment ref="V15" authorId="0" shapeId="0" xr:uid="{FF2A4FFF-FE99-4408-9BE4-8BD18F0E6308}">
      <text>
        <r>
          <rPr>
            <sz val="8"/>
            <color indexed="81"/>
            <rFont val="Tahoma"/>
            <family val="2"/>
          </rPr>
          <t>This option is dependent on the 
Material &amp; Product 
and will only be available once this 
option is selected.
For Fauxwood Designer Eco
&amp; Fauxwood Designer Eco Plus 
the options are;
Hidden
Centre
Off-Set
Rack &amp; Pinion
These Shapes are not available
with the Rack &amp; Pinion Tiltrod;
Shaped Arch
Shaped Hexagon
Shaped Octagon
Shaped Oval
Shaped Round
Shaped Sunburst
For Fauxwood Designer Eco Night
the options are;
Hidden
For Luvre the options are;
Hidden</t>
        </r>
      </text>
    </comment>
    <comment ref="W15" authorId="0" shapeId="0" xr:uid="{49EE4348-B684-45B4-86BC-B9790AF00F11}">
      <text>
        <r>
          <rPr>
            <sz val="8"/>
            <color indexed="81"/>
            <rFont val="Tahoma"/>
            <family val="2"/>
          </rPr>
          <t xml:space="preserve">If no Hinge Colour is selected, 
then the default Hinge Colour and hardware 
will be supplied. 
The Hinge Colour options are;
Default
Stainless Steel
N/A
When Default is selected, the Hinge will be supplied 
as per the matching Hinge Colour list below;
Shutter Colour - </t>
        </r>
        <r>
          <rPr>
            <i/>
            <sz val="8"/>
            <color indexed="81"/>
            <rFont val="Tahoma"/>
            <family val="2"/>
          </rPr>
          <t>Hinge Colour</t>
        </r>
        <r>
          <rPr>
            <sz val="8"/>
            <color indexed="81"/>
            <rFont val="Tahoma"/>
            <family val="2"/>
          </rPr>
          <t xml:space="preserve">
   Bright White - </t>
        </r>
        <r>
          <rPr>
            <i/>
            <sz val="8"/>
            <color indexed="81"/>
            <rFont val="Tahoma"/>
            <family val="2"/>
          </rPr>
          <t>Bright White</t>
        </r>
        <r>
          <rPr>
            <sz val="8"/>
            <color indexed="81"/>
            <rFont val="Tahoma"/>
            <family val="2"/>
          </rPr>
          <t xml:space="preserve">
Classic White - </t>
        </r>
        <r>
          <rPr>
            <i/>
            <sz val="8"/>
            <color indexed="81"/>
            <rFont val="Tahoma"/>
            <family val="2"/>
          </rPr>
          <t>White</t>
        </r>
        <r>
          <rPr>
            <sz val="8"/>
            <color indexed="81"/>
            <rFont val="Tahoma"/>
            <family val="2"/>
          </rPr>
          <t xml:space="preserve">
Snow White - </t>
        </r>
        <r>
          <rPr>
            <i/>
            <sz val="8"/>
            <color indexed="81"/>
            <rFont val="Tahoma"/>
            <family val="2"/>
          </rPr>
          <t>Snow White</t>
        </r>
        <r>
          <rPr>
            <sz val="8"/>
            <color indexed="81"/>
            <rFont val="Tahoma"/>
            <family val="2"/>
          </rPr>
          <t xml:space="preserve">
Super White - </t>
        </r>
        <r>
          <rPr>
            <i/>
            <sz val="8"/>
            <color indexed="81"/>
            <rFont val="Tahoma"/>
            <family val="2"/>
          </rPr>
          <t>Snow White</t>
        </r>
        <r>
          <rPr>
            <sz val="8"/>
            <color indexed="81"/>
            <rFont val="Tahoma"/>
            <family val="2"/>
          </rPr>
          <t xml:space="preserve">
Vanilla - </t>
        </r>
        <r>
          <rPr>
            <i/>
            <sz val="8"/>
            <color indexed="81"/>
            <rFont val="Tahoma"/>
            <family val="2"/>
          </rPr>
          <t xml:space="preserve">Ivory
</t>
        </r>
        <r>
          <rPr>
            <sz val="8"/>
            <color indexed="81"/>
            <rFont val="Tahoma"/>
            <family val="2"/>
          </rPr>
          <t xml:space="preserve">Ceylon - </t>
        </r>
        <r>
          <rPr>
            <i/>
            <sz val="8"/>
            <color indexed="81"/>
            <rFont val="Tahoma"/>
            <family val="2"/>
          </rPr>
          <t>Ceylon</t>
        </r>
        <r>
          <rPr>
            <sz val="8"/>
            <color indexed="81"/>
            <rFont val="Tahoma"/>
            <family val="2"/>
          </rPr>
          <t xml:space="preserve">
Earl Grey - </t>
        </r>
        <r>
          <rPr>
            <i/>
            <sz val="8"/>
            <color indexed="81"/>
            <rFont val="Tahoma"/>
            <family val="2"/>
          </rPr>
          <t>Earl Grey</t>
        </r>
        <r>
          <rPr>
            <sz val="8"/>
            <color indexed="81"/>
            <rFont val="Tahoma"/>
            <family val="2"/>
          </rPr>
          <t xml:space="preserve">
French White - </t>
        </r>
        <r>
          <rPr>
            <i/>
            <sz val="8"/>
            <color indexed="81"/>
            <rFont val="Tahoma"/>
            <family val="2"/>
          </rPr>
          <t>French White</t>
        </r>
        <r>
          <rPr>
            <sz val="8"/>
            <color indexed="81"/>
            <rFont val="Tahoma"/>
            <family val="2"/>
          </rPr>
          <t xml:space="preserve">
Infinite White -</t>
        </r>
        <r>
          <rPr>
            <i/>
            <sz val="8"/>
            <color indexed="81"/>
            <rFont val="Tahoma"/>
            <family val="2"/>
          </rPr>
          <t xml:space="preserve"> Infinite White</t>
        </r>
        <r>
          <rPr>
            <sz val="8"/>
            <color indexed="81"/>
            <rFont val="Tahoma"/>
            <family val="2"/>
          </rPr>
          <t xml:space="preserve">
Polar White - </t>
        </r>
        <r>
          <rPr>
            <i/>
            <sz val="8"/>
            <color indexed="81"/>
            <rFont val="Tahoma"/>
            <family val="2"/>
          </rPr>
          <t>Polar White</t>
        </r>
        <r>
          <rPr>
            <sz val="8"/>
            <color indexed="81"/>
            <rFont val="Tahoma"/>
            <family val="2"/>
          </rPr>
          <t xml:space="preserve">
Quiet White - </t>
        </r>
        <r>
          <rPr>
            <i/>
            <sz val="8"/>
            <color indexed="81"/>
            <rFont val="Tahoma"/>
            <family val="2"/>
          </rPr>
          <t>Quiet White</t>
        </r>
        <r>
          <rPr>
            <sz val="8"/>
            <color indexed="81"/>
            <rFont val="Tahoma"/>
            <family val="2"/>
          </rPr>
          <t xml:space="preserve">
Snow Gum Grey - </t>
        </r>
        <r>
          <rPr>
            <i/>
            <sz val="8"/>
            <color indexed="81"/>
            <rFont val="Tahoma"/>
            <family val="2"/>
          </rPr>
          <t>Snow Gum Grey</t>
        </r>
        <r>
          <rPr>
            <sz val="8"/>
            <color indexed="81"/>
            <rFont val="Tahoma"/>
            <family val="2"/>
          </rPr>
          <t xml:space="preserve">
Snowy Mountains White - </t>
        </r>
        <r>
          <rPr>
            <i/>
            <sz val="8"/>
            <color indexed="81"/>
            <rFont val="Tahoma"/>
            <family val="2"/>
          </rPr>
          <t>Snowy Mountains White</t>
        </r>
        <r>
          <rPr>
            <sz val="8"/>
            <color indexed="81"/>
            <rFont val="Tahoma"/>
            <family val="2"/>
          </rPr>
          <t xml:space="preserve">
For standard Shutters in Fauxwood Designer Eco 
Standard 77mm Hinges will be used.
For standard Shutters in Fauxwood Designer Eco Plus, 
Fauxwood Designer Eco Night &amp; Luvre
Standard 90mm Hinges will be used.
The Pivot Hinged Colour options are;
White
Stainless Steel
Please refer to the Shutter Manual. 
</t>
        </r>
        <r>
          <rPr>
            <i/>
            <sz val="8"/>
            <color indexed="81"/>
            <rFont val="Tahoma"/>
            <family val="2"/>
          </rPr>
          <t>Stainless Steel Surcharge applies.</t>
        </r>
      </text>
    </comment>
    <comment ref="X15" authorId="0" shapeId="0" xr:uid="{F7233BE1-2EF5-425B-9D8E-DDB7DE6D868B}">
      <text>
        <r>
          <rPr>
            <sz val="8"/>
            <color indexed="81"/>
            <rFont val="Tahoma"/>
            <family val="2"/>
          </rPr>
          <t>Please Note: 
If Closed option is chosen then the blades 
can be damaged if they are left open 
when Sliding the Panel.
Open is not an option for 3 Tracks.</t>
        </r>
      </text>
    </comment>
    <comment ref="Y15" authorId="0" shapeId="0" xr:uid="{B95EDAFE-1A2E-47DA-A40F-7E7A4E97E9D8}">
      <text>
        <r>
          <rPr>
            <sz val="8"/>
            <color indexed="81"/>
            <rFont val="Tahoma"/>
            <family val="2"/>
          </rPr>
          <t>If any T Posts are required then the measurements 
must be supplied under the next columns.
Measurements should be made from the left.
A Flat (Unbeaded) T Post can be ordered to match 
the Flat Stile Shutter in the Stile &amp; T Post column.</t>
        </r>
      </text>
    </comment>
    <comment ref="AC15" authorId="0" shapeId="0" xr:uid="{D969E607-54F4-48D3-A4C0-19471700141E}">
      <text>
        <r>
          <rPr>
            <sz val="8"/>
            <color indexed="81"/>
            <rFont val="Tahoma"/>
            <family val="2"/>
          </rPr>
          <t>The Stile &amp; T Post 
options are;
Default (Beaded)
Flat Stile &amp; T Post
A Flat (unbeaded) Small L Frame can be ordered 
under the Frame Type.</t>
        </r>
      </text>
    </comment>
    <comment ref="AD15" authorId="0" shapeId="0" xr:uid="{4655EF4B-E9F2-4C3D-A58D-E1872A82467F}">
      <text>
        <r>
          <rPr>
            <sz val="8"/>
            <color indexed="81"/>
            <rFont val="Tahoma"/>
            <family val="2"/>
          </rPr>
          <t xml:space="preserve">The Designer Eco,  
Designer Eco Plus &amp; Luvre
Fluffy Strip options are;
No
Yes
Fluffy Strip is supplied with the Fauxwood Designer Eco Night Shutter.
</t>
        </r>
        <r>
          <rPr>
            <i/>
            <sz val="8"/>
            <color indexed="81"/>
            <rFont val="Tahoma"/>
            <family val="2"/>
          </rPr>
          <t>Fluffy Strip Surcharge applies.</t>
        </r>
      </text>
    </comment>
    <comment ref="C16" authorId="0" shapeId="0" xr:uid="{B04B3C9D-32EB-43FD-A171-663D7096C00F}">
      <text>
        <r>
          <rPr>
            <sz val="8"/>
            <color indexed="81"/>
            <rFont val="Tahoma"/>
            <family val="2"/>
          </rPr>
          <t xml:space="preserve">Minimum Width is 180mm.
Maximum Fauxwood Standard Size 
Width is 650mm.
Maximum Fauxwood Designer Eco Width with 
63mm Blades is 900mm.
Maximum Fauxwood Designer Eco Width with 
89mm Blades is 900mm.
Maximum Fauxwood Designer Eco Plus Width with 
63mm Blades is 950mm.
Maximum Fauxwood Designer Eco Plus Width with 
89mm Blades is 950mm.
Maximum Fauxwood Designer Eco Night 
Width is 650mm.
Maximum Luvre Width is 950mm.
Fauxwood Designer Eco &amp; 
Fauxwood Designer Eco Plus Panels 
with a Width larger than 650mm will require 
Aluminium Inserts.
Conditions apply.
</t>
        </r>
        <r>
          <rPr>
            <i/>
            <sz val="8"/>
            <color indexed="81"/>
            <rFont val="Tahoma"/>
            <family val="2"/>
          </rPr>
          <t>Please note: 
Larger Panels may sometimes require lifting in to the frame.</t>
        </r>
      </text>
    </comment>
    <comment ref="D16" authorId="0" shapeId="0" xr:uid="{7B2302B2-0922-4103-9075-65445699AFD2}">
      <text>
        <r>
          <rPr>
            <sz val="8"/>
            <color indexed="81"/>
            <rFont val="Tahoma"/>
            <family val="2"/>
          </rPr>
          <t>Minimum Height is 350mm.
Maximum Fauxwood Height is 2600mm.</t>
        </r>
      </text>
    </comment>
    <comment ref="E16" authorId="0" shapeId="0" xr:uid="{B010C98E-5BF0-4A93-9C3A-B98EF664424E}">
      <text>
        <r>
          <rPr>
            <sz val="8"/>
            <color indexed="81"/>
            <rFont val="Tahoma"/>
            <family val="2"/>
          </rPr>
          <t xml:space="preserve">In - Inside or Reveal Fit
Out - Outside or Face Fit
Alternative Option:
MS - Make Size
Panel Only Option
</t>
        </r>
        <r>
          <rPr>
            <i/>
            <sz val="8"/>
            <color indexed="81"/>
            <rFont val="Tahoma"/>
            <family val="2"/>
          </rPr>
          <t>(Used for specific requirements only)</t>
        </r>
      </text>
    </comment>
    <comment ref="F16" authorId="0" shapeId="0" xr:uid="{7A88C27F-83F4-41E6-B470-489D9C711B76}">
      <text>
        <r>
          <rPr>
            <sz val="8"/>
            <color indexed="81"/>
            <rFont val="Tahoma"/>
            <family val="2"/>
          </rPr>
          <t>Quantity is the number of Panels 
within the opening. 
If ordering Make Size (MS), 
this will be the number of Panels 
at this size.</t>
        </r>
      </text>
    </comment>
    <comment ref="G16" authorId="0" shapeId="0" xr:uid="{462AFED1-013D-4AE3-B5EC-F5D27857999A}">
      <text>
        <r>
          <rPr>
            <sz val="8"/>
            <color indexed="81"/>
            <rFont val="Tahoma"/>
            <family val="2"/>
          </rPr>
          <t>Fauxwood Designer Eco will be made with the standard profile 
Bottom Rail,  Mid Rail &amp; Top Rail.
Fauxwood Designer Eco Plus will be made with the 
reinforced curved profile Bottom Rail, Mid Rail &amp; Top Rail.
Fauxwood Designer Eco Night will be made with the 
curved grooved profile Bottom Rail, Mid Rail &amp; Top Rail.
Luvre will be made with the reinforced
curved profile Bottom Rail, Mid Rail &amp; Top Rail.
Fauxwood Designer Eco Plus, Fauxwood Designer Eco Night &amp; Luvre 
Surcharge applies.</t>
        </r>
      </text>
    </comment>
    <comment ref="H16" authorId="0" shapeId="0" xr:uid="{FB420B25-8AC0-447C-9F65-F2589017588F}">
      <text>
        <r>
          <rPr>
            <sz val="8"/>
            <color indexed="81"/>
            <rFont val="Tahoma"/>
            <family val="2"/>
          </rPr>
          <t xml:space="preserve">Fauxwood Designer Colours options available;
Standard Colours;
Bright White
Classic White
Snow White
Super White
Vanilla
Specialty Colours;
Ceylon
Earl Grey
French White
Infinite White
Polar White
Quiet White
Snow Gum Grey
Snowy Mountains White
</t>
        </r>
        <r>
          <rPr>
            <i/>
            <sz val="8"/>
            <color indexed="81"/>
            <rFont val="Tahoma"/>
            <family val="2"/>
          </rPr>
          <t>Specialty Colours Surcharge applies.</t>
        </r>
        <r>
          <rPr>
            <sz val="8"/>
            <color indexed="81"/>
            <rFont val="Tahoma"/>
            <family val="2"/>
          </rPr>
          <t xml:space="preserve">
Luvre with Therme &amp; Scratch Resistant Paint 
Colours options available;
Snow White
Super White
</t>
        </r>
      </text>
    </comment>
    <comment ref="J16" authorId="0" shapeId="0" xr:uid="{84C680D6-67EC-40B4-BAA4-EFF7FB55B734}">
      <text>
        <r>
          <rPr>
            <sz val="8"/>
            <color indexed="81"/>
            <rFont val="Tahoma"/>
            <family val="2"/>
          </rPr>
          <t>Fauxwood Designer Eco &amp; 
Fauxwood Designer Eco Plus 
Blade sizes options are;
63mm
89mm
Fauxwood Designer Eco Night  
Blade sizes options are;
92mm
Luvre Blade sizes options are;
89mm
114mm</t>
        </r>
      </text>
    </comment>
    <comment ref="K16" authorId="0" shapeId="0" xr:uid="{84DCBEA1-8040-43A3-8427-D1B0D80A5CDF}">
      <text>
        <r>
          <rPr>
            <sz val="8"/>
            <color indexed="81"/>
            <rFont val="Tahoma"/>
            <family val="2"/>
          </rPr>
          <t>Mid Rail is required on Fauxwood Panels over 1500mm.
Cell will highlight yellow when Mid Rail is required.
Only one Critical Mid Rail is allowed.
A Mid Rail that is not marked "Critical" may be moved up or down 
up to 40mm to stop any gaps and increase/decrease the blade quantity.
Fauxwood Designer Eco will be made with the standard profile 
Bottom Rail,  Mid Rail &amp; Top Rail.
Fauxwood Designer Eco Plus will be made with the 
reinforced curved profile Bottom Rail, Mid Rail &amp; Top Rail.
Fauxwood Designer Eco Night will be made with the 
curved grooved profile Bottom Rail, Mid Rail &amp; Top Rail.
Luvre will be made with the reinforced
curved profile Bottom Rail, Mid Rail &amp; Top Rail.
Fauxwood Designer Eco Plus, Fauxwood Designer Eco Night &amp; Luvre Surcharge applies.</t>
        </r>
      </text>
    </comment>
    <comment ref="L16" authorId="0" shapeId="0" xr:uid="{3A3E259D-75B5-4600-97DD-0A0CEF75255A}">
      <text>
        <r>
          <rPr>
            <sz val="8"/>
            <color indexed="81"/>
            <rFont val="Tahoma"/>
            <family val="2"/>
          </rPr>
          <t xml:space="preserve">The Fauxwood Designer Eco, 
Fauxwood Designer Eco Plus 
&amp; Luvre Window Type options are;
Standard
Bay Window
Corner Window
Door Cut Out
Shaped Arch
Shaped Hexagon
Shaped Octagon
Shaped Oval
Shaped Parallelogram
Shaped Raked
Shaped Round
Shaped Sunburst
Shaped Triangle
These Shapes are not available
with the Rack &amp; Pinion Tiltrod;
Shaped Arch
Shaped Hexagon
Shaped Octagon
Shaped Oval
Shaped Round
Shaped Sunburst
The Fauxwood Designer Eco Night Window Type 
options are;
Standard
Bay Window
Corner Window
</t>
        </r>
        <r>
          <rPr>
            <i/>
            <sz val="8"/>
            <color indexed="81"/>
            <rFont val="Tahoma"/>
            <family val="2"/>
          </rPr>
          <t xml:space="preserve">
</t>
        </r>
        <r>
          <rPr>
            <sz val="8"/>
            <color indexed="81"/>
            <rFont val="Tahoma"/>
            <family val="2"/>
          </rPr>
          <t>Shaped Shutters will need the Panel Layout to be 
compatible with the Hidden Tiltrod system.</t>
        </r>
      </text>
    </comment>
    <comment ref="M16" authorId="0" shapeId="0" xr:uid="{95B67EFF-81CF-4557-A6C7-8570CF5117C0}">
      <text>
        <r>
          <rPr>
            <sz val="8"/>
            <color indexed="81"/>
            <rFont val="Tahoma"/>
            <family val="2"/>
          </rPr>
          <t>Mounting Method is dependent 
on  MS, In Or Out &amp; Product.
For IN &amp; Fauxwood Designer Eco,  
Fauxwood Designer Eco Plus 
&amp; Luvre the options are;
Double Hinged
Fixed
Hinged
Pivot Hinged
Sliding
Track Bi Fold
For OUT &amp; Fauxwood Designer Eco,  
Fauxwood Designer Eco Plus 
&amp; Luvre the options are;
Double Hinged
Hinged
Pivot Hinged
Sliding
Track Bi Fold
For IN &amp; Fauxwood Designer Eco Night 
the options are;
Fixed
Hinged
For OUT &amp; Fauxwood Designer Eco Night 
the options are;
Fixed
Hinged
For MS, the options are;
N/A
Pivot Hinged is not recommended for 
Designer Eco Plus or Luvre.</t>
        </r>
      </text>
    </comment>
    <comment ref="N16" authorId="0" shapeId="0" xr:uid="{3760844F-839B-45E9-B733-2B3D18BA4979}">
      <text>
        <r>
          <rPr>
            <sz val="8"/>
            <color indexed="81"/>
            <rFont val="Tahoma"/>
            <family val="2"/>
          </rPr>
          <t>For Sliding Track System options are;
Top Hung (Original System)
Bottom Wheel (New System)
The Top Hung (Original System) uses 
Top Wheels Mounting.
The Bottom Wheel (New System) uses a 
U Channel at the Top and 
Wheels at the Bottom.
This option cannot have a Floor Guide or 
Track On Board.</t>
        </r>
      </text>
    </comment>
    <comment ref="O16" authorId="0" shapeId="0" xr:uid="{FC4BA8EC-459A-4DCD-8446-FB81B3128B8F}">
      <text>
        <r>
          <rPr>
            <sz val="8"/>
            <color indexed="81"/>
            <rFont val="Tahoma"/>
            <family val="2"/>
          </rPr>
          <t>Please refer to the Shutter Manual 
when selecting Layout Code.
The list provides the most common options, 
which are dependent on Mounting Method.
More complex Layout Codes can still be entered manually.</t>
        </r>
      </text>
    </comment>
    <comment ref="P16" authorId="0" shapeId="0" xr:uid="{8599B5F6-3D0A-4C6E-B888-6E1123A4FD39}">
      <text>
        <r>
          <rPr>
            <sz val="8"/>
            <color indexed="81"/>
            <rFont val="Tahoma"/>
            <family val="2"/>
          </rPr>
          <t>Frame Type is dependent on
 Mounting Method.
If a Flat (unbeaded) Small L Frame 
is selected, a matching Stile &amp; T Post can be 
ordered in the Stile &amp; T Post column.</t>
        </r>
      </text>
    </comment>
    <comment ref="V16" authorId="0" shapeId="0" xr:uid="{66C194BF-ABDF-401F-A0AC-C9F94BDEFD85}">
      <text>
        <r>
          <rPr>
            <sz val="8"/>
            <color indexed="81"/>
            <rFont val="Tahoma"/>
            <family val="2"/>
          </rPr>
          <t>This option is dependent on the 
Material &amp; Product 
and will only be available once this 
option is selected.
For Fauxwood Designer Eco
&amp; Fauxwood Designer Eco Plus 
the options are;
Hidden
Centre
Off-Set
Rack &amp; Pinion
These Shapes are not available
with the Rack &amp; Pinion Tiltrod;
Shaped Arch
Shaped Hexagon
Shaped Octagon
Shaped Oval
Shaped Round
Shaped Sunburst
For Fauxwood Designer Eco Night
the options are;
Hidden
For Luvre the options are;
Hidden</t>
        </r>
      </text>
    </comment>
    <comment ref="W16" authorId="0" shapeId="0" xr:uid="{64B37AFA-1077-42DC-A519-08C4919F7B9A}">
      <text>
        <r>
          <rPr>
            <sz val="8"/>
            <color indexed="81"/>
            <rFont val="Tahoma"/>
            <family val="2"/>
          </rPr>
          <t xml:space="preserve">If no Hinge Colour is selected, 
then the default Hinge Colour and hardware 
will be supplied. 
The Hinge Colour options are;
Default
Stainless Steel
N/A
When Default is selected, the Hinge will be supplied 
as per the matching Hinge Colour list below;
Shutter Colour - </t>
        </r>
        <r>
          <rPr>
            <i/>
            <sz val="8"/>
            <color indexed="81"/>
            <rFont val="Tahoma"/>
            <family val="2"/>
          </rPr>
          <t>Hinge Colour</t>
        </r>
        <r>
          <rPr>
            <sz val="8"/>
            <color indexed="81"/>
            <rFont val="Tahoma"/>
            <family val="2"/>
          </rPr>
          <t xml:space="preserve">
   Bright White - </t>
        </r>
        <r>
          <rPr>
            <i/>
            <sz val="8"/>
            <color indexed="81"/>
            <rFont val="Tahoma"/>
            <family val="2"/>
          </rPr>
          <t>Bright White</t>
        </r>
        <r>
          <rPr>
            <sz val="8"/>
            <color indexed="81"/>
            <rFont val="Tahoma"/>
            <family val="2"/>
          </rPr>
          <t xml:space="preserve">
Classic White - </t>
        </r>
        <r>
          <rPr>
            <i/>
            <sz val="8"/>
            <color indexed="81"/>
            <rFont val="Tahoma"/>
            <family val="2"/>
          </rPr>
          <t>White</t>
        </r>
        <r>
          <rPr>
            <sz val="8"/>
            <color indexed="81"/>
            <rFont val="Tahoma"/>
            <family val="2"/>
          </rPr>
          <t xml:space="preserve">
Snow White - </t>
        </r>
        <r>
          <rPr>
            <i/>
            <sz val="8"/>
            <color indexed="81"/>
            <rFont val="Tahoma"/>
            <family val="2"/>
          </rPr>
          <t>Snow White</t>
        </r>
        <r>
          <rPr>
            <sz val="8"/>
            <color indexed="81"/>
            <rFont val="Tahoma"/>
            <family val="2"/>
          </rPr>
          <t xml:space="preserve">
Super White - </t>
        </r>
        <r>
          <rPr>
            <i/>
            <sz val="8"/>
            <color indexed="81"/>
            <rFont val="Tahoma"/>
            <family val="2"/>
          </rPr>
          <t>Snow White</t>
        </r>
        <r>
          <rPr>
            <sz val="8"/>
            <color indexed="81"/>
            <rFont val="Tahoma"/>
            <family val="2"/>
          </rPr>
          <t xml:space="preserve">
Vanilla - </t>
        </r>
        <r>
          <rPr>
            <i/>
            <sz val="8"/>
            <color indexed="81"/>
            <rFont val="Tahoma"/>
            <family val="2"/>
          </rPr>
          <t xml:space="preserve">Ivory
</t>
        </r>
        <r>
          <rPr>
            <sz val="8"/>
            <color indexed="81"/>
            <rFont val="Tahoma"/>
            <family val="2"/>
          </rPr>
          <t xml:space="preserve">Ceylon - </t>
        </r>
        <r>
          <rPr>
            <i/>
            <sz val="8"/>
            <color indexed="81"/>
            <rFont val="Tahoma"/>
            <family val="2"/>
          </rPr>
          <t>Ceylon</t>
        </r>
        <r>
          <rPr>
            <sz val="8"/>
            <color indexed="81"/>
            <rFont val="Tahoma"/>
            <family val="2"/>
          </rPr>
          <t xml:space="preserve">
Earl Grey - </t>
        </r>
        <r>
          <rPr>
            <i/>
            <sz val="8"/>
            <color indexed="81"/>
            <rFont val="Tahoma"/>
            <family val="2"/>
          </rPr>
          <t>Earl Grey</t>
        </r>
        <r>
          <rPr>
            <sz val="8"/>
            <color indexed="81"/>
            <rFont val="Tahoma"/>
            <family val="2"/>
          </rPr>
          <t xml:space="preserve">
French White - </t>
        </r>
        <r>
          <rPr>
            <i/>
            <sz val="8"/>
            <color indexed="81"/>
            <rFont val="Tahoma"/>
            <family val="2"/>
          </rPr>
          <t>French White</t>
        </r>
        <r>
          <rPr>
            <sz val="8"/>
            <color indexed="81"/>
            <rFont val="Tahoma"/>
            <family val="2"/>
          </rPr>
          <t xml:space="preserve">
Infinite White -</t>
        </r>
        <r>
          <rPr>
            <i/>
            <sz val="8"/>
            <color indexed="81"/>
            <rFont val="Tahoma"/>
            <family val="2"/>
          </rPr>
          <t xml:space="preserve"> Infinite White</t>
        </r>
        <r>
          <rPr>
            <sz val="8"/>
            <color indexed="81"/>
            <rFont val="Tahoma"/>
            <family val="2"/>
          </rPr>
          <t xml:space="preserve">
Polar White - </t>
        </r>
        <r>
          <rPr>
            <i/>
            <sz val="8"/>
            <color indexed="81"/>
            <rFont val="Tahoma"/>
            <family val="2"/>
          </rPr>
          <t>Polar White</t>
        </r>
        <r>
          <rPr>
            <sz val="8"/>
            <color indexed="81"/>
            <rFont val="Tahoma"/>
            <family val="2"/>
          </rPr>
          <t xml:space="preserve">
Quiet White - </t>
        </r>
        <r>
          <rPr>
            <i/>
            <sz val="8"/>
            <color indexed="81"/>
            <rFont val="Tahoma"/>
            <family val="2"/>
          </rPr>
          <t>Quiet White</t>
        </r>
        <r>
          <rPr>
            <sz val="8"/>
            <color indexed="81"/>
            <rFont val="Tahoma"/>
            <family val="2"/>
          </rPr>
          <t xml:space="preserve">
Snow Gum Grey - </t>
        </r>
        <r>
          <rPr>
            <i/>
            <sz val="8"/>
            <color indexed="81"/>
            <rFont val="Tahoma"/>
            <family val="2"/>
          </rPr>
          <t>Snow Gum Grey</t>
        </r>
        <r>
          <rPr>
            <sz val="8"/>
            <color indexed="81"/>
            <rFont val="Tahoma"/>
            <family val="2"/>
          </rPr>
          <t xml:space="preserve">
Snowy Mountains White - </t>
        </r>
        <r>
          <rPr>
            <i/>
            <sz val="8"/>
            <color indexed="81"/>
            <rFont val="Tahoma"/>
            <family val="2"/>
          </rPr>
          <t>Snowy Mountains White</t>
        </r>
        <r>
          <rPr>
            <sz val="8"/>
            <color indexed="81"/>
            <rFont val="Tahoma"/>
            <family val="2"/>
          </rPr>
          <t xml:space="preserve">
For standard Shutters in Fauxwood Designer Eco 
Standard 77mm Hinges will be used.
For standard Shutters in Fauxwood Designer Eco Plus, 
Fauxwood Designer Eco Night &amp; Luvre
Standard 90mm Hinges will be used.
The Pivot Hinged Colour options are;
White
Stainless Steel
Please refer to the Shutter Manual. 
</t>
        </r>
        <r>
          <rPr>
            <i/>
            <sz val="8"/>
            <color indexed="81"/>
            <rFont val="Tahoma"/>
            <family val="2"/>
          </rPr>
          <t>Stainless Steel Surcharge applies.</t>
        </r>
      </text>
    </comment>
    <comment ref="X16" authorId="0" shapeId="0" xr:uid="{3031CD50-C5AB-4E8A-BA15-DFE62BD9A65E}">
      <text>
        <r>
          <rPr>
            <sz val="8"/>
            <color indexed="81"/>
            <rFont val="Tahoma"/>
            <family val="2"/>
          </rPr>
          <t>Please Note: 
If Closed option is chosen then the blades 
can be damaged if they are left open 
when Sliding the Panel.
Open is not an option for 3 Tracks.</t>
        </r>
      </text>
    </comment>
    <comment ref="Y16" authorId="0" shapeId="0" xr:uid="{DEB53CE8-8D86-4C36-AD78-E4EDC3E3C878}">
      <text>
        <r>
          <rPr>
            <sz val="8"/>
            <color indexed="81"/>
            <rFont val="Tahoma"/>
            <family val="2"/>
          </rPr>
          <t>If any T Posts are required then the measurements 
must be supplied under the next columns.
Measurements should be made from the left.
A Flat (Unbeaded) T Post can be ordered to match 
the Flat Stile Shutter in the Stile &amp; T Post column.</t>
        </r>
      </text>
    </comment>
    <comment ref="AC16" authorId="0" shapeId="0" xr:uid="{A629BDCB-B8B2-4271-A190-A1E98CB189E2}">
      <text>
        <r>
          <rPr>
            <sz val="8"/>
            <color indexed="81"/>
            <rFont val="Tahoma"/>
            <family val="2"/>
          </rPr>
          <t>The Stile &amp; T Post 
options are;
Default (Beaded)
Flat Stile &amp; T Post
A Flat (unbeaded) Small L Frame can be ordered 
under the Frame Type.</t>
        </r>
      </text>
    </comment>
    <comment ref="AD16" authorId="0" shapeId="0" xr:uid="{61598294-7D5F-4496-94E5-8140040AAD5B}">
      <text>
        <r>
          <rPr>
            <sz val="8"/>
            <color indexed="81"/>
            <rFont val="Tahoma"/>
            <family val="2"/>
          </rPr>
          <t xml:space="preserve">The Designer Eco,  
Designer Eco Plus &amp; Luvre
Fluffy Strip options are;
No
Yes
Fluffy Strip is supplied with the Fauxwood Designer Eco Night Shutter.
</t>
        </r>
        <r>
          <rPr>
            <i/>
            <sz val="8"/>
            <color indexed="81"/>
            <rFont val="Tahoma"/>
            <family val="2"/>
          </rPr>
          <t>Fluffy Strip Surcharge applies.</t>
        </r>
      </text>
    </comment>
    <comment ref="C17" authorId="0" shapeId="0" xr:uid="{EFDFF305-4EDF-4B14-979E-B926790D4E2C}">
      <text>
        <r>
          <rPr>
            <sz val="8"/>
            <color indexed="81"/>
            <rFont val="Tahoma"/>
            <family val="2"/>
          </rPr>
          <t xml:space="preserve">Minimum Width is 180mm.
Maximum Fauxwood Standard Size 
Width is 650mm.
Maximum Fauxwood Designer Eco Width with 
63mm Blades is 900mm.
Maximum Fauxwood Designer Eco Width with 
89mm Blades is 900mm.
Maximum Fauxwood Designer Eco Plus Width with 
63mm Blades is 950mm.
Maximum Fauxwood Designer Eco Plus Width with 
89mm Blades is 950mm.
Maximum Fauxwood Designer Eco Night 
Width is 650mm.
Maximum Luvre Width is 950mm.
Fauxwood Designer Eco &amp; 
Fauxwood Designer Eco Plus Panels 
with a Width larger than 650mm will require 
Aluminium Inserts.
Conditions apply.
</t>
        </r>
        <r>
          <rPr>
            <i/>
            <sz val="8"/>
            <color indexed="81"/>
            <rFont val="Tahoma"/>
            <family val="2"/>
          </rPr>
          <t>Please note: 
Larger Panels may sometimes require lifting in to the frame.</t>
        </r>
      </text>
    </comment>
    <comment ref="D17" authorId="0" shapeId="0" xr:uid="{78FB0B1D-46B3-4BED-B4EB-2B17BAEA9CE0}">
      <text>
        <r>
          <rPr>
            <sz val="8"/>
            <color indexed="81"/>
            <rFont val="Tahoma"/>
            <family val="2"/>
          </rPr>
          <t>Minimum Height is 350mm.
Maximum Fauxwood Height is 2600mm.</t>
        </r>
      </text>
    </comment>
    <comment ref="E17" authorId="0" shapeId="0" xr:uid="{6F539608-27E9-4CF3-BFE6-75A723375E3C}">
      <text>
        <r>
          <rPr>
            <sz val="8"/>
            <color indexed="81"/>
            <rFont val="Tahoma"/>
            <family val="2"/>
          </rPr>
          <t xml:space="preserve">In - Inside or Reveal Fit
Out - Outside or Face Fit
Alternative Option:
MS - Make Size
Panel Only Option
</t>
        </r>
        <r>
          <rPr>
            <i/>
            <sz val="8"/>
            <color indexed="81"/>
            <rFont val="Tahoma"/>
            <family val="2"/>
          </rPr>
          <t>(Used for specific requirements only)</t>
        </r>
      </text>
    </comment>
    <comment ref="F17" authorId="0" shapeId="0" xr:uid="{32313C98-3725-4AC4-9C1C-4AD5B5060414}">
      <text>
        <r>
          <rPr>
            <sz val="8"/>
            <color indexed="81"/>
            <rFont val="Tahoma"/>
            <family val="2"/>
          </rPr>
          <t>Quantity is the number of Panels 
within the opening. 
If ordering Make Size (MS), 
this will be the number of Panels 
at this size.</t>
        </r>
      </text>
    </comment>
    <comment ref="G17" authorId="0" shapeId="0" xr:uid="{FE4EA453-2842-4419-A9B1-CCF02816EF3D}">
      <text>
        <r>
          <rPr>
            <sz val="8"/>
            <color indexed="81"/>
            <rFont val="Tahoma"/>
            <family val="2"/>
          </rPr>
          <t>Fauxwood Designer Eco will be made with the standard profile 
Bottom Rail,  Mid Rail &amp; Top Rail.
Fauxwood Designer Eco Plus will be made with the 
reinforced curved profile Bottom Rail, Mid Rail &amp; Top Rail.
Fauxwood Designer Eco Night will be made with the 
curved grooved profile Bottom Rail, Mid Rail &amp; Top Rail.
Luvre will be made with the reinforced
curved profile Bottom Rail, Mid Rail &amp; Top Rail.
Fauxwood Designer Eco Plus, Fauxwood Designer Eco Night &amp; Luvre 
Surcharge applies.</t>
        </r>
      </text>
    </comment>
    <comment ref="H17" authorId="0" shapeId="0" xr:uid="{67FAFB08-EF28-491D-8485-0BE1F56B0515}">
      <text>
        <r>
          <rPr>
            <sz val="8"/>
            <color indexed="81"/>
            <rFont val="Tahoma"/>
            <family val="2"/>
          </rPr>
          <t xml:space="preserve">Fauxwood Designer Colours options available;
Standard Colours;
Bright White
Classic White
Snow White
Super White
Vanilla
Specialty Colours;
Ceylon
Earl Grey
French White
Infinite White
Polar White
Quiet White
Snow Gum Grey
Snowy Mountains White
</t>
        </r>
        <r>
          <rPr>
            <i/>
            <sz val="8"/>
            <color indexed="81"/>
            <rFont val="Tahoma"/>
            <family val="2"/>
          </rPr>
          <t>Specialty Colours Surcharge applies.</t>
        </r>
        <r>
          <rPr>
            <sz val="8"/>
            <color indexed="81"/>
            <rFont val="Tahoma"/>
            <family val="2"/>
          </rPr>
          <t xml:space="preserve">
Luvre with Therme &amp; Scratch Resistant Paint 
Colours options available;
Snow White
Super White
</t>
        </r>
      </text>
    </comment>
    <comment ref="J17" authorId="0" shapeId="0" xr:uid="{96B44DE6-1186-4656-A46C-DDAE816B2518}">
      <text>
        <r>
          <rPr>
            <sz val="8"/>
            <color indexed="81"/>
            <rFont val="Tahoma"/>
            <family val="2"/>
          </rPr>
          <t>Fauxwood Designer Eco &amp; 
Fauxwood Designer Eco Plus 
Blade sizes options are;
63mm
89mm
Fauxwood Designer Eco Night  
Blade sizes options are;
92mm
Luvre Blade sizes options are;
89mm
114mm</t>
        </r>
      </text>
    </comment>
    <comment ref="K17" authorId="0" shapeId="0" xr:uid="{1C1C2344-B4C2-429F-AB5C-2007CE901BAD}">
      <text>
        <r>
          <rPr>
            <sz val="8"/>
            <color indexed="81"/>
            <rFont val="Tahoma"/>
            <family val="2"/>
          </rPr>
          <t>Mid Rail is required on Fauxwood Panels over 1500mm.
Cell will highlight yellow when Mid Rail is required.
Only one Critical Mid Rail is allowed.
A Mid Rail that is not marked "Critical" may be moved up or down 
up to 40mm to stop any gaps and increase/decrease the blade quantity.
Fauxwood Designer Eco will be made with the standard profile 
Bottom Rail,  Mid Rail &amp; Top Rail.
Fauxwood Designer Eco Plus will be made with the 
reinforced curved profile Bottom Rail, Mid Rail &amp; Top Rail.
Fauxwood Designer Eco Night will be made with the 
curved grooved profile Bottom Rail, Mid Rail &amp; Top Rail.
Luvre will be made with the reinforced
curved profile Bottom Rail, Mid Rail &amp; Top Rail.
Fauxwood Designer Eco Plus, Fauxwood Designer Eco Night &amp; Luvre Surcharge applies.</t>
        </r>
      </text>
    </comment>
    <comment ref="L17" authorId="0" shapeId="0" xr:uid="{221F840D-087E-4591-B5A0-7102DF6E45D4}">
      <text>
        <r>
          <rPr>
            <sz val="8"/>
            <color indexed="81"/>
            <rFont val="Tahoma"/>
            <family val="2"/>
          </rPr>
          <t xml:space="preserve">The Fauxwood Designer Eco, 
Fauxwood Designer Eco Plus 
&amp; Luvre Window Type options are;
Standard
Bay Window
Corner Window
Door Cut Out
Shaped Arch
Shaped Hexagon
Shaped Octagon
Shaped Oval
Shaped Parallelogram
Shaped Raked
Shaped Round
Shaped Sunburst
Shaped Triangle
These Shapes are not available
with the Rack &amp; Pinion Tiltrod;
Shaped Arch
Shaped Hexagon
Shaped Octagon
Shaped Oval
Shaped Round
Shaped Sunburst
The Fauxwood Designer Eco Night Window Type 
options are;
Standard
Bay Window
Corner Window
</t>
        </r>
        <r>
          <rPr>
            <i/>
            <sz val="8"/>
            <color indexed="81"/>
            <rFont val="Tahoma"/>
            <family val="2"/>
          </rPr>
          <t xml:space="preserve">
</t>
        </r>
        <r>
          <rPr>
            <sz val="8"/>
            <color indexed="81"/>
            <rFont val="Tahoma"/>
            <family val="2"/>
          </rPr>
          <t>Shaped Shutters will need the Panel Layout to be 
compatible with the Hidden Tiltrod system.</t>
        </r>
      </text>
    </comment>
    <comment ref="M17" authorId="0" shapeId="0" xr:uid="{E713A83F-1D0F-4FC9-85E5-653B10669B05}">
      <text>
        <r>
          <rPr>
            <sz val="8"/>
            <color indexed="81"/>
            <rFont val="Tahoma"/>
            <family val="2"/>
          </rPr>
          <t>Mounting Method is dependent 
on  MS, In Or Out &amp; Product.
For IN &amp; Fauxwood Designer Eco,  
Fauxwood Designer Eco Plus 
&amp; Luvre the options are;
Double Hinged
Fixed
Hinged
Pivot Hinged
Sliding
Track Bi Fold
For OUT &amp; Fauxwood Designer Eco,  
Fauxwood Designer Eco Plus 
&amp; Luvre the options are;
Double Hinged
Hinged
Pivot Hinged
Sliding
Track Bi Fold
For IN &amp; Fauxwood Designer Eco Night 
the options are;
Fixed
Hinged
For OUT &amp; Fauxwood Designer Eco Night 
the options are;
Fixed
Hinged
For MS, the options are;
N/A
Pivot Hinged is not recommended for 
Designer Eco Plus or Luvre.</t>
        </r>
      </text>
    </comment>
    <comment ref="N17" authorId="0" shapeId="0" xr:uid="{25AA86FC-46F1-4479-AE2C-E36EF57A35E7}">
      <text>
        <r>
          <rPr>
            <sz val="8"/>
            <color indexed="81"/>
            <rFont val="Tahoma"/>
            <family val="2"/>
          </rPr>
          <t>For Sliding Track System options are;
Top Hung (Original System)
Bottom Wheel (New System)
The Top Hung (Original System) uses 
Top Wheels Mounting.
The Bottom Wheel (New System) uses a 
U Channel at the Top and 
Wheels at the Bottom.
This option cannot have a Floor Guide or 
Track On Board.</t>
        </r>
      </text>
    </comment>
    <comment ref="O17" authorId="0" shapeId="0" xr:uid="{C224DEEF-CE14-40C9-80B5-AC2F8A445873}">
      <text>
        <r>
          <rPr>
            <sz val="8"/>
            <color indexed="81"/>
            <rFont val="Tahoma"/>
            <family val="2"/>
          </rPr>
          <t>Please refer to the Shutter Manual 
when selecting Layout Code.
The list provides the most common options, 
which are dependent on Mounting Method.
More complex Layout Codes can still be entered manually.</t>
        </r>
      </text>
    </comment>
    <comment ref="P17" authorId="0" shapeId="0" xr:uid="{0F4F2D05-5D62-421C-8DC2-16A70A6AFC08}">
      <text>
        <r>
          <rPr>
            <sz val="8"/>
            <color indexed="81"/>
            <rFont val="Tahoma"/>
            <family val="2"/>
          </rPr>
          <t>Frame Type is dependent on
 Mounting Method.
If a Flat (unbeaded) Small L Frame 
is selected, a matching Stile &amp; T Post can be 
ordered in the Stile &amp; T Post column.</t>
        </r>
      </text>
    </comment>
    <comment ref="V17" authorId="0" shapeId="0" xr:uid="{7E969E60-6339-49F3-A321-F605D03C6A47}">
      <text>
        <r>
          <rPr>
            <sz val="8"/>
            <color indexed="81"/>
            <rFont val="Tahoma"/>
            <family val="2"/>
          </rPr>
          <t>This option is dependent on the 
Material &amp; Product 
and will only be available once this 
option is selected.
For Fauxwood Designer Eco
&amp; Fauxwood Designer Eco Plus 
the options are;
Hidden
Centre
Off-Set
Rack &amp; Pinion
These Shapes are not available
with the Rack &amp; Pinion Tiltrod;
Shaped Arch
Shaped Hexagon
Shaped Octagon
Shaped Oval
Shaped Round
Shaped Sunburst
For Fauxwood Designer Eco Night
the options are;
Hidden
For Luvre the options are;
Hidden</t>
        </r>
      </text>
    </comment>
    <comment ref="W17" authorId="0" shapeId="0" xr:uid="{285E60B1-FD12-4270-8903-25AAC1E1E8E9}">
      <text>
        <r>
          <rPr>
            <sz val="8"/>
            <color indexed="81"/>
            <rFont val="Tahoma"/>
            <family val="2"/>
          </rPr>
          <t xml:space="preserve">If no Hinge Colour is selected, 
then the default Hinge Colour and hardware 
will be supplied. 
The Hinge Colour options are;
Default
Stainless Steel
N/A
When Default is selected, the Hinge will be supplied 
as per the matching Hinge Colour list below;
Shutter Colour - </t>
        </r>
        <r>
          <rPr>
            <i/>
            <sz val="8"/>
            <color indexed="81"/>
            <rFont val="Tahoma"/>
            <family val="2"/>
          </rPr>
          <t>Hinge Colour</t>
        </r>
        <r>
          <rPr>
            <sz val="8"/>
            <color indexed="81"/>
            <rFont val="Tahoma"/>
            <family val="2"/>
          </rPr>
          <t xml:space="preserve">
   Bright White - </t>
        </r>
        <r>
          <rPr>
            <i/>
            <sz val="8"/>
            <color indexed="81"/>
            <rFont val="Tahoma"/>
            <family val="2"/>
          </rPr>
          <t>Bright White</t>
        </r>
        <r>
          <rPr>
            <sz val="8"/>
            <color indexed="81"/>
            <rFont val="Tahoma"/>
            <family val="2"/>
          </rPr>
          <t xml:space="preserve">
Classic White - </t>
        </r>
        <r>
          <rPr>
            <i/>
            <sz val="8"/>
            <color indexed="81"/>
            <rFont val="Tahoma"/>
            <family val="2"/>
          </rPr>
          <t>White</t>
        </r>
        <r>
          <rPr>
            <sz val="8"/>
            <color indexed="81"/>
            <rFont val="Tahoma"/>
            <family val="2"/>
          </rPr>
          <t xml:space="preserve">
Snow White - </t>
        </r>
        <r>
          <rPr>
            <i/>
            <sz val="8"/>
            <color indexed="81"/>
            <rFont val="Tahoma"/>
            <family val="2"/>
          </rPr>
          <t>Snow White</t>
        </r>
        <r>
          <rPr>
            <sz val="8"/>
            <color indexed="81"/>
            <rFont val="Tahoma"/>
            <family val="2"/>
          </rPr>
          <t xml:space="preserve">
Super White - </t>
        </r>
        <r>
          <rPr>
            <i/>
            <sz val="8"/>
            <color indexed="81"/>
            <rFont val="Tahoma"/>
            <family val="2"/>
          </rPr>
          <t>Snow White</t>
        </r>
        <r>
          <rPr>
            <sz val="8"/>
            <color indexed="81"/>
            <rFont val="Tahoma"/>
            <family val="2"/>
          </rPr>
          <t xml:space="preserve">
Vanilla - </t>
        </r>
        <r>
          <rPr>
            <i/>
            <sz val="8"/>
            <color indexed="81"/>
            <rFont val="Tahoma"/>
            <family val="2"/>
          </rPr>
          <t xml:space="preserve">Ivory
</t>
        </r>
        <r>
          <rPr>
            <sz val="8"/>
            <color indexed="81"/>
            <rFont val="Tahoma"/>
            <family val="2"/>
          </rPr>
          <t xml:space="preserve">Ceylon - </t>
        </r>
        <r>
          <rPr>
            <i/>
            <sz val="8"/>
            <color indexed="81"/>
            <rFont val="Tahoma"/>
            <family val="2"/>
          </rPr>
          <t>Ceylon</t>
        </r>
        <r>
          <rPr>
            <sz val="8"/>
            <color indexed="81"/>
            <rFont val="Tahoma"/>
            <family val="2"/>
          </rPr>
          <t xml:space="preserve">
Earl Grey - </t>
        </r>
        <r>
          <rPr>
            <i/>
            <sz val="8"/>
            <color indexed="81"/>
            <rFont val="Tahoma"/>
            <family val="2"/>
          </rPr>
          <t>Earl Grey</t>
        </r>
        <r>
          <rPr>
            <sz val="8"/>
            <color indexed="81"/>
            <rFont val="Tahoma"/>
            <family val="2"/>
          </rPr>
          <t xml:space="preserve">
French White - </t>
        </r>
        <r>
          <rPr>
            <i/>
            <sz val="8"/>
            <color indexed="81"/>
            <rFont val="Tahoma"/>
            <family val="2"/>
          </rPr>
          <t>French White</t>
        </r>
        <r>
          <rPr>
            <sz val="8"/>
            <color indexed="81"/>
            <rFont val="Tahoma"/>
            <family val="2"/>
          </rPr>
          <t xml:space="preserve">
Infinite White -</t>
        </r>
        <r>
          <rPr>
            <i/>
            <sz val="8"/>
            <color indexed="81"/>
            <rFont val="Tahoma"/>
            <family val="2"/>
          </rPr>
          <t xml:space="preserve"> Infinite White</t>
        </r>
        <r>
          <rPr>
            <sz val="8"/>
            <color indexed="81"/>
            <rFont val="Tahoma"/>
            <family val="2"/>
          </rPr>
          <t xml:space="preserve">
Polar White - </t>
        </r>
        <r>
          <rPr>
            <i/>
            <sz val="8"/>
            <color indexed="81"/>
            <rFont val="Tahoma"/>
            <family val="2"/>
          </rPr>
          <t>Polar White</t>
        </r>
        <r>
          <rPr>
            <sz val="8"/>
            <color indexed="81"/>
            <rFont val="Tahoma"/>
            <family val="2"/>
          </rPr>
          <t xml:space="preserve">
Quiet White - </t>
        </r>
        <r>
          <rPr>
            <i/>
            <sz val="8"/>
            <color indexed="81"/>
            <rFont val="Tahoma"/>
            <family val="2"/>
          </rPr>
          <t>Quiet White</t>
        </r>
        <r>
          <rPr>
            <sz val="8"/>
            <color indexed="81"/>
            <rFont val="Tahoma"/>
            <family val="2"/>
          </rPr>
          <t xml:space="preserve">
Snow Gum Grey - </t>
        </r>
        <r>
          <rPr>
            <i/>
            <sz val="8"/>
            <color indexed="81"/>
            <rFont val="Tahoma"/>
            <family val="2"/>
          </rPr>
          <t>Snow Gum Grey</t>
        </r>
        <r>
          <rPr>
            <sz val="8"/>
            <color indexed="81"/>
            <rFont val="Tahoma"/>
            <family val="2"/>
          </rPr>
          <t xml:space="preserve">
Snowy Mountains White - </t>
        </r>
        <r>
          <rPr>
            <i/>
            <sz val="8"/>
            <color indexed="81"/>
            <rFont val="Tahoma"/>
            <family val="2"/>
          </rPr>
          <t>Snowy Mountains White</t>
        </r>
        <r>
          <rPr>
            <sz val="8"/>
            <color indexed="81"/>
            <rFont val="Tahoma"/>
            <family val="2"/>
          </rPr>
          <t xml:space="preserve">
For standard Shutters in Fauxwood Designer Eco 
Standard 77mm Hinges will be used.
For standard Shutters in Fauxwood Designer Eco Plus, 
Fauxwood Designer Eco Night &amp; Luvre
Standard 90mm Hinges will be used.
The Pivot Hinged Colour options are;
White
Stainless Steel
Please refer to the Shutter Manual. 
</t>
        </r>
        <r>
          <rPr>
            <i/>
            <sz val="8"/>
            <color indexed="81"/>
            <rFont val="Tahoma"/>
            <family val="2"/>
          </rPr>
          <t>Stainless Steel Surcharge applies.</t>
        </r>
      </text>
    </comment>
    <comment ref="X17" authorId="0" shapeId="0" xr:uid="{2A022F51-3915-43BC-A4B5-2AE79044F05C}">
      <text>
        <r>
          <rPr>
            <sz val="8"/>
            <color indexed="81"/>
            <rFont val="Tahoma"/>
            <family val="2"/>
          </rPr>
          <t>Please Note: 
If Closed option is chosen then the blades 
can be damaged if they are left open 
when Sliding the Panel.
Open is not an option for 3 Tracks.</t>
        </r>
      </text>
    </comment>
    <comment ref="Y17" authorId="0" shapeId="0" xr:uid="{8118B076-2955-4022-93D8-16DC973D5B50}">
      <text>
        <r>
          <rPr>
            <sz val="8"/>
            <color indexed="81"/>
            <rFont val="Tahoma"/>
            <family val="2"/>
          </rPr>
          <t>If any T Posts are required then the measurements 
must be supplied under the next columns.
Measurements should be made from the left.
A Flat (Unbeaded) T Post can be ordered to match 
the Flat Stile Shutter in the Stile &amp; T Post column.</t>
        </r>
      </text>
    </comment>
    <comment ref="AC17" authorId="0" shapeId="0" xr:uid="{695B202D-7049-47D1-A7D1-9D5D39B0F8F9}">
      <text>
        <r>
          <rPr>
            <sz val="8"/>
            <color indexed="81"/>
            <rFont val="Tahoma"/>
            <family val="2"/>
          </rPr>
          <t>The Stile &amp; T Post 
options are;
Default (Beaded)
Flat Stile &amp; T Post
A Flat (unbeaded) Small L Frame can be ordered 
under the Frame Type.</t>
        </r>
      </text>
    </comment>
    <comment ref="AD17" authorId="0" shapeId="0" xr:uid="{6B4B4843-BE79-450D-BDED-6B6220C3DE7B}">
      <text>
        <r>
          <rPr>
            <sz val="8"/>
            <color indexed="81"/>
            <rFont val="Tahoma"/>
            <family val="2"/>
          </rPr>
          <t xml:space="preserve">The Designer Eco,  
Designer Eco Plus &amp; Luvre
Fluffy Strip options are;
No
Yes
Fluffy Strip is supplied with the Fauxwood Designer Eco Night Shutter.
</t>
        </r>
        <r>
          <rPr>
            <i/>
            <sz val="8"/>
            <color indexed="81"/>
            <rFont val="Tahoma"/>
            <family val="2"/>
          </rPr>
          <t>Fluffy Strip Surcharge applies.</t>
        </r>
      </text>
    </comment>
    <comment ref="C18" authorId="0" shapeId="0" xr:uid="{DEBF6211-120F-4844-AFE6-2BA488616D1C}">
      <text>
        <r>
          <rPr>
            <sz val="8"/>
            <color indexed="81"/>
            <rFont val="Tahoma"/>
            <family val="2"/>
          </rPr>
          <t xml:space="preserve">Minimum Width is 180mm.
Maximum Fauxwood Standard Size 
Width is 650mm.
Maximum Fauxwood Designer Eco Width with 
63mm Blades is 900mm.
Maximum Fauxwood Designer Eco Width with 
89mm Blades is 900mm.
Maximum Fauxwood Designer Eco Plus Width with 
63mm Blades is 950mm.
Maximum Fauxwood Designer Eco Plus Width with 
89mm Blades is 950mm.
Maximum Fauxwood Designer Eco Night 
Width is 650mm.
Maximum Luvre Width is 950mm.
Fauxwood Designer Eco &amp; 
Fauxwood Designer Eco Plus Panels 
with a Width larger than 650mm will require 
Aluminium Inserts.
Conditions apply.
</t>
        </r>
        <r>
          <rPr>
            <i/>
            <sz val="8"/>
            <color indexed="81"/>
            <rFont val="Tahoma"/>
            <family val="2"/>
          </rPr>
          <t>Please note: 
Larger Panels may sometimes require lifting in to the frame.</t>
        </r>
      </text>
    </comment>
    <comment ref="D18" authorId="0" shapeId="0" xr:uid="{636A98BF-AB60-425F-AE30-43715FD50798}">
      <text>
        <r>
          <rPr>
            <sz val="8"/>
            <color indexed="81"/>
            <rFont val="Tahoma"/>
            <family val="2"/>
          </rPr>
          <t>Minimum Height is 350mm.
Maximum Fauxwood Height is 2600mm.</t>
        </r>
      </text>
    </comment>
    <comment ref="E18" authorId="0" shapeId="0" xr:uid="{839B41FF-DBD6-4F8D-B901-2C12D48CF0F3}">
      <text>
        <r>
          <rPr>
            <sz val="8"/>
            <color indexed="81"/>
            <rFont val="Tahoma"/>
            <family val="2"/>
          </rPr>
          <t xml:space="preserve">In - Inside or Reveal Fit
Out - Outside or Face Fit
Alternative Option:
MS - Make Size
Panel Only Option
</t>
        </r>
        <r>
          <rPr>
            <i/>
            <sz val="8"/>
            <color indexed="81"/>
            <rFont val="Tahoma"/>
            <family val="2"/>
          </rPr>
          <t>(Used for specific requirements only)</t>
        </r>
      </text>
    </comment>
    <comment ref="F18" authorId="0" shapeId="0" xr:uid="{4EA82D46-3A5F-4513-A3CA-6C27A9FAA891}">
      <text>
        <r>
          <rPr>
            <sz val="8"/>
            <color indexed="81"/>
            <rFont val="Tahoma"/>
            <family val="2"/>
          </rPr>
          <t>Quantity is the number of Panels 
within the opening. 
If ordering Make Size (MS), 
this will be the number of Panels 
at this size.</t>
        </r>
      </text>
    </comment>
    <comment ref="G18" authorId="0" shapeId="0" xr:uid="{2DF4D85B-6C56-4DE2-92D9-14094258BCC7}">
      <text>
        <r>
          <rPr>
            <sz val="8"/>
            <color indexed="81"/>
            <rFont val="Tahoma"/>
            <family val="2"/>
          </rPr>
          <t>Fauxwood Designer Eco will be made with the standard profile 
Bottom Rail,  Mid Rail &amp; Top Rail.
Fauxwood Designer Eco Plus will be made with the 
reinforced curved profile Bottom Rail, Mid Rail &amp; Top Rail.
Fauxwood Designer Eco Night will be made with the 
curved grooved profile Bottom Rail, Mid Rail &amp; Top Rail.
Luvre will be made with the reinforced
curved profile Bottom Rail, Mid Rail &amp; Top Rail.
Fauxwood Designer Eco Plus, Fauxwood Designer Eco Night &amp; Luvre 
Surcharge applies.</t>
        </r>
      </text>
    </comment>
    <comment ref="H18" authorId="0" shapeId="0" xr:uid="{52BE0ACB-8702-404D-B498-4BC8648D02E8}">
      <text>
        <r>
          <rPr>
            <sz val="8"/>
            <color indexed="81"/>
            <rFont val="Tahoma"/>
            <family val="2"/>
          </rPr>
          <t xml:space="preserve">Fauxwood Designer Colours options available;
Standard Colours;
Bright White
Classic White
Snow White
Super White
Vanilla
Specialty Colours;
Ceylon
Earl Grey
French White
Infinite White
Polar White
Quiet White
Snow Gum Grey
Snowy Mountains White
</t>
        </r>
        <r>
          <rPr>
            <i/>
            <sz val="8"/>
            <color indexed="81"/>
            <rFont val="Tahoma"/>
            <family val="2"/>
          </rPr>
          <t>Specialty Colours Surcharge applies.</t>
        </r>
        <r>
          <rPr>
            <sz val="8"/>
            <color indexed="81"/>
            <rFont val="Tahoma"/>
            <family val="2"/>
          </rPr>
          <t xml:space="preserve">
Luvre with Therme &amp; Scratch Resistant Paint 
Colours options available;
Snow White
Super White
</t>
        </r>
      </text>
    </comment>
    <comment ref="J18" authorId="0" shapeId="0" xr:uid="{D67B631B-002D-4C40-AEFA-B18E466162F4}">
      <text>
        <r>
          <rPr>
            <sz val="8"/>
            <color indexed="81"/>
            <rFont val="Tahoma"/>
            <family val="2"/>
          </rPr>
          <t>Fauxwood Designer Eco &amp; 
Fauxwood Designer Eco Plus 
Blade sizes options are;
63mm
89mm
Fauxwood Designer Eco Night  
Blade sizes options are;
92mm
Luvre Blade sizes options are;
89mm
114mm</t>
        </r>
      </text>
    </comment>
    <comment ref="K18" authorId="0" shapeId="0" xr:uid="{52AFFC10-C683-4241-AB0C-96ACC66436DF}">
      <text>
        <r>
          <rPr>
            <sz val="8"/>
            <color indexed="81"/>
            <rFont val="Tahoma"/>
            <family val="2"/>
          </rPr>
          <t>Mid Rail is required on Fauxwood Panels over 1500mm.
Cell will highlight yellow when Mid Rail is required.
Only one Critical Mid Rail is allowed.
A Mid Rail that is not marked "Critical" may be moved up or down 
up to 40mm to stop any gaps and increase/decrease the blade quantity.
Fauxwood Designer Eco will be made with the standard profile 
Bottom Rail,  Mid Rail &amp; Top Rail.
Fauxwood Designer Eco Plus will be made with the 
reinforced curved profile Bottom Rail, Mid Rail &amp; Top Rail.
Fauxwood Designer Eco Night will be made with the 
curved grooved profile Bottom Rail, Mid Rail &amp; Top Rail.
Luvre will be made with the reinforced
curved profile Bottom Rail, Mid Rail &amp; Top Rail.
Fauxwood Designer Eco Plus, Fauxwood Designer Eco Night &amp; Luvre Surcharge applies.</t>
        </r>
      </text>
    </comment>
    <comment ref="L18" authorId="0" shapeId="0" xr:uid="{2F5BBADC-6C67-4B23-ACAE-BE9BF8C54F02}">
      <text>
        <r>
          <rPr>
            <sz val="8"/>
            <color indexed="81"/>
            <rFont val="Tahoma"/>
            <family val="2"/>
          </rPr>
          <t xml:space="preserve">The Fauxwood Designer Eco, 
Fauxwood Designer Eco Plus 
&amp; Luvre Window Type options are;
Standard
Bay Window
Corner Window
Door Cut Out
Shaped Arch
Shaped Hexagon
Shaped Octagon
Shaped Oval
Shaped Parallelogram
Shaped Raked
Shaped Round
Shaped Sunburst
Shaped Triangle
These Shapes are not available
with the Rack &amp; Pinion Tiltrod;
Shaped Arch
Shaped Hexagon
Shaped Octagon
Shaped Oval
Shaped Round
Shaped Sunburst
The Fauxwood Designer Eco Night Window Type 
options are;
Standard
Bay Window
Corner Window
</t>
        </r>
        <r>
          <rPr>
            <i/>
            <sz val="8"/>
            <color indexed="81"/>
            <rFont val="Tahoma"/>
            <family val="2"/>
          </rPr>
          <t xml:space="preserve">
</t>
        </r>
        <r>
          <rPr>
            <sz val="8"/>
            <color indexed="81"/>
            <rFont val="Tahoma"/>
            <family val="2"/>
          </rPr>
          <t>Shaped Shutters will need the Panel Layout to be 
compatible with the Hidden Tiltrod system.</t>
        </r>
      </text>
    </comment>
    <comment ref="M18" authorId="0" shapeId="0" xr:uid="{D05189AC-A430-400B-BD18-23EC0DFFD87A}">
      <text>
        <r>
          <rPr>
            <sz val="8"/>
            <color indexed="81"/>
            <rFont val="Tahoma"/>
            <family val="2"/>
          </rPr>
          <t>Mounting Method is dependent 
on  MS, In Or Out &amp; Product.
For IN &amp; Fauxwood Designer Eco,  
Fauxwood Designer Eco Plus 
&amp; Luvre the options are;
Double Hinged
Fixed
Hinged
Pivot Hinged
Sliding
Track Bi Fold
For OUT &amp; Fauxwood Designer Eco,  
Fauxwood Designer Eco Plus 
&amp; Luvre the options are;
Double Hinged
Hinged
Pivot Hinged
Sliding
Track Bi Fold
For IN &amp; Fauxwood Designer Eco Night 
the options are;
Fixed
Hinged
For OUT &amp; Fauxwood Designer Eco Night 
the options are;
Fixed
Hinged
For MS, the options are;
N/A
Pivot Hinged is not recommended for 
Designer Eco Plus or Luvre.</t>
        </r>
      </text>
    </comment>
    <comment ref="N18" authorId="0" shapeId="0" xr:uid="{080583C0-EECA-498D-BCBE-0F1DAC2F26B3}">
      <text>
        <r>
          <rPr>
            <sz val="8"/>
            <color indexed="81"/>
            <rFont val="Tahoma"/>
            <family val="2"/>
          </rPr>
          <t>For Sliding Track System options are;
Top Hung (Original System)
Bottom Wheel (New System)
The Top Hung (Original System) uses 
Top Wheels Mounting.
The Bottom Wheel (New System) uses a 
U Channel at the Top and 
Wheels at the Bottom.
This option cannot have a Floor Guide or 
Track On Board.</t>
        </r>
      </text>
    </comment>
    <comment ref="O18" authorId="0" shapeId="0" xr:uid="{BF5C5D2A-DDF7-4382-9C6D-794AA689BBFE}">
      <text>
        <r>
          <rPr>
            <sz val="8"/>
            <color indexed="81"/>
            <rFont val="Tahoma"/>
            <family val="2"/>
          </rPr>
          <t>Please refer to the Shutter Manual 
when selecting Layout Code.
The list provides the most common options, 
which are dependent on Mounting Method.
More complex Layout Codes can still be entered manually.</t>
        </r>
      </text>
    </comment>
    <comment ref="P18" authorId="0" shapeId="0" xr:uid="{662E0585-072F-4A04-B883-8F835C0046CE}">
      <text>
        <r>
          <rPr>
            <sz val="8"/>
            <color indexed="81"/>
            <rFont val="Tahoma"/>
            <family val="2"/>
          </rPr>
          <t>Frame Type is dependent on
 Mounting Method.
If a Flat (unbeaded) Small L Frame 
is selected, a matching Stile &amp; T Post can be 
ordered in the Stile &amp; T Post column.</t>
        </r>
      </text>
    </comment>
    <comment ref="V18" authorId="0" shapeId="0" xr:uid="{5C372AF2-54CF-401C-9816-90060FEF383B}">
      <text>
        <r>
          <rPr>
            <sz val="8"/>
            <color indexed="81"/>
            <rFont val="Tahoma"/>
            <family val="2"/>
          </rPr>
          <t>This option is dependent on the 
Material &amp; Product 
and will only be available once this 
option is selected.
For Fauxwood Designer Eco
&amp; Fauxwood Designer Eco Plus 
the options are;
Hidden
Centre
Off-Set
Rack &amp; Pinion
These Shapes are not available
with the Rack &amp; Pinion Tiltrod;
Shaped Arch
Shaped Hexagon
Shaped Octagon
Shaped Oval
Shaped Round
Shaped Sunburst
For Fauxwood Designer Eco Night
the options are;
Hidden
For Luvre the options are;
Hidden</t>
        </r>
      </text>
    </comment>
    <comment ref="W18" authorId="0" shapeId="0" xr:uid="{B626D178-A018-4909-909D-FBCBACC003F3}">
      <text>
        <r>
          <rPr>
            <sz val="8"/>
            <color indexed="81"/>
            <rFont val="Tahoma"/>
            <family val="2"/>
          </rPr>
          <t xml:space="preserve">If no Hinge Colour is selected, 
then the default Hinge Colour and hardware 
will be supplied. 
The Hinge Colour options are;
Default
Stainless Steel
N/A
When Default is selected, the Hinge will be supplied 
as per the matching Hinge Colour list below;
Shutter Colour - </t>
        </r>
        <r>
          <rPr>
            <i/>
            <sz val="8"/>
            <color indexed="81"/>
            <rFont val="Tahoma"/>
            <family val="2"/>
          </rPr>
          <t>Hinge Colour</t>
        </r>
        <r>
          <rPr>
            <sz val="8"/>
            <color indexed="81"/>
            <rFont val="Tahoma"/>
            <family val="2"/>
          </rPr>
          <t xml:space="preserve">
   Bright White - </t>
        </r>
        <r>
          <rPr>
            <i/>
            <sz val="8"/>
            <color indexed="81"/>
            <rFont val="Tahoma"/>
            <family val="2"/>
          </rPr>
          <t>Bright White</t>
        </r>
        <r>
          <rPr>
            <sz val="8"/>
            <color indexed="81"/>
            <rFont val="Tahoma"/>
            <family val="2"/>
          </rPr>
          <t xml:space="preserve">
Classic White - </t>
        </r>
        <r>
          <rPr>
            <i/>
            <sz val="8"/>
            <color indexed="81"/>
            <rFont val="Tahoma"/>
            <family val="2"/>
          </rPr>
          <t>White</t>
        </r>
        <r>
          <rPr>
            <sz val="8"/>
            <color indexed="81"/>
            <rFont val="Tahoma"/>
            <family val="2"/>
          </rPr>
          <t xml:space="preserve">
Snow White - </t>
        </r>
        <r>
          <rPr>
            <i/>
            <sz val="8"/>
            <color indexed="81"/>
            <rFont val="Tahoma"/>
            <family val="2"/>
          </rPr>
          <t>Snow White</t>
        </r>
        <r>
          <rPr>
            <sz val="8"/>
            <color indexed="81"/>
            <rFont val="Tahoma"/>
            <family val="2"/>
          </rPr>
          <t xml:space="preserve">
Super White - </t>
        </r>
        <r>
          <rPr>
            <i/>
            <sz val="8"/>
            <color indexed="81"/>
            <rFont val="Tahoma"/>
            <family val="2"/>
          </rPr>
          <t>Snow White</t>
        </r>
        <r>
          <rPr>
            <sz val="8"/>
            <color indexed="81"/>
            <rFont val="Tahoma"/>
            <family val="2"/>
          </rPr>
          <t xml:space="preserve">
Vanilla - </t>
        </r>
        <r>
          <rPr>
            <i/>
            <sz val="8"/>
            <color indexed="81"/>
            <rFont val="Tahoma"/>
            <family val="2"/>
          </rPr>
          <t xml:space="preserve">Ivory
</t>
        </r>
        <r>
          <rPr>
            <sz val="8"/>
            <color indexed="81"/>
            <rFont val="Tahoma"/>
            <family val="2"/>
          </rPr>
          <t xml:space="preserve">Ceylon - </t>
        </r>
        <r>
          <rPr>
            <i/>
            <sz val="8"/>
            <color indexed="81"/>
            <rFont val="Tahoma"/>
            <family val="2"/>
          </rPr>
          <t>Ceylon</t>
        </r>
        <r>
          <rPr>
            <sz val="8"/>
            <color indexed="81"/>
            <rFont val="Tahoma"/>
            <family val="2"/>
          </rPr>
          <t xml:space="preserve">
Earl Grey - </t>
        </r>
        <r>
          <rPr>
            <i/>
            <sz val="8"/>
            <color indexed="81"/>
            <rFont val="Tahoma"/>
            <family val="2"/>
          </rPr>
          <t>Earl Grey</t>
        </r>
        <r>
          <rPr>
            <sz val="8"/>
            <color indexed="81"/>
            <rFont val="Tahoma"/>
            <family val="2"/>
          </rPr>
          <t xml:space="preserve">
French White - </t>
        </r>
        <r>
          <rPr>
            <i/>
            <sz val="8"/>
            <color indexed="81"/>
            <rFont val="Tahoma"/>
            <family val="2"/>
          </rPr>
          <t>French White</t>
        </r>
        <r>
          <rPr>
            <sz val="8"/>
            <color indexed="81"/>
            <rFont val="Tahoma"/>
            <family val="2"/>
          </rPr>
          <t xml:space="preserve">
Infinite White -</t>
        </r>
        <r>
          <rPr>
            <i/>
            <sz val="8"/>
            <color indexed="81"/>
            <rFont val="Tahoma"/>
            <family val="2"/>
          </rPr>
          <t xml:space="preserve"> Infinite White</t>
        </r>
        <r>
          <rPr>
            <sz val="8"/>
            <color indexed="81"/>
            <rFont val="Tahoma"/>
            <family val="2"/>
          </rPr>
          <t xml:space="preserve">
Polar White - </t>
        </r>
        <r>
          <rPr>
            <i/>
            <sz val="8"/>
            <color indexed="81"/>
            <rFont val="Tahoma"/>
            <family val="2"/>
          </rPr>
          <t>Polar White</t>
        </r>
        <r>
          <rPr>
            <sz val="8"/>
            <color indexed="81"/>
            <rFont val="Tahoma"/>
            <family val="2"/>
          </rPr>
          <t xml:space="preserve">
Quiet White - </t>
        </r>
        <r>
          <rPr>
            <i/>
            <sz val="8"/>
            <color indexed="81"/>
            <rFont val="Tahoma"/>
            <family val="2"/>
          </rPr>
          <t>Quiet White</t>
        </r>
        <r>
          <rPr>
            <sz val="8"/>
            <color indexed="81"/>
            <rFont val="Tahoma"/>
            <family val="2"/>
          </rPr>
          <t xml:space="preserve">
Snow Gum Grey - </t>
        </r>
        <r>
          <rPr>
            <i/>
            <sz val="8"/>
            <color indexed="81"/>
            <rFont val="Tahoma"/>
            <family val="2"/>
          </rPr>
          <t>Snow Gum Grey</t>
        </r>
        <r>
          <rPr>
            <sz val="8"/>
            <color indexed="81"/>
            <rFont val="Tahoma"/>
            <family val="2"/>
          </rPr>
          <t xml:space="preserve">
Snowy Mountains White - </t>
        </r>
        <r>
          <rPr>
            <i/>
            <sz val="8"/>
            <color indexed="81"/>
            <rFont val="Tahoma"/>
            <family val="2"/>
          </rPr>
          <t>Snowy Mountains White</t>
        </r>
        <r>
          <rPr>
            <sz val="8"/>
            <color indexed="81"/>
            <rFont val="Tahoma"/>
            <family val="2"/>
          </rPr>
          <t xml:space="preserve">
For standard Shutters in Fauxwood Designer Eco 
Standard 77mm Hinges will be used.
For standard Shutters in Fauxwood Designer Eco Plus, 
Fauxwood Designer Eco Night &amp; Luvre
Standard 90mm Hinges will be used.
The Pivot Hinged Colour options are;
White
Stainless Steel
Please refer to the Shutter Manual. 
</t>
        </r>
        <r>
          <rPr>
            <i/>
            <sz val="8"/>
            <color indexed="81"/>
            <rFont val="Tahoma"/>
            <family val="2"/>
          </rPr>
          <t>Stainless Steel Surcharge applies.</t>
        </r>
      </text>
    </comment>
    <comment ref="X18" authorId="0" shapeId="0" xr:uid="{A9150C9A-C18C-43E0-941F-F8CABB132527}">
      <text>
        <r>
          <rPr>
            <sz val="8"/>
            <color indexed="81"/>
            <rFont val="Tahoma"/>
            <family val="2"/>
          </rPr>
          <t>Please Note: 
If Closed option is chosen then the blades 
can be damaged if they are left open 
when Sliding the Panel.
Open is not an option for 3 Tracks.</t>
        </r>
      </text>
    </comment>
    <comment ref="Y18" authorId="0" shapeId="0" xr:uid="{2168BA73-2657-4B35-A63A-CD8D97D998D1}">
      <text>
        <r>
          <rPr>
            <sz val="8"/>
            <color indexed="81"/>
            <rFont val="Tahoma"/>
            <family val="2"/>
          </rPr>
          <t>If any T Posts are required then the measurements 
must be supplied under the next columns.
Measurements should be made from the left.
A Flat (Unbeaded) T Post can be ordered to match 
the Flat Stile Shutter in the Stile &amp; T Post column.</t>
        </r>
      </text>
    </comment>
    <comment ref="AC18" authorId="0" shapeId="0" xr:uid="{0FE2DB1D-7F55-44B5-A837-A6F17CCC976B}">
      <text>
        <r>
          <rPr>
            <sz val="8"/>
            <color indexed="81"/>
            <rFont val="Tahoma"/>
            <family val="2"/>
          </rPr>
          <t>The Stile &amp; T Post 
options are;
Default (Beaded)
Flat Stile &amp; T Post
A Flat (unbeaded) Small L Frame can be ordered 
under the Frame Type.</t>
        </r>
      </text>
    </comment>
    <comment ref="AD18" authorId="0" shapeId="0" xr:uid="{F04F361E-407A-4983-AB4E-532794F09538}">
      <text>
        <r>
          <rPr>
            <sz val="8"/>
            <color indexed="81"/>
            <rFont val="Tahoma"/>
            <family val="2"/>
          </rPr>
          <t xml:space="preserve">The Designer Eco,  
Designer Eco Plus &amp; Luvre
Fluffy Strip options are;
No
Yes
Fluffy Strip is supplied with the Fauxwood Designer Eco Night Shutter.
</t>
        </r>
        <r>
          <rPr>
            <i/>
            <sz val="8"/>
            <color indexed="81"/>
            <rFont val="Tahoma"/>
            <family val="2"/>
          </rPr>
          <t>Fluffy Strip Surcharge applies.</t>
        </r>
      </text>
    </comment>
    <comment ref="C19" authorId="0" shapeId="0" xr:uid="{BC048892-45D1-4B21-82BE-DAF34A2BA8BC}">
      <text>
        <r>
          <rPr>
            <sz val="8"/>
            <color indexed="81"/>
            <rFont val="Tahoma"/>
            <family val="2"/>
          </rPr>
          <t xml:space="preserve">Minimum Width is 180mm.
Maximum Fauxwood Standard Size 
Width is 650mm.
Maximum Fauxwood Designer Eco Width with 
63mm Blades is 900mm.
Maximum Fauxwood Designer Eco Width with 
89mm Blades is 900mm.
Maximum Fauxwood Designer Eco Plus Width with 
63mm Blades is 950mm.
Maximum Fauxwood Designer Eco Plus Width with 
89mm Blades is 950mm.
Maximum Fauxwood Designer Eco Night 
Width is 650mm.
Maximum Luvre Width is 950mm.
Fauxwood Designer Eco &amp; 
Fauxwood Designer Eco Plus Panels 
with a Width larger than 650mm will require 
Aluminium Inserts.
Conditions apply.
</t>
        </r>
        <r>
          <rPr>
            <i/>
            <sz val="8"/>
            <color indexed="81"/>
            <rFont val="Tahoma"/>
            <family val="2"/>
          </rPr>
          <t>Please note: 
Larger Panels may sometimes require lifting in to the frame.</t>
        </r>
      </text>
    </comment>
    <comment ref="D19" authorId="0" shapeId="0" xr:uid="{80AB06D9-0054-42A8-AB4F-1DC03C0EF675}">
      <text>
        <r>
          <rPr>
            <sz val="8"/>
            <color indexed="81"/>
            <rFont val="Tahoma"/>
            <family val="2"/>
          </rPr>
          <t>Minimum Height is 350mm.
Maximum Fauxwood Height is 2600mm.</t>
        </r>
      </text>
    </comment>
    <comment ref="E19" authorId="0" shapeId="0" xr:uid="{A3E9A75C-77A1-40A9-84AA-BDAF301A89B3}">
      <text>
        <r>
          <rPr>
            <sz val="8"/>
            <color indexed="81"/>
            <rFont val="Tahoma"/>
            <family val="2"/>
          </rPr>
          <t xml:space="preserve">In - Inside or Reveal Fit
Out - Outside or Face Fit
Alternative Option:
MS - Make Size
Panel Only Option
</t>
        </r>
        <r>
          <rPr>
            <i/>
            <sz val="8"/>
            <color indexed="81"/>
            <rFont val="Tahoma"/>
            <family val="2"/>
          </rPr>
          <t>(Used for specific requirements only)</t>
        </r>
      </text>
    </comment>
    <comment ref="F19" authorId="0" shapeId="0" xr:uid="{C44670BD-5D07-4D38-ADC3-1FFDEB8D5E85}">
      <text>
        <r>
          <rPr>
            <sz val="8"/>
            <color indexed="81"/>
            <rFont val="Tahoma"/>
            <family val="2"/>
          </rPr>
          <t>Quantity is the number of Panels 
within the opening. 
If ordering Make Size (MS), 
this will be the number of Panels 
at this size.</t>
        </r>
      </text>
    </comment>
    <comment ref="G19" authorId="0" shapeId="0" xr:uid="{8E75DD22-E7B1-4BA4-AE05-1BA58189D40F}">
      <text>
        <r>
          <rPr>
            <sz val="8"/>
            <color indexed="81"/>
            <rFont val="Tahoma"/>
            <family val="2"/>
          </rPr>
          <t>Fauxwood Designer Eco will be made with the standard profile 
Bottom Rail,  Mid Rail &amp; Top Rail.
Fauxwood Designer Eco Plus will be made with the 
reinforced curved profile Bottom Rail, Mid Rail &amp; Top Rail.
Fauxwood Designer Eco Night will be made with the 
curved grooved profile Bottom Rail, Mid Rail &amp; Top Rail.
Luvre will be made with the reinforced
curved profile Bottom Rail, Mid Rail &amp; Top Rail.
Fauxwood Designer Eco Plus, Fauxwood Designer Eco Night &amp; Luvre 
Surcharge applies.</t>
        </r>
      </text>
    </comment>
    <comment ref="H19" authorId="0" shapeId="0" xr:uid="{AA7D5340-E273-4260-AD7A-489481CB0378}">
      <text>
        <r>
          <rPr>
            <sz val="8"/>
            <color indexed="81"/>
            <rFont val="Tahoma"/>
            <family val="2"/>
          </rPr>
          <t xml:space="preserve">Fauxwood Designer Colours options available;
Standard Colours;
Bright White
Classic White
Snow White
Super White
Vanilla
Specialty Colours;
Ceylon
Earl Grey
French White
Infinite White
Polar White
Quiet White
Snow Gum Grey
Snowy Mountains White
</t>
        </r>
        <r>
          <rPr>
            <i/>
            <sz val="8"/>
            <color indexed="81"/>
            <rFont val="Tahoma"/>
            <family val="2"/>
          </rPr>
          <t>Specialty Colours Surcharge applies.</t>
        </r>
        <r>
          <rPr>
            <sz val="8"/>
            <color indexed="81"/>
            <rFont val="Tahoma"/>
            <family val="2"/>
          </rPr>
          <t xml:space="preserve">
Luvre with Therme &amp; Scratch Resistant Paint 
Colours options available;
Snow White
Super White
</t>
        </r>
      </text>
    </comment>
    <comment ref="J19" authorId="0" shapeId="0" xr:uid="{EDACA6FB-E4DD-4F45-B844-C162CA612DEC}">
      <text>
        <r>
          <rPr>
            <sz val="8"/>
            <color indexed="81"/>
            <rFont val="Tahoma"/>
            <family val="2"/>
          </rPr>
          <t>Fauxwood Designer Eco &amp; 
Fauxwood Designer Eco Plus 
Blade sizes options are;
63mm
89mm
Fauxwood Designer Eco Night  
Blade sizes options are;
92mm
Luvre Blade sizes options are;
89mm
114mm</t>
        </r>
      </text>
    </comment>
    <comment ref="K19" authorId="0" shapeId="0" xr:uid="{9CA3E93C-1B04-4A45-A7A4-91C78318D216}">
      <text>
        <r>
          <rPr>
            <sz val="8"/>
            <color indexed="81"/>
            <rFont val="Tahoma"/>
            <family val="2"/>
          </rPr>
          <t>Mid Rail is required on Fauxwood Panels over 1500mm.
Cell will highlight yellow when Mid Rail is required.
Only one Critical Mid Rail is allowed.
A Mid Rail that is not marked "Critical" may be moved up or down 
up to 40mm to stop any gaps and increase/decrease the blade quantity.
Fauxwood Designer Eco will be made with the standard profile 
Bottom Rail,  Mid Rail &amp; Top Rail.
Fauxwood Designer Eco Plus will be made with the 
reinforced curved profile Bottom Rail, Mid Rail &amp; Top Rail.
Fauxwood Designer Eco Night will be made with the 
curved grooved profile Bottom Rail, Mid Rail &amp; Top Rail.
Luvre will be made with the reinforced
curved profile Bottom Rail, Mid Rail &amp; Top Rail.
Fauxwood Designer Eco Plus, Fauxwood Designer Eco Night &amp; Luvre Surcharge applies.</t>
        </r>
      </text>
    </comment>
    <comment ref="L19" authorId="0" shapeId="0" xr:uid="{36CAB8B3-2588-452F-9228-C009E787988A}">
      <text>
        <r>
          <rPr>
            <sz val="8"/>
            <color indexed="81"/>
            <rFont val="Tahoma"/>
            <family val="2"/>
          </rPr>
          <t xml:space="preserve">The Fauxwood Designer Eco, 
Fauxwood Designer Eco Plus 
&amp; Luvre Window Type options are;
Standard
Bay Window
Corner Window
Door Cut Out
Shaped Arch
Shaped Hexagon
Shaped Octagon
Shaped Oval
Shaped Parallelogram
Shaped Raked
Shaped Round
Shaped Sunburst
Shaped Triangle
These Shapes are not available
with the Rack &amp; Pinion Tiltrod;
Shaped Arch
Shaped Hexagon
Shaped Octagon
Shaped Oval
Shaped Round
Shaped Sunburst
The Fauxwood Designer Eco Night Window Type 
options are;
Standard
Bay Window
Corner Window
</t>
        </r>
        <r>
          <rPr>
            <i/>
            <sz val="8"/>
            <color indexed="81"/>
            <rFont val="Tahoma"/>
            <family val="2"/>
          </rPr>
          <t xml:space="preserve">
</t>
        </r>
        <r>
          <rPr>
            <sz val="8"/>
            <color indexed="81"/>
            <rFont val="Tahoma"/>
            <family val="2"/>
          </rPr>
          <t>Shaped Shutters will need the Panel Layout to be 
compatible with the Hidden Tiltrod system.</t>
        </r>
      </text>
    </comment>
    <comment ref="M19" authorId="0" shapeId="0" xr:uid="{1838627D-860E-4042-AE2B-30CBE41FCCED}">
      <text>
        <r>
          <rPr>
            <sz val="8"/>
            <color indexed="81"/>
            <rFont val="Tahoma"/>
            <family val="2"/>
          </rPr>
          <t>Mounting Method is dependent 
on  MS, In Or Out &amp; Product.
For IN &amp; Fauxwood Designer Eco,  
Fauxwood Designer Eco Plus 
&amp; Luvre the options are;
Double Hinged
Fixed
Hinged
Pivot Hinged
Sliding
Track Bi Fold
For OUT &amp; Fauxwood Designer Eco,  
Fauxwood Designer Eco Plus 
&amp; Luvre the options are;
Double Hinged
Hinged
Pivot Hinged
Sliding
Track Bi Fold
For IN &amp; Fauxwood Designer Eco Night 
the options are;
Fixed
Hinged
For OUT &amp; Fauxwood Designer Eco Night 
the options are;
Fixed
Hinged
For MS, the options are;
N/A
Pivot Hinged is not recommended for 
Designer Eco Plus or Luvre.</t>
        </r>
      </text>
    </comment>
    <comment ref="N19" authorId="0" shapeId="0" xr:uid="{AC397333-1719-43AE-9266-E3EA95B4E432}">
      <text>
        <r>
          <rPr>
            <sz val="8"/>
            <color indexed="81"/>
            <rFont val="Tahoma"/>
            <family val="2"/>
          </rPr>
          <t>For Sliding Track System options are;
Top Hung (Original System)
Bottom Wheel (New System)
The Top Hung (Original System) uses 
Top Wheels Mounting.
The Bottom Wheel (New System) uses a 
U Channel at the Top and 
Wheels at the Bottom.
This option cannot have a Floor Guide or 
Track On Board.</t>
        </r>
      </text>
    </comment>
    <comment ref="O19" authorId="0" shapeId="0" xr:uid="{437F45A5-0ECB-41CD-A180-9E2A0AB5C3FF}">
      <text>
        <r>
          <rPr>
            <sz val="8"/>
            <color indexed="81"/>
            <rFont val="Tahoma"/>
            <family val="2"/>
          </rPr>
          <t>Please refer to the Shutter Manual 
when selecting Layout Code.
The list provides the most common options, 
which are dependent on Mounting Method.
More complex Layout Codes can still be entered manually.</t>
        </r>
      </text>
    </comment>
    <comment ref="P19" authorId="0" shapeId="0" xr:uid="{CEA23BA8-173F-4998-B1EE-7FF6ADFE3E84}">
      <text>
        <r>
          <rPr>
            <sz val="8"/>
            <color indexed="81"/>
            <rFont val="Tahoma"/>
            <family val="2"/>
          </rPr>
          <t>Frame Type is dependent on
 Mounting Method.
If a Flat (unbeaded) Small L Frame 
is selected, a matching Stile &amp; T Post can be 
ordered in the Stile &amp; T Post column.</t>
        </r>
      </text>
    </comment>
    <comment ref="V19" authorId="0" shapeId="0" xr:uid="{3D6F6206-90E1-4144-A5FC-762A916BCD26}">
      <text>
        <r>
          <rPr>
            <sz val="8"/>
            <color indexed="81"/>
            <rFont val="Tahoma"/>
            <family val="2"/>
          </rPr>
          <t>This option is dependent on the 
Material &amp; Product 
and will only be available once this 
option is selected.
For Fauxwood Designer Eco
&amp; Fauxwood Designer Eco Plus 
the options are;
Hidden
Centre
Off-Set
Rack &amp; Pinion
These Shapes are not available
with the Rack &amp; Pinion Tiltrod;
Shaped Arch
Shaped Hexagon
Shaped Octagon
Shaped Oval
Shaped Round
Shaped Sunburst
For Fauxwood Designer Eco Night
the options are;
Hidden
For Luvre the options are;
Hidden</t>
        </r>
      </text>
    </comment>
    <comment ref="W19" authorId="0" shapeId="0" xr:uid="{CFBECB49-AFA8-4C49-8033-FABC1C994E4C}">
      <text>
        <r>
          <rPr>
            <sz val="8"/>
            <color indexed="81"/>
            <rFont val="Tahoma"/>
            <family val="2"/>
          </rPr>
          <t xml:space="preserve">If no Hinge Colour is selected, 
then the default Hinge Colour and hardware 
will be supplied. 
The Hinge Colour options are;
Default
Stainless Steel
N/A
When Default is selected, the Hinge will be supplied 
as per the matching Hinge Colour list below;
Shutter Colour - </t>
        </r>
        <r>
          <rPr>
            <i/>
            <sz val="8"/>
            <color indexed="81"/>
            <rFont val="Tahoma"/>
            <family val="2"/>
          </rPr>
          <t>Hinge Colour</t>
        </r>
        <r>
          <rPr>
            <sz val="8"/>
            <color indexed="81"/>
            <rFont val="Tahoma"/>
            <family val="2"/>
          </rPr>
          <t xml:space="preserve">
   Bright White - </t>
        </r>
        <r>
          <rPr>
            <i/>
            <sz val="8"/>
            <color indexed="81"/>
            <rFont val="Tahoma"/>
            <family val="2"/>
          </rPr>
          <t>Bright White</t>
        </r>
        <r>
          <rPr>
            <sz val="8"/>
            <color indexed="81"/>
            <rFont val="Tahoma"/>
            <family val="2"/>
          </rPr>
          <t xml:space="preserve">
Classic White - </t>
        </r>
        <r>
          <rPr>
            <i/>
            <sz val="8"/>
            <color indexed="81"/>
            <rFont val="Tahoma"/>
            <family val="2"/>
          </rPr>
          <t>White</t>
        </r>
        <r>
          <rPr>
            <sz val="8"/>
            <color indexed="81"/>
            <rFont val="Tahoma"/>
            <family val="2"/>
          </rPr>
          <t xml:space="preserve">
Snow White - </t>
        </r>
        <r>
          <rPr>
            <i/>
            <sz val="8"/>
            <color indexed="81"/>
            <rFont val="Tahoma"/>
            <family val="2"/>
          </rPr>
          <t>Snow White</t>
        </r>
        <r>
          <rPr>
            <sz val="8"/>
            <color indexed="81"/>
            <rFont val="Tahoma"/>
            <family val="2"/>
          </rPr>
          <t xml:space="preserve">
Super White - </t>
        </r>
        <r>
          <rPr>
            <i/>
            <sz val="8"/>
            <color indexed="81"/>
            <rFont val="Tahoma"/>
            <family val="2"/>
          </rPr>
          <t>Snow White</t>
        </r>
        <r>
          <rPr>
            <sz val="8"/>
            <color indexed="81"/>
            <rFont val="Tahoma"/>
            <family val="2"/>
          </rPr>
          <t xml:space="preserve">
Vanilla - </t>
        </r>
        <r>
          <rPr>
            <i/>
            <sz val="8"/>
            <color indexed="81"/>
            <rFont val="Tahoma"/>
            <family val="2"/>
          </rPr>
          <t xml:space="preserve">Ivory
</t>
        </r>
        <r>
          <rPr>
            <sz val="8"/>
            <color indexed="81"/>
            <rFont val="Tahoma"/>
            <family val="2"/>
          </rPr>
          <t xml:space="preserve">Ceylon - </t>
        </r>
        <r>
          <rPr>
            <i/>
            <sz val="8"/>
            <color indexed="81"/>
            <rFont val="Tahoma"/>
            <family val="2"/>
          </rPr>
          <t>Ceylon</t>
        </r>
        <r>
          <rPr>
            <sz val="8"/>
            <color indexed="81"/>
            <rFont val="Tahoma"/>
            <family val="2"/>
          </rPr>
          <t xml:space="preserve">
Earl Grey - </t>
        </r>
        <r>
          <rPr>
            <i/>
            <sz val="8"/>
            <color indexed="81"/>
            <rFont val="Tahoma"/>
            <family val="2"/>
          </rPr>
          <t>Earl Grey</t>
        </r>
        <r>
          <rPr>
            <sz val="8"/>
            <color indexed="81"/>
            <rFont val="Tahoma"/>
            <family val="2"/>
          </rPr>
          <t xml:space="preserve">
French White - </t>
        </r>
        <r>
          <rPr>
            <i/>
            <sz val="8"/>
            <color indexed="81"/>
            <rFont val="Tahoma"/>
            <family val="2"/>
          </rPr>
          <t>French White</t>
        </r>
        <r>
          <rPr>
            <sz val="8"/>
            <color indexed="81"/>
            <rFont val="Tahoma"/>
            <family val="2"/>
          </rPr>
          <t xml:space="preserve">
Infinite White -</t>
        </r>
        <r>
          <rPr>
            <i/>
            <sz val="8"/>
            <color indexed="81"/>
            <rFont val="Tahoma"/>
            <family val="2"/>
          </rPr>
          <t xml:space="preserve"> Infinite White</t>
        </r>
        <r>
          <rPr>
            <sz val="8"/>
            <color indexed="81"/>
            <rFont val="Tahoma"/>
            <family val="2"/>
          </rPr>
          <t xml:space="preserve">
Polar White - </t>
        </r>
        <r>
          <rPr>
            <i/>
            <sz val="8"/>
            <color indexed="81"/>
            <rFont val="Tahoma"/>
            <family val="2"/>
          </rPr>
          <t>Polar White</t>
        </r>
        <r>
          <rPr>
            <sz val="8"/>
            <color indexed="81"/>
            <rFont val="Tahoma"/>
            <family val="2"/>
          </rPr>
          <t xml:space="preserve">
Quiet White - </t>
        </r>
        <r>
          <rPr>
            <i/>
            <sz val="8"/>
            <color indexed="81"/>
            <rFont val="Tahoma"/>
            <family val="2"/>
          </rPr>
          <t>Quiet White</t>
        </r>
        <r>
          <rPr>
            <sz val="8"/>
            <color indexed="81"/>
            <rFont val="Tahoma"/>
            <family val="2"/>
          </rPr>
          <t xml:space="preserve">
Snow Gum Grey - </t>
        </r>
        <r>
          <rPr>
            <i/>
            <sz val="8"/>
            <color indexed="81"/>
            <rFont val="Tahoma"/>
            <family val="2"/>
          </rPr>
          <t>Snow Gum Grey</t>
        </r>
        <r>
          <rPr>
            <sz val="8"/>
            <color indexed="81"/>
            <rFont val="Tahoma"/>
            <family val="2"/>
          </rPr>
          <t xml:space="preserve">
Snowy Mountains White - </t>
        </r>
        <r>
          <rPr>
            <i/>
            <sz val="8"/>
            <color indexed="81"/>
            <rFont val="Tahoma"/>
            <family val="2"/>
          </rPr>
          <t>Snowy Mountains White</t>
        </r>
        <r>
          <rPr>
            <sz val="8"/>
            <color indexed="81"/>
            <rFont val="Tahoma"/>
            <family val="2"/>
          </rPr>
          <t xml:space="preserve">
For standard Shutters in Fauxwood Designer Eco 
Standard 77mm Hinges will be used.
For standard Shutters in Fauxwood Designer Eco Plus, 
Fauxwood Designer Eco Night &amp; Luvre
Standard 90mm Hinges will be used.
The Pivot Hinged Colour options are;
White
Stainless Steel
Please refer to the Shutter Manual. 
</t>
        </r>
        <r>
          <rPr>
            <i/>
            <sz val="8"/>
            <color indexed="81"/>
            <rFont val="Tahoma"/>
            <family val="2"/>
          </rPr>
          <t>Stainless Steel Surcharge applies.</t>
        </r>
      </text>
    </comment>
    <comment ref="X19" authorId="0" shapeId="0" xr:uid="{98DB83AA-4ACE-45F1-83C5-8E30A83A29B1}">
      <text>
        <r>
          <rPr>
            <sz val="8"/>
            <color indexed="81"/>
            <rFont val="Tahoma"/>
            <family val="2"/>
          </rPr>
          <t>Please Note: 
If Closed option is chosen then the blades 
can be damaged if they are left open 
when Sliding the Panel.
Open is not an option for 3 Tracks.</t>
        </r>
      </text>
    </comment>
    <comment ref="Y19" authorId="0" shapeId="0" xr:uid="{D9B9E70B-D707-48F3-A0F1-6F916FD4B115}">
      <text>
        <r>
          <rPr>
            <sz val="8"/>
            <color indexed="81"/>
            <rFont val="Tahoma"/>
            <family val="2"/>
          </rPr>
          <t>If any T Posts are required then the measurements 
must be supplied under the next columns.
Measurements should be made from the left.
A Flat (Unbeaded) T Post can be ordered to match 
the Flat Stile Shutter in the Stile &amp; T Post column.</t>
        </r>
      </text>
    </comment>
    <comment ref="AC19" authorId="0" shapeId="0" xr:uid="{F5CBEA84-16F2-43DE-B11E-241B0A5AAEC5}">
      <text>
        <r>
          <rPr>
            <sz val="8"/>
            <color indexed="81"/>
            <rFont val="Tahoma"/>
            <family val="2"/>
          </rPr>
          <t>The Stile &amp; T Post 
options are;
Default (Beaded)
Flat Stile &amp; T Post
A Flat (unbeaded) Small L Frame can be ordered 
under the Frame Type.</t>
        </r>
      </text>
    </comment>
    <comment ref="AD19" authorId="0" shapeId="0" xr:uid="{FF801DE4-ECF2-444D-9AE1-B6F193BFFF09}">
      <text>
        <r>
          <rPr>
            <sz val="8"/>
            <color indexed="81"/>
            <rFont val="Tahoma"/>
            <family val="2"/>
          </rPr>
          <t xml:space="preserve">The Designer Eco,  
Designer Eco Plus &amp; Luvre
Fluffy Strip options are;
No
Yes
Fluffy Strip is supplied with the Fauxwood Designer Eco Night Shutter.
</t>
        </r>
        <r>
          <rPr>
            <i/>
            <sz val="8"/>
            <color indexed="81"/>
            <rFont val="Tahoma"/>
            <family val="2"/>
          </rPr>
          <t>Fluffy Strip Surcharge applies.</t>
        </r>
      </text>
    </comment>
    <comment ref="C20" authorId="0" shapeId="0" xr:uid="{77F67592-A3E0-4D28-B0B8-5A9042848E72}">
      <text>
        <r>
          <rPr>
            <sz val="8"/>
            <color indexed="81"/>
            <rFont val="Tahoma"/>
            <family val="2"/>
          </rPr>
          <t xml:space="preserve">Minimum Width is 180mm.
Maximum Fauxwood Standard Size 
Width is 650mm.
Maximum Fauxwood Designer Eco Width with 
63mm Blades is 900mm.
Maximum Fauxwood Designer Eco Width with 
89mm Blades is 900mm.
Maximum Fauxwood Designer Eco Plus Width with 
63mm Blades is 950mm.
Maximum Fauxwood Designer Eco Plus Width with 
89mm Blades is 950mm.
Maximum Fauxwood Designer Eco Night 
Width is 650mm.
Maximum Luvre Width is 950mm.
Fauxwood Designer Eco &amp; 
Fauxwood Designer Eco Plus Panels 
with a Width larger than 650mm will require 
Aluminium Inserts.
Conditions apply.
</t>
        </r>
        <r>
          <rPr>
            <i/>
            <sz val="8"/>
            <color indexed="81"/>
            <rFont val="Tahoma"/>
            <family val="2"/>
          </rPr>
          <t>Please note: 
Larger Panels may sometimes require lifting in to the frame.</t>
        </r>
      </text>
    </comment>
    <comment ref="D20" authorId="0" shapeId="0" xr:uid="{B036D6AF-CC62-4DB7-AF74-5FC75C6A377F}">
      <text>
        <r>
          <rPr>
            <sz val="8"/>
            <color indexed="81"/>
            <rFont val="Tahoma"/>
            <family val="2"/>
          </rPr>
          <t>Minimum Height is 350mm.
Maximum Fauxwood Height is 2600mm.</t>
        </r>
      </text>
    </comment>
    <comment ref="E20" authorId="0" shapeId="0" xr:uid="{9C9AB5C5-8AB9-4932-81CE-5A72DA474290}">
      <text>
        <r>
          <rPr>
            <sz val="8"/>
            <color indexed="81"/>
            <rFont val="Tahoma"/>
            <family val="2"/>
          </rPr>
          <t xml:space="preserve">In - Inside or Reveal Fit
Out - Outside or Face Fit
Alternative Option:
MS - Make Size
Panel Only Option
</t>
        </r>
        <r>
          <rPr>
            <i/>
            <sz val="8"/>
            <color indexed="81"/>
            <rFont val="Tahoma"/>
            <family val="2"/>
          </rPr>
          <t>(Used for specific requirements only)</t>
        </r>
      </text>
    </comment>
    <comment ref="F20" authorId="0" shapeId="0" xr:uid="{91F53D23-6215-492D-B4C0-230706B426F5}">
      <text>
        <r>
          <rPr>
            <sz val="8"/>
            <color indexed="81"/>
            <rFont val="Tahoma"/>
            <family val="2"/>
          </rPr>
          <t>Quantity is the number of Panels 
within the opening. 
If ordering Make Size (MS), 
this will be the number of Panels 
at this size.</t>
        </r>
      </text>
    </comment>
    <comment ref="G20" authorId="0" shapeId="0" xr:uid="{2D04D98B-3391-4DA4-B064-99514000E67D}">
      <text>
        <r>
          <rPr>
            <sz val="8"/>
            <color indexed="81"/>
            <rFont val="Tahoma"/>
            <family val="2"/>
          </rPr>
          <t>Fauxwood Designer Eco will be made with the standard profile 
Bottom Rail,  Mid Rail &amp; Top Rail.
Fauxwood Designer Eco Plus will be made with the 
reinforced curved profile Bottom Rail, Mid Rail &amp; Top Rail.
Fauxwood Designer Eco Night will be made with the 
curved grooved profile Bottom Rail, Mid Rail &amp; Top Rail.
Luvre will be made with the reinforced
curved profile Bottom Rail, Mid Rail &amp; Top Rail.
Fauxwood Designer Eco Plus, Fauxwood Designer Eco Night &amp; Luvre 
Surcharge applies.</t>
        </r>
      </text>
    </comment>
    <comment ref="H20" authorId="0" shapeId="0" xr:uid="{B2E668E9-1D1E-4B41-834F-5E7197241094}">
      <text>
        <r>
          <rPr>
            <sz val="8"/>
            <color indexed="81"/>
            <rFont val="Tahoma"/>
            <family val="2"/>
          </rPr>
          <t xml:space="preserve">Fauxwood Designer Colours options available;
Standard Colours;
Bright White
Classic White
Snow White
Super White
Vanilla
Specialty Colours;
Ceylon
Earl Grey
French White
Infinite White
Polar White
Quiet White
Snow Gum Grey
Snowy Mountains White
</t>
        </r>
        <r>
          <rPr>
            <i/>
            <sz val="8"/>
            <color indexed="81"/>
            <rFont val="Tahoma"/>
            <family val="2"/>
          </rPr>
          <t>Specialty Colours Surcharge applies.</t>
        </r>
        <r>
          <rPr>
            <sz val="8"/>
            <color indexed="81"/>
            <rFont val="Tahoma"/>
            <family val="2"/>
          </rPr>
          <t xml:space="preserve">
Luvre with Therme &amp; Scratch Resistant Paint 
Colours options available;
Snow White
Super White
</t>
        </r>
      </text>
    </comment>
    <comment ref="J20" authorId="0" shapeId="0" xr:uid="{B8EE7856-83DC-4CF5-8B4A-0E3131CFDE9D}">
      <text>
        <r>
          <rPr>
            <sz val="8"/>
            <color indexed="81"/>
            <rFont val="Tahoma"/>
            <family val="2"/>
          </rPr>
          <t>Fauxwood Designer Eco &amp; 
Fauxwood Designer Eco Plus 
Blade sizes options are;
63mm
89mm
Fauxwood Designer Eco Night  
Blade sizes options are;
92mm
Luvre Blade sizes options are;
89mm
114mm</t>
        </r>
      </text>
    </comment>
    <comment ref="K20" authorId="0" shapeId="0" xr:uid="{098D9CF5-6163-4FCD-834A-F4F74D68FAB9}">
      <text>
        <r>
          <rPr>
            <sz val="8"/>
            <color indexed="81"/>
            <rFont val="Tahoma"/>
            <family val="2"/>
          </rPr>
          <t>Mid Rail is required on Fauxwood Panels over 1500mm.
Cell will highlight yellow when Mid Rail is required.
Only one Critical Mid Rail is allowed.
A Mid Rail that is not marked "Critical" may be moved up or down 
up to 40mm to stop any gaps and increase/decrease the blade quantity.
Fauxwood Designer Eco will be made with the standard profile 
Bottom Rail,  Mid Rail &amp; Top Rail.
Fauxwood Designer Eco Plus will be made with the 
reinforced curved profile Bottom Rail, Mid Rail &amp; Top Rail.
Fauxwood Designer Eco Night will be made with the 
curved grooved profile Bottom Rail, Mid Rail &amp; Top Rail.
Luvre will be made with the reinforced
curved profile Bottom Rail, Mid Rail &amp; Top Rail.
Fauxwood Designer Eco Plus, Fauxwood Designer Eco Night &amp; Luvre Surcharge applies.</t>
        </r>
      </text>
    </comment>
    <comment ref="L20" authorId="0" shapeId="0" xr:uid="{217969D0-5804-4B1F-B8C7-98F9EC9C3F6D}">
      <text>
        <r>
          <rPr>
            <sz val="8"/>
            <color indexed="81"/>
            <rFont val="Tahoma"/>
            <family val="2"/>
          </rPr>
          <t xml:space="preserve">The Fauxwood Designer Eco, 
Fauxwood Designer Eco Plus 
&amp; Luvre Window Type options are;
Standard
Bay Window
Corner Window
Door Cut Out
Shaped Arch
Shaped Hexagon
Shaped Octagon
Shaped Oval
Shaped Parallelogram
Shaped Raked
Shaped Round
Shaped Sunburst
Shaped Triangle
These Shapes are not available
with the Rack &amp; Pinion Tiltrod;
Shaped Arch
Shaped Hexagon
Shaped Octagon
Shaped Oval
Shaped Round
Shaped Sunburst
The Fauxwood Designer Eco Night Window Type 
options are;
Standard
Bay Window
Corner Window
</t>
        </r>
        <r>
          <rPr>
            <i/>
            <sz val="8"/>
            <color indexed="81"/>
            <rFont val="Tahoma"/>
            <family val="2"/>
          </rPr>
          <t xml:space="preserve">
</t>
        </r>
        <r>
          <rPr>
            <sz val="8"/>
            <color indexed="81"/>
            <rFont val="Tahoma"/>
            <family val="2"/>
          </rPr>
          <t>Shaped Shutters will need the Panel Layout to be 
compatible with the Hidden Tiltrod system.</t>
        </r>
      </text>
    </comment>
    <comment ref="M20" authorId="0" shapeId="0" xr:uid="{5074079B-2F06-4A7A-8E5B-80F9B1DD59FF}">
      <text>
        <r>
          <rPr>
            <sz val="8"/>
            <color indexed="81"/>
            <rFont val="Tahoma"/>
            <family val="2"/>
          </rPr>
          <t>Mounting Method is dependent 
on  MS, In Or Out &amp; Product.
For IN &amp; Fauxwood Designer Eco,  
Fauxwood Designer Eco Plus 
&amp; Luvre the options are;
Double Hinged
Fixed
Hinged
Pivot Hinged
Sliding
Track Bi Fold
For OUT &amp; Fauxwood Designer Eco,  
Fauxwood Designer Eco Plus 
&amp; Luvre the options are;
Double Hinged
Hinged
Pivot Hinged
Sliding
Track Bi Fold
For IN &amp; Fauxwood Designer Eco Night 
the options are;
Fixed
Hinged
For OUT &amp; Fauxwood Designer Eco Night 
the options are;
Fixed
Hinged
For MS, the options are;
N/A
Pivot Hinged is not recommended for 
Designer Eco Plus or Luvre.</t>
        </r>
      </text>
    </comment>
    <comment ref="N20" authorId="0" shapeId="0" xr:uid="{BE8C312A-9BFA-4AD9-892F-18C966126AA6}">
      <text>
        <r>
          <rPr>
            <sz val="8"/>
            <color indexed="81"/>
            <rFont val="Tahoma"/>
            <family val="2"/>
          </rPr>
          <t>For Sliding Track System options are;
Top Hung (Original System)
Bottom Wheel (New System)
The Top Hung (Original System) uses 
Top Wheels Mounting.
The Bottom Wheel (New System) uses a 
U Channel at the Top and 
Wheels at the Bottom.
This option cannot have a Floor Guide or 
Track On Board.</t>
        </r>
      </text>
    </comment>
    <comment ref="O20" authorId="0" shapeId="0" xr:uid="{E7B613D9-9435-4321-8B03-29D5B5175B29}">
      <text>
        <r>
          <rPr>
            <sz val="8"/>
            <color indexed="81"/>
            <rFont val="Tahoma"/>
            <family val="2"/>
          </rPr>
          <t>Please refer to the Shutter Manual 
when selecting Layout Code.
The list provides the most common options, 
which are dependent on Mounting Method.
More complex Layout Codes can still be entered manually.</t>
        </r>
      </text>
    </comment>
    <comment ref="P20" authorId="0" shapeId="0" xr:uid="{EA684B32-D4CD-4061-85E0-F16E9EE1BF35}">
      <text>
        <r>
          <rPr>
            <sz val="8"/>
            <color indexed="81"/>
            <rFont val="Tahoma"/>
            <family val="2"/>
          </rPr>
          <t>Frame Type is dependent on
 Mounting Method.
If a Flat (unbeaded) Small L Frame 
is selected, a matching Stile &amp; T Post can be 
ordered in the Stile &amp; T Post column.</t>
        </r>
      </text>
    </comment>
    <comment ref="V20" authorId="0" shapeId="0" xr:uid="{56E39CA1-1F83-4210-86AE-1A2C64C3B61A}">
      <text>
        <r>
          <rPr>
            <sz val="8"/>
            <color indexed="81"/>
            <rFont val="Tahoma"/>
            <family val="2"/>
          </rPr>
          <t>This option is dependent on the 
Material &amp; Product 
and will only be available once this 
option is selected.
For Fauxwood Designer Eco
&amp; Fauxwood Designer Eco Plus 
the options are;
Hidden
Centre
Off-Set
Rack &amp; Pinion
These Shapes are not available
with the Rack &amp; Pinion Tiltrod;
Shaped Arch
Shaped Hexagon
Shaped Octagon
Shaped Oval
Shaped Round
Shaped Sunburst
For Fauxwood Designer Eco Night
the options are;
Hidden
For Luvre the options are;
Hidden</t>
        </r>
      </text>
    </comment>
    <comment ref="W20" authorId="0" shapeId="0" xr:uid="{3AA1BE1D-8B68-4C1E-AAD1-CA336979F793}">
      <text>
        <r>
          <rPr>
            <sz val="8"/>
            <color indexed="81"/>
            <rFont val="Tahoma"/>
            <family val="2"/>
          </rPr>
          <t xml:space="preserve">If no Hinge Colour is selected, 
then the default Hinge Colour and hardware 
will be supplied. 
The Hinge Colour options are;
Default
Stainless Steel
N/A
When Default is selected, the Hinge will be supplied 
as per the matching Hinge Colour list below;
Shutter Colour - </t>
        </r>
        <r>
          <rPr>
            <i/>
            <sz val="8"/>
            <color indexed="81"/>
            <rFont val="Tahoma"/>
            <family val="2"/>
          </rPr>
          <t>Hinge Colour</t>
        </r>
        <r>
          <rPr>
            <sz val="8"/>
            <color indexed="81"/>
            <rFont val="Tahoma"/>
            <family val="2"/>
          </rPr>
          <t xml:space="preserve">
   Bright White - </t>
        </r>
        <r>
          <rPr>
            <i/>
            <sz val="8"/>
            <color indexed="81"/>
            <rFont val="Tahoma"/>
            <family val="2"/>
          </rPr>
          <t>Bright White</t>
        </r>
        <r>
          <rPr>
            <sz val="8"/>
            <color indexed="81"/>
            <rFont val="Tahoma"/>
            <family val="2"/>
          </rPr>
          <t xml:space="preserve">
Classic White - </t>
        </r>
        <r>
          <rPr>
            <i/>
            <sz val="8"/>
            <color indexed="81"/>
            <rFont val="Tahoma"/>
            <family val="2"/>
          </rPr>
          <t>White</t>
        </r>
        <r>
          <rPr>
            <sz val="8"/>
            <color indexed="81"/>
            <rFont val="Tahoma"/>
            <family val="2"/>
          </rPr>
          <t xml:space="preserve">
Snow White - </t>
        </r>
        <r>
          <rPr>
            <i/>
            <sz val="8"/>
            <color indexed="81"/>
            <rFont val="Tahoma"/>
            <family val="2"/>
          </rPr>
          <t>Snow White</t>
        </r>
        <r>
          <rPr>
            <sz val="8"/>
            <color indexed="81"/>
            <rFont val="Tahoma"/>
            <family val="2"/>
          </rPr>
          <t xml:space="preserve">
Super White - </t>
        </r>
        <r>
          <rPr>
            <i/>
            <sz val="8"/>
            <color indexed="81"/>
            <rFont val="Tahoma"/>
            <family val="2"/>
          </rPr>
          <t>Snow White</t>
        </r>
        <r>
          <rPr>
            <sz val="8"/>
            <color indexed="81"/>
            <rFont val="Tahoma"/>
            <family val="2"/>
          </rPr>
          <t xml:space="preserve">
Vanilla - </t>
        </r>
        <r>
          <rPr>
            <i/>
            <sz val="8"/>
            <color indexed="81"/>
            <rFont val="Tahoma"/>
            <family val="2"/>
          </rPr>
          <t xml:space="preserve">Ivory
</t>
        </r>
        <r>
          <rPr>
            <sz val="8"/>
            <color indexed="81"/>
            <rFont val="Tahoma"/>
            <family val="2"/>
          </rPr>
          <t xml:space="preserve">Ceylon - </t>
        </r>
        <r>
          <rPr>
            <i/>
            <sz val="8"/>
            <color indexed="81"/>
            <rFont val="Tahoma"/>
            <family val="2"/>
          </rPr>
          <t>Ceylon</t>
        </r>
        <r>
          <rPr>
            <sz val="8"/>
            <color indexed="81"/>
            <rFont val="Tahoma"/>
            <family val="2"/>
          </rPr>
          <t xml:space="preserve">
Earl Grey - </t>
        </r>
        <r>
          <rPr>
            <i/>
            <sz val="8"/>
            <color indexed="81"/>
            <rFont val="Tahoma"/>
            <family val="2"/>
          </rPr>
          <t>Earl Grey</t>
        </r>
        <r>
          <rPr>
            <sz val="8"/>
            <color indexed="81"/>
            <rFont val="Tahoma"/>
            <family val="2"/>
          </rPr>
          <t xml:space="preserve">
French White - </t>
        </r>
        <r>
          <rPr>
            <i/>
            <sz val="8"/>
            <color indexed="81"/>
            <rFont val="Tahoma"/>
            <family val="2"/>
          </rPr>
          <t>French White</t>
        </r>
        <r>
          <rPr>
            <sz val="8"/>
            <color indexed="81"/>
            <rFont val="Tahoma"/>
            <family val="2"/>
          </rPr>
          <t xml:space="preserve">
Infinite White -</t>
        </r>
        <r>
          <rPr>
            <i/>
            <sz val="8"/>
            <color indexed="81"/>
            <rFont val="Tahoma"/>
            <family val="2"/>
          </rPr>
          <t xml:space="preserve"> Infinite White</t>
        </r>
        <r>
          <rPr>
            <sz val="8"/>
            <color indexed="81"/>
            <rFont val="Tahoma"/>
            <family val="2"/>
          </rPr>
          <t xml:space="preserve">
Polar White - </t>
        </r>
        <r>
          <rPr>
            <i/>
            <sz val="8"/>
            <color indexed="81"/>
            <rFont val="Tahoma"/>
            <family val="2"/>
          </rPr>
          <t>Polar White</t>
        </r>
        <r>
          <rPr>
            <sz val="8"/>
            <color indexed="81"/>
            <rFont val="Tahoma"/>
            <family val="2"/>
          </rPr>
          <t xml:space="preserve">
Quiet White - </t>
        </r>
        <r>
          <rPr>
            <i/>
            <sz val="8"/>
            <color indexed="81"/>
            <rFont val="Tahoma"/>
            <family val="2"/>
          </rPr>
          <t>Quiet White</t>
        </r>
        <r>
          <rPr>
            <sz val="8"/>
            <color indexed="81"/>
            <rFont val="Tahoma"/>
            <family val="2"/>
          </rPr>
          <t xml:space="preserve">
Snow Gum Grey - </t>
        </r>
        <r>
          <rPr>
            <i/>
            <sz val="8"/>
            <color indexed="81"/>
            <rFont val="Tahoma"/>
            <family val="2"/>
          </rPr>
          <t>Snow Gum Grey</t>
        </r>
        <r>
          <rPr>
            <sz val="8"/>
            <color indexed="81"/>
            <rFont val="Tahoma"/>
            <family val="2"/>
          </rPr>
          <t xml:space="preserve">
Snowy Mountains White - </t>
        </r>
        <r>
          <rPr>
            <i/>
            <sz val="8"/>
            <color indexed="81"/>
            <rFont val="Tahoma"/>
            <family val="2"/>
          </rPr>
          <t>Snowy Mountains White</t>
        </r>
        <r>
          <rPr>
            <sz val="8"/>
            <color indexed="81"/>
            <rFont val="Tahoma"/>
            <family val="2"/>
          </rPr>
          <t xml:space="preserve">
For standard Shutters in Fauxwood Designer Eco 
Standard 77mm Hinges will be used.
For standard Shutters in Fauxwood Designer Eco Plus, 
Fauxwood Designer Eco Night &amp; Luvre
Standard 90mm Hinges will be used.
The Pivot Hinged Colour options are;
White
Stainless Steel
Please refer to the Shutter Manual. 
</t>
        </r>
        <r>
          <rPr>
            <i/>
            <sz val="8"/>
            <color indexed="81"/>
            <rFont val="Tahoma"/>
            <family val="2"/>
          </rPr>
          <t>Stainless Steel Surcharge applies.</t>
        </r>
      </text>
    </comment>
    <comment ref="X20" authorId="0" shapeId="0" xr:uid="{9911B182-A1C5-4572-9751-2BFCD84E011B}">
      <text>
        <r>
          <rPr>
            <sz val="8"/>
            <color indexed="81"/>
            <rFont val="Tahoma"/>
            <family val="2"/>
          </rPr>
          <t>Please Note: 
If Closed option is chosen then the blades 
can be damaged if they are left open 
when Sliding the Panel.
Open is not an option for 3 Tracks.</t>
        </r>
      </text>
    </comment>
    <comment ref="Y20" authorId="0" shapeId="0" xr:uid="{628BC913-FADE-4CC4-94FE-625FD89516DA}">
      <text>
        <r>
          <rPr>
            <sz val="8"/>
            <color indexed="81"/>
            <rFont val="Tahoma"/>
            <family val="2"/>
          </rPr>
          <t>If any T Posts are required then the measurements 
must be supplied under the next columns.
Measurements should be made from the left.
A Flat (Unbeaded) T Post can be ordered to match 
the Flat Stile Shutter in the Stile &amp; T Post column.</t>
        </r>
      </text>
    </comment>
    <comment ref="AC20" authorId="0" shapeId="0" xr:uid="{9E9DBCAB-95FF-4648-9D0A-1BF0C13D93DF}">
      <text>
        <r>
          <rPr>
            <sz val="8"/>
            <color indexed="81"/>
            <rFont val="Tahoma"/>
            <family val="2"/>
          </rPr>
          <t>The Stile &amp; T Post 
options are;
Default (Beaded)
Flat Stile &amp; T Post
A Flat (unbeaded) Small L Frame can be ordered 
under the Frame Type.</t>
        </r>
      </text>
    </comment>
    <comment ref="AD20" authorId="0" shapeId="0" xr:uid="{BE84DCAB-143C-42EB-A045-370CDC1AEB9A}">
      <text>
        <r>
          <rPr>
            <sz val="8"/>
            <color indexed="81"/>
            <rFont val="Tahoma"/>
            <family val="2"/>
          </rPr>
          <t xml:space="preserve">The Designer Eco,  
Designer Eco Plus &amp; Luvre
Fluffy Strip options are;
No
Yes
Fluffy Strip is supplied with the Fauxwood Designer Eco Night Shutter.
</t>
        </r>
        <r>
          <rPr>
            <i/>
            <sz val="8"/>
            <color indexed="81"/>
            <rFont val="Tahoma"/>
            <family val="2"/>
          </rPr>
          <t>Fluffy Strip Surcharge applies.</t>
        </r>
      </text>
    </comment>
    <comment ref="C21" authorId="0" shapeId="0" xr:uid="{99C141E4-7CD4-4772-A21D-F27D9EDC2844}">
      <text>
        <r>
          <rPr>
            <sz val="8"/>
            <color indexed="81"/>
            <rFont val="Tahoma"/>
            <family val="2"/>
          </rPr>
          <t xml:space="preserve">Minimum Width is 180mm.
Maximum Fauxwood Standard Size 
Width is 650mm.
Maximum Fauxwood Designer Eco Width with 
63mm Blades is 900mm.
Maximum Fauxwood Designer Eco Width with 
89mm Blades is 900mm.
Maximum Fauxwood Designer Eco Plus Width with 
63mm Blades is 950mm.
Maximum Fauxwood Designer Eco Plus Width with 
89mm Blades is 950mm.
Maximum Fauxwood Designer Eco Night 
Width is 650mm.
Maximum Luvre Width is 950mm.
Fauxwood Designer Eco &amp; 
Fauxwood Designer Eco Plus Panels 
with a Width larger than 650mm will require 
Aluminium Inserts.
Conditions apply.
</t>
        </r>
        <r>
          <rPr>
            <i/>
            <sz val="8"/>
            <color indexed="81"/>
            <rFont val="Tahoma"/>
            <family val="2"/>
          </rPr>
          <t>Please note: 
Larger Panels may sometimes require lifting in to the frame.</t>
        </r>
      </text>
    </comment>
    <comment ref="D21" authorId="0" shapeId="0" xr:uid="{609066BC-1FFA-4164-9C66-425462F45C60}">
      <text>
        <r>
          <rPr>
            <sz val="8"/>
            <color indexed="81"/>
            <rFont val="Tahoma"/>
            <family val="2"/>
          </rPr>
          <t>Minimum Height is 350mm.
Maximum Fauxwood Height is 2600mm.</t>
        </r>
      </text>
    </comment>
    <comment ref="E21" authorId="0" shapeId="0" xr:uid="{BD4614FB-0538-4C46-94BB-C68EF6B8ADAD}">
      <text>
        <r>
          <rPr>
            <sz val="8"/>
            <color indexed="81"/>
            <rFont val="Tahoma"/>
            <family val="2"/>
          </rPr>
          <t xml:space="preserve">In - Inside or Reveal Fit
Out - Outside or Face Fit
Alternative Option:
MS - Make Size
Panel Only Option
</t>
        </r>
        <r>
          <rPr>
            <i/>
            <sz val="8"/>
            <color indexed="81"/>
            <rFont val="Tahoma"/>
            <family val="2"/>
          </rPr>
          <t>(Used for specific requirements only)</t>
        </r>
      </text>
    </comment>
    <comment ref="F21" authorId="0" shapeId="0" xr:uid="{59156148-977B-47EC-843A-52657881E9B3}">
      <text>
        <r>
          <rPr>
            <sz val="8"/>
            <color indexed="81"/>
            <rFont val="Tahoma"/>
            <family val="2"/>
          </rPr>
          <t>Quantity is the number of Panels 
within the opening. 
If ordering Make Size (MS), 
this will be the number of Panels 
at this size.</t>
        </r>
      </text>
    </comment>
    <comment ref="G21" authorId="0" shapeId="0" xr:uid="{AB5342F7-F24B-474D-B63B-173FA7F53CE2}">
      <text>
        <r>
          <rPr>
            <sz val="8"/>
            <color indexed="81"/>
            <rFont val="Tahoma"/>
            <family val="2"/>
          </rPr>
          <t>Fauxwood Designer Eco will be made with the standard profile 
Bottom Rail,  Mid Rail &amp; Top Rail.
Fauxwood Designer Eco Plus will be made with the 
reinforced curved profile Bottom Rail, Mid Rail &amp; Top Rail.
Fauxwood Designer Eco Night will be made with the 
curved grooved profile Bottom Rail, Mid Rail &amp; Top Rail.
Luvre will be made with the reinforced
curved profile Bottom Rail, Mid Rail &amp; Top Rail.
Fauxwood Designer Eco Plus, Fauxwood Designer Eco Night &amp; Luvre 
Surcharge applies.</t>
        </r>
      </text>
    </comment>
    <comment ref="H21" authorId="0" shapeId="0" xr:uid="{CE555AD8-C55A-4729-B11A-6AC0314A18CE}">
      <text>
        <r>
          <rPr>
            <sz val="8"/>
            <color indexed="81"/>
            <rFont val="Tahoma"/>
            <family val="2"/>
          </rPr>
          <t xml:space="preserve">Fauxwood Designer Colours options available;
Standard Colours;
Bright White
Classic White
Snow White
Super White
Vanilla
Specialty Colours;
Ceylon
Earl Grey
French White
Infinite White
Polar White
Quiet White
Snow Gum Grey
Snowy Mountains White
</t>
        </r>
        <r>
          <rPr>
            <i/>
            <sz val="8"/>
            <color indexed="81"/>
            <rFont val="Tahoma"/>
            <family val="2"/>
          </rPr>
          <t>Specialty Colours Surcharge applies.</t>
        </r>
        <r>
          <rPr>
            <sz val="8"/>
            <color indexed="81"/>
            <rFont val="Tahoma"/>
            <family val="2"/>
          </rPr>
          <t xml:space="preserve">
Luvre with Therme &amp; Scratch Resistant Paint 
Colours options available;
Snow White
Super White
</t>
        </r>
      </text>
    </comment>
    <comment ref="J21" authorId="0" shapeId="0" xr:uid="{CC01FED4-AED0-47DF-B859-CAF7FF47E817}">
      <text>
        <r>
          <rPr>
            <sz val="8"/>
            <color indexed="81"/>
            <rFont val="Tahoma"/>
            <family val="2"/>
          </rPr>
          <t>Fauxwood Designer Eco &amp; 
Fauxwood Designer Eco Plus 
Blade sizes options are;
63mm
89mm
Fauxwood Designer Eco Night  
Blade sizes options are;
92mm
Luvre Blade sizes options are;
89mm
114mm</t>
        </r>
      </text>
    </comment>
    <comment ref="K21" authorId="0" shapeId="0" xr:uid="{608F3E00-9451-4E9E-B20E-DA95F46626B7}">
      <text>
        <r>
          <rPr>
            <sz val="8"/>
            <color indexed="81"/>
            <rFont val="Tahoma"/>
            <family val="2"/>
          </rPr>
          <t>Mid Rail is required on Fauxwood Panels over 1500mm.
Cell will highlight yellow when Mid Rail is required.
Only one Critical Mid Rail is allowed.
A Mid Rail that is not marked "Critical" may be moved up or down 
up to 40mm to stop any gaps and increase/decrease the blade quantity.
Fauxwood Designer Eco will be made with the standard profile 
Bottom Rail,  Mid Rail &amp; Top Rail.
Fauxwood Designer Eco Plus will be made with the 
reinforced curved profile Bottom Rail, Mid Rail &amp; Top Rail.
Fauxwood Designer Eco Night will be made with the 
curved grooved profile Bottom Rail, Mid Rail &amp; Top Rail.
Luvre will be made with the reinforced
curved profile Bottom Rail, Mid Rail &amp; Top Rail.
Fauxwood Designer Eco Plus, Fauxwood Designer Eco Night &amp; Luvre Surcharge applies.</t>
        </r>
      </text>
    </comment>
    <comment ref="L21" authorId="0" shapeId="0" xr:uid="{08AAE24D-BE53-414F-B522-2531F4A422F6}">
      <text>
        <r>
          <rPr>
            <sz val="8"/>
            <color indexed="81"/>
            <rFont val="Tahoma"/>
            <family val="2"/>
          </rPr>
          <t xml:space="preserve">The Fauxwood Designer Eco, 
Fauxwood Designer Eco Plus 
&amp; Luvre Window Type options are;
Standard
Bay Window
Corner Window
Door Cut Out
Shaped Arch
Shaped Hexagon
Shaped Octagon
Shaped Oval
Shaped Parallelogram
Shaped Raked
Shaped Round
Shaped Sunburst
Shaped Triangle
These Shapes are not available
with the Rack &amp; Pinion Tiltrod;
Shaped Arch
Shaped Hexagon
Shaped Octagon
Shaped Oval
Shaped Round
Shaped Sunburst
The Fauxwood Designer Eco Night Window Type 
options are;
Standard
Bay Window
Corner Window
</t>
        </r>
        <r>
          <rPr>
            <i/>
            <sz val="8"/>
            <color indexed="81"/>
            <rFont val="Tahoma"/>
            <family val="2"/>
          </rPr>
          <t xml:space="preserve">
</t>
        </r>
        <r>
          <rPr>
            <sz val="8"/>
            <color indexed="81"/>
            <rFont val="Tahoma"/>
            <family val="2"/>
          </rPr>
          <t>Shaped Shutters will need the Panel Layout to be 
compatible with the Hidden Tiltrod system.</t>
        </r>
      </text>
    </comment>
    <comment ref="M21" authorId="0" shapeId="0" xr:uid="{0D33609F-83D7-45AF-8646-4E57EDAC8A76}">
      <text>
        <r>
          <rPr>
            <sz val="8"/>
            <color indexed="81"/>
            <rFont val="Tahoma"/>
            <family val="2"/>
          </rPr>
          <t>Mounting Method is dependent 
on  MS, In Or Out &amp; Product.
For IN &amp; Fauxwood Designer Eco,  
Fauxwood Designer Eco Plus 
&amp; Luvre the options are;
Double Hinged
Fixed
Hinged
Pivot Hinged
Sliding
Track Bi Fold
For OUT &amp; Fauxwood Designer Eco,  
Fauxwood Designer Eco Plus 
&amp; Luvre the options are;
Double Hinged
Hinged
Pivot Hinged
Sliding
Track Bi Fold
For IN &amp; Fauxwood Designer Eco Night 
the options are;
Fixed
Hinged
For OUT &amp; Fauxwood Designer Eco Night 
the options are;
Fixed
Hinged
For MS, the options are;
N/A
Pivot Hinged is not recommended for 
Designer Eco Plus or Luvre.</t>
        </r>
      </text>
    </comment>
    <comment ref="N21" authorId="0" shapeId="0" xr:uid="{B5DB4997-60E2-4B47-8C74-14BC71A9E5A2}">
      <text>
        <r>
          <rPr>
            <sz val="8"/>
            <color indexed="81"/>
            <rFont val="Tahoma"/>
            <family val="2"/>
          </rPr>
          <t>For Sliding Track System options are;
Top Hung (Original System)
Bottom Wheel (New System)
The Top Hung (Original System) uses 
Top Wheels Mounting.
The Bottom Wheel (New System) uses a 
U Channel at the Top and 
Wheels at the Bottom.
This option cannot have a Floor Guide or 
Track On Board.</t>
        </r>
      </text>
    </comment>
    <comment ref="O21" authorId="0" shapeId="0" xr:uid="{71E8D942-B696-4124-8850-2392DFAA0777}">
      <text>
        <r>
          <rPr>
            <sz val="8"/>
            <color indexed="81"/>
            <rFont val="Tahoma"/>
            <family val="2"/>
          </rPr>
          <t>Please refer to the Shutter Manual 
when selecting Layout Code.
The list provides the most common options, 
which are dependent on Mounting Method.
More complex Layout Codes can still be entered manually.</t>
        </r>
      </text>
    </comment>
    <comment ref="P21" authorId="0" shapeId="0" xr:uid="{FDAB1749-6767-4D32-843A-EF1151FE9900}">
      <text>
        <r>
          <rPr>
            <sz val="8"/>
            <color indexed="81"/>
            <rFont val="Tahoma"/>
            <family val="2"/>
          </rPr>
          <t>Frame Type is dependent on
 Mounting Method.
If a Flat (unbeaded) Small L Frame 
is selected, a matching Stile &amp; T Post can be 
ordered in the Stile &amp; T Post column.</t>
        </r>
      </text>
    </comment>
    <comment ref="V21" authorId="0" shapeId="0" xr:uid="{25F91ED3-5672-4B6A-B916-682067AA9A8E}">
      <text>
        <r>
          <rPr>
            <sz val="8"/>
            <color indexed="81"/>
            <rFont val="Tahoma"/>
            <family val="2"/>
          </rPr>
          <t>This option is dependent on the 
Material &amp; Product 
and will only be available once this 
option is selected.
For Fauxwood Designer Eco
&amp; Fauxwood Designer Eco Plus 
the options are;
Hidden
Centre
Off-Set
Rack &amp; Pinion
These Shapes are not available
with the Rack &amp; Pinion Tiltrod;
Shaped Arch
Shaped Hexagon
Shaped Octagon
Shaped Oval
Shaped Round
Shaped Sunburst
For Fauxwood Designer Eco Night
the options are;
Hidden
For Luvre the options are;
Hidden</t>
        </r>
      </text>
    </comment>
    <comment ref="W21" authorId="0" shapeId="0" xr:uid="{44EE081F-E163-4E9D-8D87-6E87347C9A5F}">
      <text>
        <r>
          <rPr>
            <sz val="8"/>
            <color indexed="81"/>
            <rFont val="Tahoma"/>
            <family val="2"/>
          </rPr>
          <t xml:space="preserve">If no Hinge Colour is selected, 
then the default Hinge Colour and hardware 
will be supplied. 
The Hinge Colour options are;
Default
Stainless Steel
N/A
When Default is selected, the Hinge will be supplied 
as per the matching Hinge Colour list below;
Shutter Colour - </t>
        </r>
        <r>
          <rPr>
            <i/>
            <sz val="8"/>
            <color indexed="81"/>
            <rFont val="Tahoma"/>
            <family val="2"/>
          </rPr>
          <t>Hinge Colour</t>
        </r>
        <r>
          <rPr>
            <sz val="8"/>
            <color indexed="81"/>
            <rFont val="Tahoma"/>
            <family val="2"/>
          </rPr>
          <t xml:space="preserve">
   Bright White - </t>
        </r>
        <r>
          <rPr>
            <i/>
            <sz val="8"/>
            <color indexed="81"/>
            <rFont val="Tahoma"/>
            <family val="2"/>
          </rPr>
          <t>Bright White</t>
        </r>
        <r>
          <rPr>
            <sz val="8"/>
            <color indexed="81"/>
            <rFont val="Tahoma"/>
            <family val="2"/>
          </rPr>
          <t xml:space="preserve">
Classic White - </t>
        </r>
        <r>
          <rPr>
            <i/>
            <sz val="8"/>
            <color indexed="81"/>
            <rFont val="Tahoma"/>
            <family val="2"/>
          </rPr>
          <t>White</t>
        </r>
        <r>
          <rPr>
            <sz val="8"/>
            <color indexed="81"/>
            <rFont val="Tahoma"/>
            <family val="2"/>
          </rPr>
          <t xml:space="preserve">
Snow White - </t>
        </r>
        <r>
          <rPr>
            <i/>
            <sz val="8"/>
            <color indexed="81"/>
            <rFont val="Tahoma"/>
            <family val="2"/>
          </rPr>
          <t>Snow White</t>
        </r>
        <r>
          <rPr>
            <sz val="8"/>
            <color indexed="81"/>
            <rFont val="Tahoma"/>
            <family val="2"/>
          </rPr>
          <t xml:space="preserve">
Super White - </t>
        </r>
        <r>
          <rPr>
            <i/>
            <sz val="8"/>
            <color indexed="81"/>
            <rFont val="Tahoma"/>
            <family val="2"/>
          </rPr>
          <t>Snow White</t>
        </r>
        <r>
          <rPr>
            <sz val="8"/>
            <color indexed="81"/>
            <rFont val="Tahoma"/>
            <family val="2"/>
          </rPr>
          <t xml:space="preserve">
Vanilla - </t>
        </r>
        <r>
          <rPr>
            <i/>
            <sz val="8"/>
            <color indexed="81"/>
            <rFont val="Tahoma"/>
            <family val="2"/>
          </rPr>
          <t xml:space="preserve">Ivory
</t>
        </r>
        <r>
          <rPr>
            <sz val="8"/>
            <color indexed="81"/>
            <rFont val="Tahoma"/>
            <family val="2"/>
          </rPr>
          <t xml:space="preserve">Ceylon - </t>
        </r>
        <r>
          <rPr>
            <i/>
            <sz val="8"/>
            <color indexed="81"/>
            <rFont val="Tahoma"/>
            <family val="2"/>
          </rPr>
          <t>Ceylon</t>
        </r>
        <r>
          <rPr>
            <sz val="8"/>
            <color indexed="81"/>
            <rFont val="Tahoma"/>
            <family val="2"/>
          </rPr>
          <t xml:space="preserve">
Earl Grey - </t>
        </r>
        <r>
          <rPr>
            <i/>
            <sz val="8"/>
            <color indexed="81"/>
            <rFont val="Tahoma"/>
            <family val="2"/>
          </rPr>
          <t>Earl Grey</t>
        </r>
        <r>
          <rPr>
            <sz val="8"/>
            <color indexed="81"/>
            <rFont val="Tahoma"/>
            <family val="2"/>
          </rPr>
          <t xml:space="preserve">
French White - </t>
        </r>
        <r>
          <rPr>
            <i/>
            <sz val="8"/>
            <color indexed="81"/>
            <rFont val="Tahoma"/>
            <family val="2"/>
          </rPr>
          <t>French White</t>
        </r>
        <r>
          <rPr>
            <sz val="8"/>
            <color indexed="81"/>
            <rFont val="Tahoma"/>
            <family val="2"/>
          </rPr>
          <t xml:space="preserve">
Infinite White -</t>
        </r>
        <r>
          <rPr>
            <i/>
            <sz val="8"/>
            <color indexed="81"/>
            <rFont val="Tahoma"/>
            <family val="2"/>
          </rPr>
          <t xml:space="preserve"> Infinite White</t>
        </r>
        <r>
          <rPr>
            <sz val="8"/>
            <color indexed="81"/>
            <rFont val="Tahoma"/>
            <family val="2"/>
          </rPr>
          <t xml:space="preserve">
Polar White - </t>
        </r>
        <r>
          <rPr>
            <i/>
            <sz val="8"/>
            <color indexed="81"/>
            <rFont val="Tahoma"/>
            <family val="2"/>
          </rPr>
          <t>Polar White</t>
        </r>
        <r>
          <rPr>
            <sz val="8"/>
            <color indexed="81"/>
            <rFont val="Tahoma"/>
            <family val="2"/>
          </rPr>
          <t xml:space="preserve">
Quiet White - </t>
        </r>
        <r>
          <rPr>
            <i/>
            <sz val="8"/>
            <color indexed="81"/>
            <rFont val="Tahoma"/>
            <family val="2"/>
          </rPr>
          <t>Quiet White</t>
        </r>
        <r>
          <rPr>
            <sz val="8"/>
            <color indexed="81"/>
            <rFont val="Tahoma"/>
            <family val="2"/>
          </rPr>
          <t xml:space="preserve">
Snow Gum Grey - </t>
        </r>
        <r>
          <rPr>
            <i/>
            <sz val="8"/>
            <color indexed="81"/>
            <rFont val="Tahoma"/>
            <family val="2"/>
          </rPr>
          <t>Snow Gum Grey</t>
        </r>
        <r>
          <rPr>
            <sz val="8"/>
            <color indexed="81"/>
            <rFont val="Tahoma"/>
            <family val="2"/>
          </rPr>
          <t xml:space="preserve">
Snowy Mountains White - </t>
        </r>
        <r>
          <rPr>
            <i/>
            <sz val="8"/>
            <color indexed="81"/>
            <rFont val="Tahoma"/>
            <family val="2"/>
          </rPr>
          <t>Snowy Mountains White</t>
        </r>
        <r>
          <rPr>
            <sz val="8"/>
            <color indexed="81"/>
            <rFont val="Tahoma"/>
            <family val="2"/>
          </rPr>
          <t xml:space="preserve">
For standard Shutters in Fauxwood Designer Eco 
Standard 77mm Hinges will be used.
For standard Shutters in Fauxwood Designer Eco Plus, 
Fauxwood Designer Eco Night &amp; Luvre
Standard 90mm Hinges will be used.
The Pivot Hinged Colour options are;
White
Stainless Steel
Please refer to the Shutter Manual. 
</t>
        </r>
        <r>
          <rPr>
            <i/>
            <sz val="8"/>
            <color indexed="81"/>
            <rFont val="Tahoma"/>
            <family val="2"/>
          </rPr>
          <t>Stainless Steel Surcharge applies.</t>
        </r>
      </text>
    </comment>
    <comment ref="X21" authorId="0" shapeId="0" xr:uid="{AA6D03C2-34F6-4596-8C0D-6377784FC67E}">
      <text>
        <r>
          <rPr>
            <sz val="8"/>
            <color indexed="81"/>
            <rFont val="Tahoma"/>
            <family val="2"/>
          </rPr>
          <t>Please Note: 
If Closed option is chosen then the blades 
can be damaged if they are left open 
when Sliding the Panel.
Open is not an option for 3 Tracks.</t>
        </r>
      </text>
    </comment>
    <comment ref="Y21" authorId="0" shapeId="0" xr:uid="{99E27E7B-52B8-4BF8-8249-669E7B7717B3}">
      <text>
        <r>
          <rPr>
            <sz val="8"/>
            <color indexed="81"/>
            <rFont val="Tahoma"/>
            <family val="2"/>
          </rPr>
          <t>If any T Posts are required then the measurements 
must be supplied under the next columns.
Measurements should be made from the left.
A Flat (Unbeaded) T Post can be ordered to match 
the Flat Stile Shutter in the Stile &amp; T Post column.</t>
        </r>
      </text>
    </comment>
    <comment ref="AC21" authorId="0" shapeId="0" xr:uid="{B1B2EB32-A238-4C66-A174-27FF84612361}">
      <text>
        <r>
          <rPr>
            <sz val="8"/>
            <color indexed="81"/>
            <rFont val="Tahoma"/>
            <family val="2"/>
          </rPr>
          <t>The Stile &amp; T Post 
options are;
Default (Beaded)
Flat Stile &amp; T Post
A Flat (unbeaded) Small L Frame can be ordered 
under the Frame Type.</t>
        </r>
      </text>
    </comment>
    <comment ref="AD21" authorId="0" shapeId="0" xr:uid="{EA37A185-961A-41B6-BC83-8D6C2DA7CEAC}">
      <text>
        <r>
          <rPr>
            <sz val="8"/>
            <color indexed="81"/>
            <rFont val="Tahoma"/>
            <family val="2"/>
          </rPr>
          <t xml:space="preserve">The Designer Eco,  
Designer Eco Plus &amp; Luvre
Fluffy Strip options are;
No
Yes
Fluffy Strip is supplied with the Fauxwood Designer Eco Night Shutter.
</t>
        </r>
        <r>
          <rPr>
            <i/>
            <sz val="8"/>
            <color indexed="81"/>
            <rFont val="Tahoma"/>
            <family val="2"/>
          </rPr>
          <t>Fluffy Strip Surcharge applies.</t>
        </r>
      </text>
    </comment>
    <comment ref="C22" authorId="0" shapeId="0" xr:uid="{1FD55954-1027-4581-B816-2F62254B7072}">
      <text>
        <r>
          <rPr>
            <sz val="8"/>
            <color indexed="81"/>
            <rFont val="Tahoma"/>
            <family val="2"/>
          </rPr>
          <t xml:space="preserve">Minimum Width is 180mm.
Maximum Fauxwood Standard Size 
Width is 650mm.
Maximum Fauxwood Designer Eco Width with 
63mm Blades is 900mm.
Maximum Fauxwood Designer Eco Width with 
89mm Blades is 900mm.
Maximum Fauxwood Designer Eco Plus Width with 
63mm Blades is 950mm.
Maximum Fauxwood Designer Eco Plus Width with 
89mm Blades is 950mm.
Maximum Fauxwood Designer Eco Night 
Width is 650mm.
Maximum Luvre Width is 950mm.
Fauxwood Designer Eco &amp; 
Fauxwood Designer Eco Plus Panels 
with a Width larger than 650mm will require 
Aluminium Inserts.
Conditions apply.
</t>
        </r>
        <r>
          <rPr>
            <i/>
            <sz val="8"/>
            <color indexed="81"/>
            <rFont val="Tahoma"/>
            <family val="2"/>
          </rPr>
          <t>Please note: 
Larger Panels may sometimes require lifting in to the frame.</t>
        </r>
      </text>
    </comment>
    <comment ref="D22" authorId="0" shapeId="0" xr:uid="{839328D5-7331-45B1-AFB0-7C4462555F48}">
      <text>
        <r>
          <rPr>
            <sz val="8"/>
            <color indexed="81"/>
            <rFont val="Tahoma"/>
            <family val="2"/>
          </rPr>
          <t>Minimum Height is 350mm.
Maximum Fauxwood Height is 2600mm.</t>
        </r>
      </text>
    </comment>
    <comment ref="E22" authorId="0" shapeId="0" xr:uid="{E725FE2C-96EA-44F6-B6FD-C8C0713B51F3}">
      <text>
        <r>
          <rPr>
            <sz val="8"/>
            <color indexed="81"/>
            <rFont val="Tahoma"/>
            <family val="2"/>
          </rPr>
          <t xml:space="preserve">In - Inside or Reveal Fit
Out - Outside or Face Fit
Alternative Option:
MS - Make Size
Panel Only Option
</t>
        </r>
        <r>
          <rPr>
            <i/>
            <sz val="8"/>
            <color indexed="81"/>
            <rFont val="Tahoma"/>
            <family val="2"/>
          </rPr>
          <t>(Used for specific requirements only)</t>
        </r>
      </text>
    </comment>
    <comment ref="F22" authorId="0" shapeId="0" xr:uid="{01F4A7BA-DA75-48FE-B8FB-F6719FFDDD65}">
      <text>
        <r>
          <rPr>
            <sz val="8"/>
            <color indexed="81"/>
            <rFont val="Tahoma"/>
            <family val="2"/>
          </rPr>
          <t>Quantity is the number of Panels 
within the opening. 
If ordering Make Size (MS), 
this will be the number of Panels 
at this size.</t>
        </r>
      </text>
    </comment>
    <comment ref="G22" authorId="0" shapeId="0" xr:uid="{2F1B5509-47D6-4FE7-A47F-ED451FF4428C}">
      <text>
        <r>
          <rPr>
            <sz val="8"/>
            <color indexed="81"/>
            <rFont val="Tahoma"/>
            <family val="2"/>
          </rPr>
          <t>Fauxwood Designer Eco will be made with the standard profile 
Bottom Rail,  Mid Rail &amp; Top Rail.
Fauxwood Designer Eco Plus will be made with the 
reinforced curved profile Bottom Rail, Mid Rail &amp; Top Rail.
Fauxwood Designer Eco Night will be made with the 
curved grooved profile Bottom Rail, Mid Rail &amp; Top Rail.
Luvre will be made with the reinforced
curved profile Bottom Rail, Mid Rail &amp; Top Rail.
Fauxwood Designer Eco Plus, Fauxwood Designer Eco Night &amp; Luvre 
Surcharge applies.</t>
        </r>
      </text>
    </comment>
    <comment ref="H22" authorId="0" shapeId="0" xr:uid="{F1B99D02-42A1-4ECA-BD7A-A473E264BCF2}">
      <text>
        <r>
          <rPr>
            <sz val="8"/>
            <color indexed="81"/>
            <rFont val="Tahoma"/>
            <family val="2"/>
          </rPr>
          <t xml:space="preserve">Fauxwood Designer Colours options available;
Standard Colours;
Bright White
Classic White
Snow White
Super White
Vanilla
Specialty Colours;
Ceylon
Earl Grey
French White
Infinite White
Polar White
Quiet White
Snow Gum Grey
Snowy Mountains White
</t>
        </r>
        <r>
          <rPr>
            <i/>
            <sz val="8"/>
            <color indexed="81"/>
            <rFont val="Tahoma"/>
            <family val="2"/>
          </rPr>
          <t>Specialty Colours Surcharge applies.</t>
        </r>
        <r>
          <rPr>
            <sz val="8"/>
            <color indexed="81"/>
            <rFont val="Tahoma"/>
            <family val="2"/>
          </rPr>
          <t xml:space="preserve">
Luvre with Therme &amp; Scratch Resistant Paint 
Colours options available;
Snow White
Super White
</t>
        </r>
      </text>
    </comment>
    <comment ref="J22" authorId="0" shapeId="0" xr:uid="{04A3DA23-64F4-4F72-8639-07A8C2BD42FB}">
      <text>
        <r>
          <rPr>
            <sz val="8"/>
            <color indexed="81"/>
            <rFont val="Tahoma"/>
            <family val="2"/>
          </rPr>
          <t>Fauxwood Designer Eco &amp; 
Fauxwood Designer Eco Plus 
Blade sizes options are;
63mm
89mm
Fauxwood Designer Eco Night  
Blade sizes options are;
92mm
Luvre Blade sizes options are;
89mm
114mm</t>
        </r>
      </text>
    </comment>
    <comment ref="K22" authorId="0" shapeId="0" xr:uid="{23FF336A-DBB5-4561-8C57-DB533BDD24FB}">
      <text>
        <r>
          <rPr>
            <sz val="8"/>
            <color indexed="81"/>
            <rFont val="Tahoma"/>
            <family val="2"/>
          </rPr>
          <t>Mid Rail is required on Fauxwood Panels over 1500mm.
Cell will highlight yellow when Mid Rail is required.
Only one Critical Mid Rail is allowed.
A Mid Rail that is not marked "Critical" may be moved up or down 
up to 40mm to stop any gaps and increase/decrease the blade quantity.
Fauxwood Designer Eco will be made with the standard profile 
Bottom Rail,  Mid Rail &amp; Top Rail.
Fauxwood Designer Eco Plus will be made with the 
reinforced curved profile Bottom Rail, Mid Rail &amp; Top Rail.
Fauxwood Designer Eco Night will be made with the 
curved grooved profile Bottom Rail, Mid Rail &amp; Top Rail.
Luvre will be made with the reinforced
curved profile Bottom Rail, Mid Rail &amp; Top Rail.
Fauxwood Designer Eco Plus, Fauxwood Designer Eco Night &amp; Luvre Surcharge applies.</t>
        </r>
      </text>
    </comment>
    <comment ref="L22" authorId="0" shapeId="0" xr:uid="{834710CB-4E7F-4806-8805-65DF8A233FD8}">
      <text>
        <r>
          <rPr>
            <sz val="8"/>
            <color indexed="81"/>
            <rFont val="Tahoma"/>
            <family val="2"/>
          </rPr>
          <t xml:space="preserve">The Fauxwood Designer Eco, 
Fauxwood Designer Eco Plus 
&amp; Luvre Window Type options are;
Standard
Bay Window
Corner Window
Door Cut Out
Shaped Arch
Shaped Hexagon
Shaped Octagon
Shaped Oval
Shaped Parallelogram
Shaped Raked
Shaped Round
Shaped Sunburst
Shaped Triangle
These Shapes are not available
with the Rack &amp; Pinion Tiltrod;
Shaped Arch
Shaped Hexagon
Shaped Octagon
Shaped Oval
Shaped Round
Shaped Sunburst
The Fauxwood Designer Eco Night Window Type 
options are;
Standard
Bay Window
Corner Window
</t>
        </r>
        <r>
          <rPr>
            <i/>
            <sz val="8"/>
            <color indexed="81"/>
            <rFont val="Tahoma"/>
            <family val="2"/>
          </rPr>
          <t xml:space="preserve">
</t>
        </r>
        <r>
          <rPr>
            <sz val="8"/>
            <color indexed="81"/>
            <rFont val="Tahoma"/>
            <family val="2"/>
          </rPr>
          <t>Shaped Shutters will need the Panel Layout to be 
compatible with the Hidden Tiltrod system.</t>
        </r>
      </text>
    </comment>
    <comment ref="M22" authorId="0" shapeId="0" xr:uid="{4174F3BC-073D-4E1A-A9AE-FE1DD85EE686}">
      <text>
        <r>
          <rPr>
            <sz val="8"/>
            <color indexed="81"/>
            <rFont val="Tahoma"/>
            <family val="2"/>
          </rPr>
          <t>Mounting Method is dependent 
on  MS, In Or Out &amp; Product.
For IN &amp; Fauxwood Designer Eco,  
Fauxwood Designer Eco Plus 
&amp; Luvre the options are;
Double Hinged
Fixed
Hinged
Pivot Hinged
Sliding
Track Bi Fold
For OUT &amp; Fauxwood Designer Eco,  
Fauxwood Designer Eco Plus 
&amp; Luvre the options are;
Double Hinged
Hinged
Pivot Hinged
Sliding
Track Bi Fold
For IN &amp; Fauxwood Designer Eco Night 
the options are;
Fixed
Hinged
For OUT &amp; Fauxwood Designer Eco Night 
the options are;
Fixed
Hinged
For MS, the options are;
N/A
Pivot Hinged is not recommended for 
Designer Eco Plus or Luvre.</t>
        </r>
      </text>
    </comment>
    <comment ref="N22" authorId="0" shapeId="0" xr:uid="{BD4FE080-7B9E-404D-B12F-9E1B6060DC8E}">
      <text>
        <r>
          <rPr>
            <sz val="8"/>
            <color indexed="81"/>
            <rFont val="Tahoma"/>
            <family val="2"/>
          </rPr>
          <t>For Sliding Track System options are;
Top Hung (Original System)
Bottom Wheel (New System)
The Top Hung (Original System) uses 
Top Wheels Mounting.
The Bottom Wheel (New System) uses a 
U Channel at the Top and 
Wheels at the Bottom.
This option cannot have a Floor Guide or 
Track On Board.</t>
        </r>
      </text>
    </comment>
    <comment ref="O22" authorId="0" shapeId="0" xr:uid="{2EA29D08-C6B7-4ADE-911F-6A9D4E24BD11}">
      <text>
        <r>
          <rPr>
            <sz val="8"/>
            <color indexed="81"/>
            <rFont val="Tahoma"/>
            <family val="2"/>
          </rPr>
          <t>Please refer to the Shutter Manual 
when selecting Layout Code.
The list provides the most common options, 
which are dependent on Mounting Method.
More complex Layout Codes can still be entered manually.</t>
        </r>
      </text>
    </comment>
    <comment ref="P22" authorId="0" shapeId="0" xr:uid="{E2F4F665-917D-4BB1-9CDA-B65804FA953B}">
      <text>
        <r>
          <rPr>
            <sz val="8"/>
            <color indexed="81"/>
            <rFont val="Tahoma"/>
            <family val="2"/>
          </rPr>
          <t>Frame Type is dependent on
 Mounting Method.
If a Flat (unbeaded) Small L Frame 
is selected, a matching Stile &amp; T Post can be 
ordered in the Stile &amp; T Post column.</t>
        </r>
      </text>
    </comment>
    <comment ref="V22" authorId="0" shapeId="0" xr:uid="{A408BA85-5BE1-4883-9665-B3EEF75CFBE1}">
      <text>
        <r>
          <rPr>
            <sz val="8"/>
            <color indexed="81"/>
            <rFont val="Tahoma"/>
            <family val="2"/>
          </rPr>
          <t>This option is dependent on the 
Material &amp; Product 
and will only be available once this 
option is selected.
For Fauxwood Designer Eco
&amp; Fauxwood Designer Eco Plus 
the options are;
Hidden
Centre
Off-Set
Rack &amp; Pinion
These Shapes are not available
with the Rack &amp; Pinion Tiltrod;
Shaped Arch
Shaped Hexagon
Shaped Octagon
Shaped Oval
Shaped Round
Shaped Sunburst
For Fauxwood Designer Eco Night
the options are;
Hidden
For Luvre the options are;
Hidden</t>
        </r>
      </text>
    </comment>
    <comment ref="W22" authorId="0" shapeId="0" xr:uid="{97F02CB5-7D6E-4D2F-9B13-182A4A9B7336}">
      <text>
        <r>
          <rPr>
            <sz val="8"/>
            <color indexed="81"/>
            <rFont val="Tahoma"/>
            <family val="2"/>
          </rPr>
          <t xml:space="preserve">If no Hinge Colour is selected, 
then the default Hinge Colour and hardware 
will be supplied. 
The Hinge Colour options are;
Default
Stainless Steel
N/A
When Default is selected, the Hinge will be supplied 
as per the matching Hinge Colour list below;
Shutter Colour - </t>
        </r>
        <r>
          <rPr>
            <i/>
            <sz val="8"/>
            <color indexed="81"/>
            <rFont val="Tahoma"/>
            <family val="2"/>
          </rPr>
          <t>Hinge Colour</t>
        </r>
        <r>
          <rPr>
            <sz val="8"/>
            <color indexed="81"/>
            <rFont val="Tahoma"/>
            <family val="2"/>
          </rPr>
          <t xml:space="preserve">
   Bright White - </t>
        </r>
        <r>
          <rPr>
            <i/>
            <sz val="8"/>
            <color indexed="81"/>
            <rFont val="Tahoma"/>
            <family val="2"/>
          </rPr>
          <t>Bright White</t>
        </r>
        <r>
          <rPr>
            <sz val="8"/>
            <color indexed="81"/>
            <rFont val="Tahoma"/>
            <family val="2"/>
          </rPr>
          <t xml:space="preserve">
Classic White - </t>
        </r>
        <r>
          <rPr>
            <i/>
            <sz val="8"/>
            <color indexed="81"/>
            <rFont val="Tahoma"/>
            <family val="2"/>
          </rPr>
          <t>White</t>
        </r>
        <r>
          <rPr>
            <sz val="8"/>
            <color indexed="81"/>
            <rFont val="Tahoma"/>
            <family val="2"/>
          </rPr>
          <t xml:space="preserve">
Snow White - </t>
        </r>
        <r>
          <rPr>
            <i/>
            <sz val="8"/>
            <color indexed="81"/>
            <rFont val="Tahoma"/>
            <family val="2"/>
          </rPr>
          <t>Snow White</t>
        </r>
        <r>
          <rPr>
            <sz val="8"/>
            <color indexed="81"/>
            <rFont val="Tahoma"/>
            <family val="2"/>
          </rPr>
          <t xml:space="preserve">
Super White - </t>
        </r>
        <r>
          <rPr>
            <i/>
            <sz val="8"/>
            <color indexed="81"/>
            <rFont val="Tahoma"/>
            <family val="2"/>
          </rPr>
          <t>Snow White</t>
        </r>
        <r>
          <rPr>
            <sz val="8"/>
            <color indexed="81"/>
            <rFont val="Tahoma"/>
            <family val="2"/>
          </rPr>
          <t xml:space="preserve">
Vanilla - </t>
        </r>
        <r>
          <rPr>
            <i/>
            <sz val="8"/>
            <color indexed="81"/>
            <rFont val="Tahoma"/>
            <family val="2"/>
          </rPr>
          <t xml:space="preserve">Ivory
</t>
        </r>
        <r>
          <rPr>
            <sz val="8"/>
            <color indexed="81"/>
            <rFont val="Tahoma"/>
            <family val="2"/>
          </rPr>
          <t xml:space="preserve">Ceylon - </t>
        </r>
        <r>
          <rPr>
            <i/>
            <sz val="8"/>
            <color indexed="81"/>
            <rFont val="Tahoma"/>
            <family val="2"/>
          </rPr>
          <t>Ceylon</t>
        </r>
        <r>
          <rPr>
            <sz val="8"/>
            <color indexed="81"/>
            <rFont val="Tahoma"/>
            <family val="2"/>
          </rPr>
          <t xml:space="preserve">
Earl Grey - </t>
        </r>
        <r>
          <rPr>
            <i/>
            <sz val="8"/>
            <color indexed="81"/>
            <rFont val="Tahoma"/>
            <family val="2"/>
          </rPr>
          <t>Earl Grey</t>
        </r>
        <r>
          <rPr>
            <sz val="8"/>
            <color indexed="81"/>
            <rFont val="Tahoma"/>
            <family val="2"/>
          </rPr>
          <t xml:space="preserve">
French White - </t>
        </r>
        <r>
          <rPr>
            <i/>
            <sz val="8"/>
            <color indexed="81"/>
            <rFont val="Tahoma"/>
            <family val="2"/>
          </rPr>
          <t>French White</t>
        </r>
        <r>
          <rPr>
            <sz val="8"/>
            <color indexed="81"/>
            <rFont val="Tahoma"/>
            <family val="2"/>
          </rPr>
          <t xml:space="preserve">
Infinite White -</t>
        </r>
        <r>
          <rPr>
            <i/>
            <sz val="8"/>
            <color indexed="81"/>
            <rFont val="Tahoma"/>
            <family val="2"/>
          </rPr>
          <t xml:space="preserve"> Infinite White</t>
        </r>
        <r>
          <rPr>
            <sz val="8"/>
            <color indexed="81"/>
            <rFont val="Tahoma"/>
            <family val="2"/>
          </rPr>
          <t xml:space="preserve">
Polar White - </t>
        </r>
        <r>
          <rPr>
            <i/>
            <sz val="8"/>
            <color indexed="81"/>
            <rFont val="Tahoma"/>
            <family val="2"/>
          </rPr>
          <t>Polar White</t>
        </r>
        <r>
          <rPr>
            <sz val="8"/>
            <color indexed="81"/>
            <rFont val="Tahoma"/>
            <family val="2"/>
          </rPr>
          <t xml:space="preserve">
Quiet White - </t>
        </r>
        <r>
          <rPr>
            <i/>
            <sz val="8"/>
            <color indexed="81"/>
            <rFont val="Tahoma"/>
            <family val="2"/>
          </rPr>
          <t>Quiet White</t>
        </r>
        <r>
          <rPr>
            <sz val="8"/>
            <color indexed="81"/>
            <rFont val="Tahoma"/>
            <family val="2"/>
          </rPr>
          <t xml:space="preserve">
Snow Gum Grey - </t>
        </r>
        <r>
          <rPr>
            <i/>
            <sz val="8"/>
            <color indexed="81"/>
            <rFont val="Tahoma"/>
            <family val="2"/>
          </rPr>
          <t>Snow Gum Grey</t>
        </r>
        <r>
          <rPr>
            <sz val="8"/>
            <color indexed="81"/>
            <rFont val="Tahoma"/>
            <family val="2"/>
          </rPr>
          <t xml:space="preserve">
Snowy Mountains White - </t>
        </r>
        <r>
          <rPr>
            <i/>
            <sz val="8"/>
            <color indexed="81"/>
            <rFont val="Tahoma"/>
            <family val="2"/>
          </rPr>
          <t>Snowy Mountains White</t>
        </r>
        <r>
          <rPr>
            <sz val="8"/>
            <color indexed="81"/>
            <rFont val="Tahoma"/>
            <family val="2"/>
          </rPr>
          <t xml:space="preserve">
For standard Shutters in Fauxwood Designer Eco 
Standard 77mm Hinges will be used.
For standard Shutters in Fauxwood Designer Eco Plus, 
Fauxwood Designer Eco Night &amp; Luvre
Standard 90mm Hinges will be used.
The Pivot Hinged Colour options are;
White
Stainless Steel
Please refer to the Shutter Manual. 
</t>
        </r>
        <r>
          <rPr>
            <i/>
            <sz val="8"/>
            <color indexed="81"/>
            <rFont val="Tahoma"/>
            <family val="2"/>
          </rPr>
          <t>Stainless Steel Surcharge applies.</t>
        </r>
      </text>
    </comment>
    <comment ref="X22" authorId="0" shapeId="0" xr:uid="{777B06D6-289D-42F9-AB4C-2FF5D99299FA}">
      <text>
        <r>
          <rPr>
            <sz val="8"/>
            <color indexed="81"/>
            <rFont val="Tahoma"/>
            <family val="2"/>
          </rPr>
          <t>Please Note: 
If Closed option is chosen then the blades 
can be damaged if they are left open 
when Sliding the Panel.
Open is not an option for 3 Tracks.</t>
        </r>
      </text>
    </comment>
    <comment ref="Y22" authorId="0" shapeId="0" xr:uid="{39810783-F5E2-454C-8E82-90EA56400CCF}">
      <text>
        <r>
          <rPr>
            <sz val="8"/>
            <color indexed="81"/>
            <rFont val="Tahoma"/>
            <family val="2"/>
          </rPr>
          <t>If any T Posts are required then the measurements 
must be supplied under the next columns.
Measurements should be made from the left.
A Flat (Unbeaded) T Post can be ordered to match 
the Flat Stile Shutter in the Stile &amp; T Post column.</t>
        </r>
      </text>
    </comment>
    <comment ref="AC22" authorId="0" shapeId="0" xr:uid="{52CD7509-5E2D-4FA4-8AD3-124292A40E66}">
      <text>
        <r>
          <rPr>
            <sz val="8"/>
            <color indexed="81"/>
            <rFont val="Tahoma"/>
            <family val="2"/>
          </rPr>
          <t>The Stile &amp; T Post 
options are;
Default (Beaded)
Flat Stile &amp; T Post
A Flat (unbeaded) Small L Frame can be ordered 
under the Frame Type.</t>
        </r>
      </text>
    </comment>
    <comment ref="AD22" authorId="0" shapeId="0" xr:uid="{A7890714-7BD5-486A-9C52-2FAAE72C3D55}">
      <text>
        <r>
          <rPr>
            <sz val="8"/>
            <color indexed="81"/>
            <rFont val="Tahoma"/>
            <family val="2"/>
          </rPr>
          <t xml:space="preserve">The Designer Eco,  
Designer Eco Plus &amp; Luvre
Fluffy Strip options are;
No
Yes
Fluffy Strip is supplied with the Fauxwood Designer Eco Night Shutter.
</t>
        </r>
        <r>
          <rPr>
            <i/>
            <sz val="8"/>
            <color indexed="81"/>
            <rFont val="Tahoma"/>
            <family val="2"/>
          </rPr>
          <t>Fluffy Strip Surcharge applies.</t>
        </r>
      </text>
    </comment>
    <comment ref="C23" authorId="0" shapeId="0" xr:uid="{AA1AEC05-A70D-47F3-AD4C-60D8F393AECD}">
      <text>
        <r>
          <rPr>
            <sz val="8"/>
            <color indexed="81"/>
            <rFont val="Tahoma"/>
            <family val="2"/>
          </rPr>
          <t xml:space="preserve">Minimum Width is 180mm.
Maximum Fauxwood Standard Size 
Width is 650mm.
Maximum Fauxwood Designer Eco Width with 
63mm Blades is 900mm.
Maximum Fauxwood Designer Eco Width with 
89mm Blades is 900mm.
Maximum Fauxwood Designer Eco Plus Width with 
63mm Blades is 950mm.
Maximum Fauxwood Designer Eco Plus Width with 
89mm Blades is 950mm.
Maximum Fauxwood Designer Eco Night 
Width is 650mm.
Maximum Luvre Width is 950mm.
Fauxwood Designer Eco &amp; 
Fauxwood Designer Eco Plus Panels 
with a Width larger than 650mm will require 
Aluminium Inserts.
Conditions apply.
</t>
        </r>
        <r>
          <rPr>
            <i/>
            <sz val="8"/>
            <color indexed="81"/>
            <rFont val="Tahoma"/>
            <family val="2"/>
          </rPr>
          <t>Please note: 
Larger Panels may sometimes require lifting in to the frame.</t>
        </r>
      </text>
    </comment>
    <comment ref="D23" authorId="0" shapeId="0" xr:uid="{E66037D3-D330-4E71-9CF5-FF764B927A27}">
      <text>
        <r>
          <rPr>
            <sz val="8"/>
            <color indexed="81"/>
            <rFont val="Tahoma"/>
            <family val="2"/>
          </rPr>
          <t>Minimum Height is 350mm.
Maximum Fauxwood Height is 2600mm.</t>
        </r>
      </text>
    </comment>
    <comment ref="E23" authorId="0" shapeId="0" xr:uid="{A4139C0E-5C94-4C0F-A381-93C2FB5BA845}">
      <text>
        <r>
          <rPr>
            <sz val="8"/>
            <color indexed="81"/>
            <rFont val="Tahoma"/>
            <family val="2"/>
          </rPr>
          <t xml:space="preserve">In - Inside or Reveal Fit
Out - Outside or Face Fit
Alternative Option:
MS - Make Size
Panel Only Option
</t>
        </r>
        <r>
          <rPr>
            <i/>
            <sz val="8"/>
            <color indexed="81"/>
            <rFont val="Tahoma"/>
            <family val="2"/>
          </rPr>
          <t>(Used for specific requirements only)</t>
        </r>
      </text>
    </comment>
    <comment ref="F23" authorId="0" shapeId="0" xr:uid="{8CFF4FAC-9FF8-494D-9425-22BBF7BBC89F}">
      <text>
        <r>
          <rPr>
            <sz val="8"/>
            <color indexed="81"/>
            <rFont val="Tahoma"/>
            <family val="2"/>
          </rPr>
          <t>Quantity is the number of Panels 
within the opening. 
If ordering Make Size (MS), 
this will be the number of Panels 
at this size.</t>
        </r>
      </text>
    </comment>
    <comment ref="G23" authorId="0" shapeId="0" xr:uid="{AC211280-D310-45DF-8050-7CFC2E664690}">
      <text>
        <r>
          <rPr>
            <sz val="8"/>
            <color indexed="81"/>
            <rFont val="Tahoma"/>
            <family val="2"/>
          </rPr>
          <t>Fauxwood Designer Eco will be made with the standard profile 
Bottom Rail,  Mid Rail &amp; Top Rail.
Fauxwood Designer Eco Plus will be made with the 
reinforced curved profile Bottom Rail, Mid Rail &amp; Top Rail.
Fauxwood Designer Eco Night will be made with the 
curved grooved profile Bottom Rail, Mid Rail &amp; Top Rail.
Luvre will be made with the reinforced
curved profile Bottom Rail, Mid Rail &amp; Top Rail.
Fauxwood Designer Eco Plus, Fauxwood Designer Eco Night &amp; Luvre 
Surcharge applies.</t>
        </r>
      </text>
    </comment>
    <comment ref="H23" authorId="0" shapeId="0" xr:uid="{C21C7F2E-DCBB-4195-AFD2-77D32CCBD5BA}">
      <text>
        <r>
          <rPr>
            <sz val="8"/>
            <color indexed="81"/>
            <rFont val="Tahoma"/>
            <family val="2"/>
          </rPr>
          <t xml:space="preserve">Fauxwood Designer Colours options available;
Standard Colours;
Bright White
Classic White
Snow White
Super White
Vanilla
Specialty Colours;
Ceylon
Earl Grey
French White
Infinite White
Polar White
Quiet White
Snow Gum Grey
Snowy Mountains White
</t>
        </r>
        <r>
          <rPr>
            <i/>
            <sz val="8"/>
            <color indexed="81"/>
            <rFont val="Tahoma"/>
            <family val="2"/>
          </rPr>
          <t>Specialty Colours Surcharge applies.</t>
        </r>
        <r>
          <rPr>
            <sz val="8"/>
            <color indexed="81"/>
            <rFont val="Tahoma"/>
            <family val="2"/>
          </rPr>
          <t xml:space="preserve">
Luvre with Therme &amp; Scratch Resistant Paint 
Colours options available;
Snow White
Super White
</t>
        </r>
      </text>
    </comment>
    <comment ref="J23" authorId="0" shapeId="0" xr:uid="{88DFD403-F391-4D54-B27A-E165DFEC4A6C}">
      <text>
        <r>
          <rPr>
            <sz val="8"/>
            <color indexed="81"/>
            <rFont val="Tahoma"/>
            <family val="2"/>
          </rPr>
          <t>Fauxwood Designer Eco &amp; 
Fauxwood Designer Eco Plus 
Blade sizes options are;
63mm
89mm
Fauxwood Designer Eco Night  
Blade sizes options are;
92mm
Luvre Blade sizes options are;
89mm
114mm</t>
        </r>
      </text>
    </comment>
    <comment ref="K23" authorId="0" shapeId="0" xr:uid="{B71385B6-7D17-4850-BFA1-AB228460E1FE}">
      <text>
        <r>
          <rPr>
            <sz val="8"/>
            <color indexed="81"/>
            <rFont val="Tahoma"/>
            <family val="2"/>
          </rPr>
          <t>Mid Rail is required on Fauxwood Panels over 1500mm.
Cell will highlight yellow when Mid Rail is required.
Only one Critical Mid Rail is allowed.
A Mid Rail that is not marked "Critical" may be moved up or down 
up to 40mm to stop any gaps and increase/decrease the blade quantity.
Fauxwood Designer Eco will be made with the standard profile 
Bottom Rail,  Mid Rail &amp; Top Rail.
Fauxwood Designer Eco Plus will be made with the 
reinforced curved profile Bottom Rail, Mid Rail &amp; Top Rail.
Fauxwood Designer Eco Night will be made with the 
curved grooved profile Bottom Rail, Mid Rail &amp; Top Rail.
Luvre will be made with the reinforced
curved profile Bottom Rail, Mid Rail &amp; Top Rail.
Fauxwood Designer Eco Plus, Fauxwood Designer Eco Night &amp; Luvre Surcharge applies.</t>
        </r>
      </text>
    </comment>
    <comment ref="L23" authorId="0" shapeId="0" xr:uid="{17ADDA7E-DCC7-4FA9-8C82-D640CB2F6440}">
      <text>
        <r>
          <rPr>
            <sz val="8"/>
            <color indexed="81"/>
            <rFont val="Tahoma"/>
            <family val="2"/>
          </rPr>
          <t xml:space="preserve">The Fauxwood Designer Eco, 
Fauxwood Designer Eco Plus 
&amp; Luvre Window Type options are;
Standard
Bay Window
Corner Window
Door Cut Out
Shaped Arch
Shaped Hexagon
Shaped Octagon
Shaped Oval
Shaped Parallelogram
Shaped Raked
Shaped Round
Shaped Sunburst
Shaped Triangle
These Shapes are not available
with the Rack &amp; Pinion Tiltrod;
Shaped Arch
Shaped Hexagon
Shaped Octagon
Shaped Oval
Shaped Round
Shaped Sunburst
The Fauxwood Designer Eco Night Window Type 
options are;
Standard
Bay Window
Corner Window
</t>
        </r>
        <r>
          <rPr>
            <i/>
            <sz val="8"/>
            <color indexed="81"/>
            <rFont val="Tahoma"/>
            <family val="2"/>
          </rPr>
          <t xml:space="preserve">
</t>
        </r>
        <r>
          <rPr>
            <sz val="8"/>
            <color indexed="81"/>
            <rFont val="Tahoma"/>
            <family val="2"/>
          </rPr>
          <t>Shaped Shutters will need the Panel Layout to be 
compatible with the Hidden Tiltrod system.</t>
        </r>
      </text>
    </comment>
    <comment ref="M23" authorId="0" shapeId="0" xr:uid="{690331BC-A7E6-4C27-92E3-E5CAE184DD60}">
      <text>
        <r>
          <rPr>
            <sz val="8"/>
            <color indexed="81"/>
            <rFont val="Tahoma"/>
            <family val="2"/>
          </rPr>
          <t>Mounting Method is dependent 
on  MS, In Or Out &amp; Product.
For IN &amp; Fauxwood Designer Eco,  
Fauxwood Designer Eco Plus 
&amp; Luvre the options are;
Double Hinged
Fixed
Hinged
Pivot Hinged
Sliding
Track Bi Fold
For OUT &amp; Fauxwood Designer Eco,  
Fauxwood Designer Eco Plus 
&amp; Luvre the options are;
Double Hinged
Hinged
Pivot Hinged
Sliding
Track Bi Fold
For IN &amp; Fauxwood Designer Eco Night 
the options are;
Fixed
Hinged
For OUT &amp; Fauxwood Designer Eco Night 
the options are;
Fixed
Hinged
For MS, the options are;
N/A
Pivot Hinged is not recommended for 
Designer Eco Plus or Luvre.</t>
        </r>
      </text>
    </comment>
    <comment ref="N23" authorId="0" shapeId="0" xr:uid="{59D03EDB-1107-4707-9B7A-C6EB5E1AD48D}">
      <text>
        <r>
          <rPr>
            <sz val="8"/>
            <color indexed="81"/>
            <rFont val="Tahoma"/>
            <family val="2"/>
          </rPr>
          <t>For Sliding Track System options are;
Top Hung (Original System)
Bottom Wheel (New System)
The Top Hung (Original System) uses 
Top Wheels Mounting.
The Bottom Wheel (New System) uses a 
U Channel at the Top and 
Wheels at the Bottom.
This option cannot have a Floor Guide or 
Track On Board.</t>
        </r>
      </text>
    </comment>
    <comment ref="O23" authorId="0" shapeId="0" xr:uid="{9289BDFD-ACF8-4B09-BF73-0A2E1F4E351D}">
      <text>
        <r>
          <rPr>
            <sz val="8"/>
            <color indexed="81"/>
            <rFont val="Tahoma"/>
            <family val="2"/>
          </rPr>
          <t>Please refer to the Shutter Manual 
when selecting Layout Code.
The list provides the most common options, 
which are dependent on Mounting Method.
More complex Layout Codes can still be entered manually.</t>
        </r>
      </text>
    </comment>
    <comment ref="P23" authorId="0" shapeId="0" xr:uid="{0A00A601-EBB9-4F28-8ADC-B6B3209808CA}">
      <text>
        <r>
          <rPr>
            <sz val="8"/>
            <color indexed="81"/>
            <rFont val="Tahoma"/>
            <family val="2"/>
          </rPr>
          <t>Frame Type is dependent on
 Mounting Method.
If a Flat (unbeaded) Small L Frame 
is selected, a matching Stile &amp; T Post can be 
ordered in the Stile &amp; T Post column.</t>
        </r>
      </text>
    </comment>
    <comment ref="V23" authorId="0" shapeId="0" xr:uid="{E787150D-9CA8-4E16-A5AE-2DDC1EF94E3E}">
      <text>
        <r>
          <rPr>
            <sz val="8"/>
            <color indexed="81"/>
            <rFont val="Tahoma"/>
            <family val="2"/>
          </rPr>
          <t>This option is dependent on the 
Material &amp; Product 
and will only be available once this 
option is selected.
For Fauxwood Designer Eco
&amp; Fauxwood Designer Eco Plus 
the options are;
Hidden
Centre
Off-Set
Rack &amp; Pinion
These Shapes are not available
with the Rack &amp; Pinion Tiltrod;
Shaped Arch
Shaped Hexagon
Shaped Octagon
Shaped Oval
Shaped Round
Shaped Sunburst
For Fauxwood Designer Eco Night
the options are;
Hidden
For Luvre the options are;
Hidden</t>
        </r>
      </text>
    </comment>
    <comment ref="W23" authorId="0" shapeId="0" xr:uid="{7655C649-C1F6-492C-9A52-4CDD0841A2A6}">
      <text>
        <r>
          <rPr>
            <sz val="8"/>
            <color indexed="81"/>
            <rFont val="Tahoma"/>
            <family val="2"/>
          </rPr>
          <t xml:space="preserve">If no Hinge Colour is selected, 
then the default Hinge Colour and hardware 
will be supplied. 
The Hinge Colour options are;
Default
Stainless Steel
N/A
When Default is selected, the Hinge will be supplied 
as per the matching Hinge Colour list below;
Shutter Colour - </t>
        </r>
        <r>
          <rPr>
            <i/>
            <sz val="8"/>
            <color indexed="81"/>
            <rFont val="Tahoma"/>
            <family val="2"/>
          </rPr>
          <t>Hinge Colour</t>
        </r>
        <r>
          <rPr>
            <sz val="8"/>
            <color indexed="81"/>
            <rFont val="Tahoma"/>
            <family val="2"/>
          </rPr>
          <t xml:space="preserve">
   Bright White - </t>
        </r>
        <r>
          <rPr>
            <i/>
            <sz val="8"/>
            <color indexed="81"/>
            <rFont val="Tahoma"/>
            <family val="2"/>
          </rPr>
          <t>Bright White</t>
        </r>
        <r>
          <rPr>
            <sz val="8"/>
            <color indexed="81"/>
            <rFont val="Tahoma"/>
            <family val="2"/>
          </rPr>
          <t xml:space="preserve">
Classic White - </t>
        </r>
        <r>
          <rPr>
            <i/>
            <sz val="8"/>
            <color indexed="81"/>
            <rFont val="Tahoma"/>
            <family val="2"/>
          </rPr>
          <t>White</t>
        </r>
        <r>
          <rPr>
            <sz val="8"/>
            <color indexed="81"/>
            <rFont val="Tahoma"/>
            <family val="2"/>
          </rPr>
          <t xml:space="preserve">
Snow White - </t>
        </r>
        <r>
          <rPr>
            <i/>
            <sz val="8"/>
            <color indexed="81"/>
            <rFont val="Tahoma"/>
            <family val="2"/>
          </rPr>
          <t>Snow White</t>
        </r>
        <r>
          <rPr>
            <sz val="8"/>
            <color indexed="81"/>
            <rFont val="Tahoma"/>
            <family val="2"/>
          </rPr>
          <t xml:space="preserve">
Super White - </t>
        </r>
        <r>
          <rPr>
            <i/>
            <sz val="8"/>
            <color indexed="81"/>
            <rFont val="Tahoma"/>
            <family val="2"/>
          </rPr>
          <t>Snow White</t>
        </r>
        <r>
          <rPr>
            <sz val="8"/>
            <color indexed="81"/>
            <rFont val="Tahoma"/>
            <family val="2"/>
          </rPr>
          <t xml:space="preserve">
Vanilla - </t>
        </r>
        <r>
          <rPr>
            <i/>
            <sz val="8"/>
            <color indexed="81"/>
            <rFont val="Tahoma"/>
            <family val="2"/>
          </rPr>
          <t xml:space="preserve">Ivory
</t>
        </r>
        <r>
          <rPr>
            <sz val="8"/>
            <color indexed="81"/>
            <rFont val="Tahoma"/>
            <family val="2"/>
          </rPr>
          <t xml:space="preserve">Ceylon - </t>
        </r>
        <r>
          <rPr>
            <i/>
            <sz val="8"/>
            <color indexed="81"/>
            <rFont val="Tahoma"/>
            <family val="2"/>
          </rPr>
          <t>Ceylon</t>
        </r>
        <r>
          <rPr>
            <sz val="8"/>
            <color indexed="81"/>
            <rFont val="Tahoma"/>
            <family val="2"/>
          </rPr>
          <t xml:space="preserve">
Earl Grey - </t>
        </r>
        <r>
          <rPr>
            <i/>
            <sz val="8"/>
            <color indexed="81"/>
            <rFont val="Tahoma"/>
            <family val="2"/>
          </rPr>
          <t>Earl Grey</t>
        </r>
        <r>
          <rPr>
            <sz val="8"/>
            <color indexed="81"/>
            <rFont val="Tahoma"/>
            <family val="2"/>
          </rPr>
          <t xml:space="preserve">
French White - </t>
        </r>
        <r>
          <rPr>
            <i/>
            <sz val="8"/>
            <color indexed="81"/>
            <rFont val="Tahoma"/>
            <family val="2"/>
          </rPr>
          <t>French White</t>
        </r>
        <r>
          <rPr>
            <sz val="8"/>
            <color indexed="81"/>
            <rFont val="Tahoma"/>
            <family val="2"/>
          </rPr>
          <t xml:space="preserve">
Infinite White -</t>
        </r>
        <r>
          <rPr>
            <i/>
            <sz val="8"/>
            <color indexed="81"/>
            <rFont val="Tahoma"/>
            <family val="2"/>
          </rPr>
          <t xml:space="preserve"> Infinite White</t>
        </r>
        <r>
          <rPr>
            <sz val="8"/>
            <color indexed="81"/>
            <rFont val="Tahoma"/>
            <family val="2"/>
          </rPr>
          <t xml:space="preserve">
Polar White - </t>
        </r>
        <r>
          <rPr>
            <i/>
            <sz val="8"/>
            <color indexed="81"/>
            <rFont val="Tahoma"/>
            <family val="2"/>
          </rPr>
          <t>Polar White</t>
        </r>
        <r>
          <rPr>
            <sz val="8"/>
            <color indexed="81"/>
            <rFont val="Tahoma"/>
            <family val="2"/>
          </rPr>
          <t xml:space="preserve">
Quiet White - </t>
        </r>
        <r>
          <rPr>
            <i/>
            <sz val="8"/>
            <color indexed="81"/>
            <rFont val="Tahoma"/>
            <family val="2"/>
          </rPr>
          <t>Quiet White</t>
        </r>
        <r>
          <rPr>
            <sz val="8"/>
            <color indexed="81"/>
            <rFont val="Tahoma"/>
            <family val="2"/>
          </rPr>
          <t xml:space="preserve">
Snow Gum Grey - </t>
        </r>
        <r>
          <rPr>
            <i/>
            <sz val="8"/>
            <color indexed="81"/>
            <rFont val="Tahoma"/>
            <family val="2"/>
          </rPr>
          <t>Snow Gum Grey</t>
        </r>
        <r>
          <rPr>
            <sz val="8"/>
            <color indexed="81"/>
            <rFont val="Tahoma"/>
            <family val="2"/>
          </rPr>
          <t xml:space="preserve">
Snowy Mountains White - </t>
        </r>
        <r>
          <rPr>
            <i/>
            <sz val="8"/>
            <color indexed="81"/>
            <rFont val="Tahoma"/>
            <family val="2"/>
          </rPr>
          <t>Snowy Mountains White</t>
        </r>
        <r>
          <rPr>
            <sz val="8"/>
            <color indexed="81"/>
            <rFont val="Tahoma"/>
            <family val="2"/>
          </rPr>
          <t xml:space="preserve">
For standard Shutters in Fauxwood Designer Eco 
Standard 77mm Hinges will be used.
For standard Shutters in Fauxwood Designer Eco Plus, 
Fauxwood Designer Eco Night &amp; Luvre
Standard 90mm Hinges will be used.
The Pivot Hinged Colour options are;
White
Stainless Steel
Please refer to the Shutter Manual. 
</t>
        </r>
        <r>
          <rPr>
            <i/>
            <sz val="8"/>
            <color indexed="81"/>
            <rFont val="Tahoma"/>
            <family val="2"/>
          </rPr>
          <t>Stainless Steel Surcharge applies.</t>
        </r>
      </text>
    </comment>
    <comment ref="X23" authorId="0" shapeId="0" xr:uid="{80733F65-6717-48E6-A697-F3942617298D}">
      <text>
        <r>
          <rPr>
            <sz val="8"/>
            <color indexed="81"/>
            <rFont val="Tahoma"/>
            <family val="2"/>
          </rPr>
          <t>Please Note: 
If Closed option is chosen then the blades 
can be damaged if they are left open 
when Sliding the Panel.
Open is not an option for 3 Tracks.</t>
        </r>
      </text>
    </comment>
    <comment ref="Y23" authorId="0" shapeId="0" xr:uid="{0544ECBA-FB02-437C-B5D7-6180E84B2F36}">
      <text>
        <r>
          <rPr>
            <sz val="8"/>
            <color indexed="81"/>
            <rFont val="Tahoma"/>
            <family val="2"/>
          </rPr>
          <t>If any T Posts are required then the measurements 
must be supplied under the next columns.
Measurements should be made from the left.
A Flat (Unbeaded) T Post can be ordered to match 
the Flat Stile Shutter in the Stile &amp; T Post column.</t>
        </r>
      </text>
    </comment>
    <comment ref="AC23" authorId="0" shapeId="0" xr:uid="{820D7435-1850-47E7-B67B-7263A213E931}">
      <text>
        <r>
          <rPr>
            <sz val="8"/>
            <color indexed="81"/>
            <rFont val="Tahoma"/>
            <family val="2"/>
          </rPr>
          <t>The Stile &amp; T Post 
options are;
Default (Beaded)
Flat Stile &amp; T Post
A Flat (unbeaded) Small L Frame can be ordered 
under the Frame Type.</t>
        </r>
      </text>
    </comment>
    <comment ref="AD23" authorId="0" shapeId="0" xr:uid="{F7334AFD-712C-4064-AA0D-03144BCD8C8C}">
      <text>
        <r>
          <rPr>
            <sz val="8"/>
            <color indexed="81"/>
            <rFont val="Tahoma"/>
            <family val="2"/>
          </rPr>
          <t xml:space="preserve">The Designer Eco,  
Designer Eco Plus &amp; Luvre
Fluffy Strip options are;
No
Yes
Fluffy Strip is supplied with the Fauxwood Designer Eco Night Shutter.
</t>
        </r>
        <r>
          <rPr>
            <i/>
            <sz val="8"/>
            <color indexed="81"/>
            <rFont val="Tahoma"/>
            <family val="2"/>
          </rPr>
          <t>Fluffy Strip Surcharge applies.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PWD</author>
  </authors>
  <commentList>
    <comment ref="C8" authorId="0" shapeId="0" xr:uid="{53E4F1C4-D81D-4EAB-AAE9-89145DB90EFD}">
      <text>
        <r>
          <rPr>
            <sz val="8"/>
            <color indexed="81"/>
            <rFont val="Tahoma"/>
            <family val="2"/>
          </rPr>
          <t xml:space="preserve">Minimum Width is 180mm.
Maximum Fauxwood Standard Size 
Width is 650mm.
Maximum Fauxwood Designer Eco Width with 
63mm Blades is 900mm.
Maximum Fauxwood Designer Eco Width with 
89mm Blades is 900mm.
Maximum Fauxwood Designer Eco Plus Width with 
63mm Blades is 950mm.
Maximum Fauxwood Designer Eco Plus Width with 
89mm Blades is 950mm.
Maximum Fauxwood Designer Eco Night 
Width is 650mm.
Maximum Luvre Width is 950mm.
Fauxwood Designer Eco &amp; 
Fauxwood Designer Eco Plus Panels 
with a Width larger than 650mm will require 
Aluminium Inserts.
Conditions apply.
</t>
        </r>
        <r>
          <rPr>
            <i/>
            <sz val="8"/>
            <color indexed="81"/>
            <rFont val="Tahoma"/>
            <family val="2"/>
          </rPr>
          <t>Please note: 
Larger Panels may sometimes require lifting in to the frame.</t>
        </r>
      </text>
    </comment>
    <comment ref="D8" authorId="0" shapeId="0" xr:uid="{852697DD-46DC-4954-9E58-289C4CF5D126}">
      <text>
        <r>
          <rPr>
            <sz val="8"/>
            <color indexed="81"/>
            <rFont val="Tahoma"/>
            <family val="2"/>
          </rPr>
          <t>Minimum Height is 350mm.
Maximum Fauxwood Height is 2600mm.</t>
        </r>
      </text>
    </comment>
    <comment ref="E8" authorId="0" shapeId="0" xr:uid="{52CE3FA0-551F-4498-BA6F-A10AAF4902D4}">
      <text>
        <r>
          <rPr>
            <sz val="8"/>
            <color indexed="81"/>
            <rFont val="Tahoma"/>
            <family val="2"/>
          </rPr>
          <t xml:space="preserve">In - Inside or Reveal Fit
Out - Outside or Face Fit
Alternative Option:
MS - Make Size
Panel Only Option
</t>
        </r>
        <r>
          <rPr>
            <i/>
            <sz val="8"/>
            <color indexed="81"/>
            <rFont val="Tahoma"/>
            <family val="2"/>
          </rPr>
          <t>(Used for specific requirements only)</t>
        </r>
      </text>
    </comment>
    <comment ref="F8" authorId="0" shapeId="0" xr:uid="{FA314F7B-8426-4BF1-A757-152AAFD07057}">
      <text>
        <r>
          <rPr>
            <sz val="8"/>
            <color indexed="81"/>
            <rFont val="Tahoma"/>
            <family val="2"/>
          </rPr>
          <t>Quantity is the number of Panels 
within the opening. 
If ordering Make Size (MS), 
this will be the number of Panels 
at this size.</t>
        </r>
      </text>
    </comment>
    <comment ref="G8" authorId="0" shapeId="0" xr:uid="{6B4892EB-2D69-464F-BD68-8FFE4466DA9C}">
      <text>
        <r>
          <rPr>
            <sz val="8"/>
            <color indexed="81"/>
            <rFont val="Tahoma"/>
            <family val="2"/>
          </rPr>
          <t>Fauxwood Designer Eco will be made with the standard profile 
Bottom Rail,  Mid Rail &amp; Top Rail.
Fauxwood Designer Eco Plus will be made with the 
reinforced curved profile Bottom Rail, Mid Rail &amp; Top Rail.
Fauxwood Designer Eco Night will be made with the 
curved grooved profile Bottom Rail, Mid Rail &amp; Top Rail.
Luvre will be made with the reinforced
curved profile Bottom Rail, Mid Rail &amp; Top Rail.
Fauxwood Designer Eco Plus, Fauxwood Designer Eco Night &amp; Luvre 
Surcharge applies.</t>
        </r>
      </text>
    </comment>
    <comment ref="H8" authorId="0" shapeId="0" xr:uid="{05B22216-EB2F-4C0E-B057-2E0ACEE27AD5}">
      <text>
        <r>
          <rPr>
            <sz val="8"/>
            <color indexed="81"/>
            <rFont val="Tahoma"/>
            <family val="2"/>
          </rPr>
          <t xml:space="preserve">Fauxwood Designer Colours options available;
Standard Colours;
Bright White
Classic White
Snow White
Super White
Vanilla
Specialty Colours;
Ceylon
Earl Grey
French White
Infinite White
Polar White
Quiet White
Snow Gum Grey
Snowy Mountains White
</t>
        </r>
        <r>
          <rPr>
            <i/>
            <sz val="8"/>
            <color indexed="81"/>
            <rFont val="Tahoma"/>
            <family val="2"/>
          </rPr>
          <t>Specialty Colours Surcharge applies.</t>
        </r>
        <r>
          <rPr>
            <sz val="8"/>
            <color indexed="81"/>
            <rFont val="Tahoma"/>
            <family val="2"/>
          </rPr>
          <t xml:space="preserve">
Luvre with Therme &amp; Scratch Resistant Paint 
Colours options available;
Snow White
Super White
</t>
        </r>
      </text>
    </comment>
    <comment ref="J8" authorId="0" shapeId="0" xr:uid="{EC32C9DB-63BA-4210-A166-5231DC48B54E}">
      <text>
        <r>
          <rPr>
            <sz val="8"/>
            <color indexed="81"/>
            <rFont val="Tahoma"/>
            <family val="2"/>
          </rPr>
          <t>Fauxwood Designer Eco &amp; 
Fauxwood Designer Eco Plus 
Blade sizes options are;
63mm
89mm
Fauxwood Designer Eco Night  
Blade sizes options are;
92mm
Luvre Blade sizes options are;
89mm
114mm</t>
        </r>
      </text>
    </comment>
    <comment ref="K8" authorId="0" shapeId="0" xr:uid="{40C3F0D4-ADC3-4EF9-A14B-D94337BE310D}">
      <text>
        <r>
          <rPr>
            <sz val="8"/>
            <color indexed="81"/>
            <rFont val="Tahoma"/>
            <family val="2"/>
          </rPr>
          <t>Mid Rail is required on Fauxwood Panels over 1500mm.
Cell will highlight yellow when Mid Rail is required.
Only one Critical Mid Rail is allowed.
A Mid Rail that is not marked "Critical" may be moved up or down 
up to 40mm to stop any gaps and increase/decrease the blade quantity.
Fauxwood Designer Eco will be made with the standard profile 
Bottom Rail,  Mid Rail &amp; Top Rail.
Fauxwood Designer Eco Plus will be made with the 
reinforced curved profile Bottom Rail, Mid Rail &amp; Top Rail.
Fauxwood Designer Eco Night will be made with the 
curved grooved profile Bottom Rail, Mid Rail &amp; Top Rail.
Luvre will be made with the reinforced
curved profile Bottom Rail, Mid Rail &amp; Top Rail.
Fauxwood Designer Eco Plus, Fauxwood Designer Eco Night &amp; Luvre Surcharge applies.</t>
        </r>
      </text>
    </comment>
    <comment ref="L8" authorId="0" shapeId="0" xr:uid="{14A24020-1B43-4980-B020-93EF31494756}">
      <text>
        <r>
          <rPr>
            <sz val="8"/>
            <color indexed="81"/>
            <rFont val="Tahoma"/>
            <family val="2"/>
          </rPr>
          <t xml:space="preserve">The Fauxwood Designer Eco, 
Fauxwood Designer Eco Plus 
&amp; Luvre Window Type options are;
Standard
Bay Window
Corner Window
Door Cut Out
Shaped Arch
Shaped Hexagon
Shaped Octagon
Shaped Oval
Shaped Parallelogram
Shaped Raked
Shaped Round
Shaped Sunburst
Shaped Triangle
These Shapes are not available
with the Rack &amp; Pinion Tiltrod;
Shaped Arch
Shaped Hexagon
Shaped Octagon
Shaped Oval
Shaped Round
Shaped Sunburst
The Fauxwood Designer Eco Night Window Type 
options are;
Standard
Bay Window
Corner Window
</t>
        </r>
        <r>
          <rPr>
            <i/>
            <sz val="8"/>
            <color indexed="81"/>
            <rFont val="Tahoma"/>
            <family val="2"/>
          </rPr>
          <t xml:space="preserve">
</t>
        </r>
        <r>
          <rPr>
            <sz val="8"/>
            <color indexed="81"/>
            <rFont val="Tahoma"/>
            <family val="2"/>
          </rPr>
          <t>Shaped Shutters will need the Panel Layout to be 
compatible with the Hidden Tiltrod system.</t>
        </r>
      </text>
    </comment>
    <comment ref="M8" authorId="0" shapeId="0" xr:uid="{D1D6CC3D-F6BF-47D4-AFC0-6758FBED9B9D}">
      <text>
        <r>
          <rPr>
            <sz val="8"/>
            <color indexed="81"/>
            <rFont val="Tahoma"/>
            <family val="2"/>
          </rPr>
          <t>Mounting Method is dependent 
on  MS, In Or Out &amp; Product.
For IN &amp; Fauxwood Designer Eco,  
Fauxwood Designer Eco Plus 
&amp; Luvre the options are;
Double Hinged
Fixed
Hinged
Pivot Hinged
Sliding
Track Bi Fold
For OUT &amp; Fauxwood Designer Eco,  
Fauxwood Designer Eco Plus 
&amp; Luvre the options are;
Double Hinged
Hinged
Pivot Hinged
Sliding
Track Bi Fold
For IN &amp; Fauxwood Designer Eco Night 
the options are;
Fixed
Hinged
For OUT &amp; Fauxwood Designer Eco Night 
the options are;
Fixed
Hinged
For MS, the options are;
N/A
Pivot Hinged is not recommended for 
Designer Eco Plus or Luvre.</t>
        </r>
      </text>
    </comment>
    <comment ref="N8" authorId="0" shapeId="0" xr:uid="{182BF2EB-AEF7-48CE-B03D-E14A6ACFB119}">
      <text>
        <r>
          <rPr>
            <sz val="8"/>
            <color indexed="81"/>
            <rFont val="Tahoma"/>
            <family val="2"/>
          </rPr>
          <t>For Sliding Track System options are;
Top Hung (Original System)
Bottom Wheel (New System)
The Top Hung (Original System) uses 
Top Wheels Mounting.
The Bottom Wheel (New System) uses a 
U Channel at the Top and 
Wheels at the Bottom.
This option cannot have a Floor Guide or 
Track On Board.</t>
        </r>
      </text>
    </comment>
    <comment ref="O8" authorId="0" shapeId="0" xr:uid="{C4B49B5E-3383-4DC9-A387-6C3BC7EA0F24}">
      <text>
        <r>
          <rPr>
            <sz val="8"/>
            <color indexed="81"/>
            <rFont val="Tahoma"/>
            <family val="2"/>
          </rPr>
          <t>Please refer to the Shutter Manual 
when selecting Layout Code.
The list provides the most common options, 
which are dependent on Mounting Method.
More complex Layout Codes can still be entered manually.</t>
        </r>
      </text>
    </comment>
    <comment ref="P8" authorId="0" shapeId="0" xr:uid="{24FB4BD6-EE38-4D7E-84BF-E220D7DD0BD3}">
      <text>
        <r>
          <rPr>
            <sz val="8"/>
            <color indexed="81"/>
            <rFont val="Tahoma"/>
            <family val="2"/>
          </rPr>
          <t>Frame Type is dependent on
 Mounting Method.
If a Flat (unbeaded) Small L Frame 
is selected, a matching Stile &amp; T Post can be 
ordered in the Stile &amp; T Post column.</t>
        </r>
      </text>
    </comment>
    <comment ref="V8" authorId="0" shapeId="0" xr:uid="{3F451CB8-4F52-4B9B-81A2-060C584B5782}">
      <text>
        <r>
          <rPr>
            <sz val="8"/>
            <color indexed="81"/>
            <rFont val="Tahoma"/>
            <family val="2"/>
          </rPr>
          <t>This option is dependent on the 
Material &amp; Product 
and will only be available once this 
option is selected.
For Fauxwood Designer Eco
&amp; Fauxwood Designer Eco Plus 
the options are;
Hidden
Centre
Off-Set
Rack &amp; Pinion
These Shapes are not available
with the Rack &amp; Pinion Tiltrod;
Shaped Arch
Shaped Hexagon
Shaped Octagon
Shaped Oval
Shaped Round
Shaped Sunburst
For Fauxwood Designer Eco Night
the options are;
Hidden
For Luvre the options are;
Hidden</t>
        </r>
      </text>
    </comment>
    <comment ref="W8" authorId="0" shapeId="0" xr:uid="{0879496A-C89A-4C8C-8434-A03E6270B015}">
      <text>
        <r>
          <rPr>
            <sz val="8"/>
            <color indexed="81"/>
            <rFont val="Tahoma"/>
            <family val="2"/>
          </rPr>
          <t xml:space="preserve">If no Hinge Colour is selected, 
then the default Hinge Colour and hardware 
will be supplied. 
The Hinge Colour options are;
Default
Stainless Steel
N/A
When Default is selected, the Hinge will be supplied 
as per the matching Hinge Colour list below;
Shutter Colour - </t>
        </r>
        <r>
          <rPr>
            <i/>
            <sz val="8"/>
            <color indexed="81"/>
            <rFont val="Tahoma"/>
            <family val="2"/>
          </rPr>
          <t>Hinge Colour</t>
        </r>
        <r>
          <rPr>
            <sz val="8"/>
            <color indexed="81"/>
            <rFont val="Tahoma"/>
            <family val="2"/>
          </rPr>
          <t xml:space="preserve">
   Bright White - </t>
        </r>
        <r>
          <rPr>
            <i/>
            <sz val="8"/>
            <color indexed="81"/>
            <rFont val="Tahoma"/>
            <family val="2"/>
          </rPr>
          <t>Bright White</t>
        </r>
        <r>
          <rPr>
            <sz val="8"/>
            <color indexed="81"/>
            <rFont val="Tahoma"/>
            <family val="2"/>
          </rPr>
          <t xml:space="preserve">
Classic White - </t>
        </r>
        <r>
          <rPr>
            <i/>
            <sz val="8"/>
            <color indexed="81"/>
            <rFont val="Tahoma"/>
            <family val="2"/>
          </rPr>
          <t>White</t>
        </r>
        <r>
          <rPr>
            <sz val="8"/>
            <color indexed="81"/>
            <rFont val="Tahoma"/>
            <family val="2"/>
          </rPr>
          <t xml:space="preserve">
Snow White - </t>
        </r>
        <r>
          <rPr>
            <i/>
            <sz val="8"/>
            <color indexed="81"/>
            <rFont val="Tahoma"/>
            <family val="2"/>
          </rPr>
          <t>Snow White</t>
        </r>
        <r>
          <rPr>
            <sz val="8"/>
            <color indexed="81"/>
            <rFont val="Tahoma"/>
            <family val="2"/>
          </rPr>
          <t xml:space="preserve">
Super White - </t>
        </r>
        <r>
          <rPr>
            <i/>
            <sz val="8"/>
            <color indexed="81"/>
            <rFont val="Tahoma"/>
            <family val="2"/>
          </rPr>
          <t>Snow White</t>
        </r>
        <r>
          <rPr>
            <sz val="8"/>
            <color indexed="81"/>
            <rFont val="Tahoma"/>
            <family val="2"/>
          </rPr>
          <t xml:space="preserve">
Vanilla - </t>
        </r>
        <r>
          <rPr>
            <i/>
            <sz val="8"/>
            <color indexed="81"/>
            <rFont val="Tahoma"/>
            <family val="2"/>
          </rPr>
          <t xml:space="preserve">Ivory
</t>
        </r>
        <r>
          <rPr>
            <sz val="8"/>
            <color indexed="81"/>
            <rFont val="Tahoma"/>
            <family val="2"/>
          </rPr>
          <t xml:space="preserve">Ceylon - </t>
        </r>
        <r>
          <rPr>
            <i/>
            <sz val="8"/>
            <color indexed="81"/>
            <rFont val="Tahoma"/>
            <family val="2"/>
          </rPr>
          <t>Ceylon</t>
        </r>
        <r>
          <rPr>
            <sz val="8"/>
            <color indexed="81"/>
            <rFont val="Tahoma"/>
            <family val="2"/>
          </rPr>
          <t xml:space="preserve">
Earl Grey - </t>
        </r>
        <r>
          <rPr>
            <i/>
            <sz val="8"/>
            <color indexed="81"/>
            <rFont val="Tahoma"/>
            <family val="2"/>
          </rPr>
          <t>Earl Grey</t>
        </r>
        <r>
          <rPr>
            <sz val="8"/>
            <color indexed="81"/>
            <rFont val="Tahoma"/>
            <family val="2"/>
          </rPr>
          <t xml:space="preserve">
French White - </t>
        </r>
        <r>
          <rPr>
            <i/>
            <sz val="8"/>
            <color indexed="81"/>
            <rFont val="Tahoma"/>
            <family val="2"/>
          </rPr>
          <t>French White</t>
        </r>
        <r>
          <rPr>
            <sz val="8"/>
            <color indexed="81"/>
            <rFont val="Tahoma"/>
            <family val="2"/>
          </rPr>
          <t xml:space="preserve">
Infinite White -</t>
        </r>
        <r>
          <rPr>
            <i/>
            <sz val="8"/>
            <color indexed="81"/>
            <rFont val="Tahoma"/>
            <family val="2"/>
          </rPr>
          <t xml:space="preserve"> Infinite White</t>
        </r>
        <r>
          <rPr>
            <sz val="8"/>
            <color indexed="81"/>
            <rFont val="Tahoma"/>
            <family val="2"/>
          </rPr>
          <t xml:space="preserve">
Polar White - </t>
        </r>
        <r>
          <rPr>
            <i/>
            <sz val="8"/>
            <color indexed="81"/>
            <rFont val="Tahoma"/>
            <family val="2"/>
          </rPr>
          <t>Polar White</t>
        </r>
        <r>
          <rPr>
            <sz val="8"/>
            <color indexed="81"/>
            <rFont val="Tahoma"/>
            <family val="2"/>
          </rPr>
          <t xml:space="preserve">
Quiet White - </t>
        </r>
        <r>
          <rPr>
            <i/>
            <sz val="8"/>
            <color indexed="81"/>
            <rFont val="Tahoma"/>
            <family val="2"/>
          </rPr>
          <t>Quiet White</t>
        </r>
        <r>
          <rPr>
            <sz val="8"/>
            <color indexed="81"/>
            <rFont val="Tahoma"/>
            <family val="2"/>
          </rPr>
          <t xml:space="preserve">
Snow Gum Grey - </t>
        </r>
        <r>
          <rPr>
            <i/>
            <sz val="8"/>
            <color indexed="81"/>
            <rFont val="Tahoma"/>
            <family val="2"/>
          </rPr>
          <t>Snow Gum Grey</t>
        </r>
        <r>
          <rPr>
            <sz val="8"/>
            <color indexed="81"/>
            <rFont val="Tahoma"/>
            <family val="2"/>
          </rPr>
          <t xml:space="preserve">
Snowy Mountains White - </t>
        </r>
        <r>
          <rPr>
            <i/>
            <sz val="8"/>
            <color indexed="81"/>
            <rFont val="Tahoma"/>
            <family val="2"/>
          </rPr>
          <t>Snowy Mountains White</t>
        </r>
        <r>
          <rPr>
            <sz val="8"/>
            <color indexed="81"/>
            <rFont val="Tahoma"/>
            <family val="2"/>
          </rPr>
          <t xml:space="preserve">
For standard Shutters in Fauxwood Designer Eco 
Standard 77mm Hinges will be used.
For standard Shutters in Fauxwood Designer Eco Plus, 
Fauxwood Designer Eco Night &amp; Luvre
Standard 90mm Hinges will be used.
The Pivot Hinged Colour options are;
White
Stainless Steel
Please refer to the Shutter Manual. 
</t>
        </r>
        <r>
          <rPr>
            <i/>
            <sz val="8"/>
            <color indexed="81"/>
            <rFont val="Tahoma"/>
            <family val="2"/>
          </rPr>
          <t>Stainless Steel Surcharge applies.</t>
        </r>
      </text>
    </comment>
    <comment ref="X8" authorId="0" shapeId="0" xr:uid="{32950283-9814-4BBA-B7A2-4B17129ABE62}">
      <text>
        <r>
          <rPr>
            <sz val="8"/>
            <color indexed="81"/>
            <rFont val="Tahoma"/>
            <family val="2"/>
          </rPr>
          <t>Please Note: 
If Closed option is chosen then the blades 
can be damaged if they are left open 
when Sliding the Panel.
Open is not an option for 3 Tracks.</t>
        </r>
      </text>
    </comment>
    <comment ref="Y8" authorId="0" shapeId="0" xr:uid="{DE386B9A-AE8D-4B63-AB3D-48D5EB60EA5C}">
      <text>
        <r>
          <rPr>
            <sz val="8"/>
            <color indexed="81"/>
            <rFont val="Tahoma"/>
            <family val="2"/>
          </rPr>
          <t>If any T Posts are required then the measurements 
must be supplied under the next columns.
Measurements should be made from the left.
A Flat (Unbeaded) T Post can be ordered to match 
the Flat Stile Shutter in the Stile &amp; T Post column.</t>
        </r>
      </text>
    </comment>
    <comment ref="AC8" authorId="0" shapeId="0" xr:uid="{FE788FFB-87FB-4370-9B5D-F58D85D32B0B}">
      <text>
        <r>
          <rPr>
            <sz val="8"/>
            <color indexed="81"/>
            <rFont val="Tahoma"/>
            <family val="2"/>
          </rPr>
          <t>The Stile &amp; T Post 
options are;
Default (Beaded)
Flat Stile &amp; T Post
A Flat (unbeaded) Small L Frame can be ordered 
under the Frame Type.</t>
        </r>
      </text>
    </comment>
    <comment ref="AD8" authorId="0" shapeId="0" xr:uid="{A5929F7F-6B03-416B-8F72-799DCE6645C7}">
      <text>
        <r>
          <rPr>
            <sz val="8"/>
            <color indexed="81"/>
            <rFont val="Tahoma"/>
            <family val="2"/>
          </rPr>
          <t xml:space="preserve">The Designer Eco,  
Designer Eco Plus &amp; Luvre
Fluffy Strip options are;
No
Yes
Fluffy Strip is supplied with the Fauxwood Designer Eco Night Shutter.
</t>
        </r>
        <r>
          <rPr>
            <i/>
            <sz val="8"/>
            <color indexed="81"/>
            <rFont val="Tahoma"/>
            <family val="2"/>
          </rPr>
          <t>Fluffy Strip Surcharge applies.</t>
        </r>
      </text>
    </comment>
    <comment ref="AT8" authorId="0" shapeId="0" xr:uid="{A8B57D53-4A21-4F31-A326-A77487D4B589}">
      <text>
        <r>
          <rPr>
            <sz val="8"/>
            <color indexed="81"/>
            <rFont val="Tahoma"/>
            <family val="2"/>
          </rPr>
          <t>The Hinge Quantity is  calculated automatically.</t>
        </r>
      </text>
    </comment>
    <comment ref="BH8" authorId="0" shapeId="0" xr:uid="{201F5953-96F7-4BA7-B17A-A1B082B6472D}">
      <text>
        <r>
          <rPr>
            <sz val="8"/>
            <color indexed="81"/>
            <rFont val="Tahoma"/>
            <family val="2"/>
          </rPr>
          <t>Please Note: 
If Closed option is chosen then the blades can be damaged if they are left open 
when sliding the Panel.</t>
        </r>
      </text>
    </comment>
    <comment ref="C9" authorId="0" shapeId="0" xr:uid="{61928518-3DD3-475A-A362-1DE79DA273BD}">
      <text>
        <r>
          <rPr>
            <sz val="8"/>
            <color indexed="81"/>
            <rFont val="Tahoma"/>
            <family val="2"/>
          </rPr>
          <t xml:space="preserve">Minimum Width is 180mm.
Maximum Fauxwood Standard Size 
Width is 650mm.
Maximum Fauxwood Designer Eco Width with 
63mm Blades is 900mm.
Maximum Fauxwood Designer Eco Width with 
89mm Blades is 900mm.
Maximum Fauxwood Designer Eco Plus Width with 
63mm Blades is 950mm.
Maximum Fauxwood Designer Eco Plus Width with 
89mm Blades is 950mm.
Maximum Fauxwood Designer Eco Night 
Width is 650mm.
Maximum Luvre Width is 950mm.
Fauxwood Designer Eco &amp; 
Fauxwood Designer Eco Plus Panels 
with a Width larger than 650mm will require 
Aluminium Inserts.
Conditions apply.
</t>
        </r>
        <r>
          <rPr>
            <i/>
            <sz val="8"/>
            <color indexed="81"/>
            <rFont val="Tahoma"/>
            <family val="2"/>
          </rPr>
          <t>Please note: 
Larger Panels may sometimes require lifting in to the frame.</t>
        </r>
      </text>
    </comment>
    <comment ref="D9" authorId="0" shapeId="0" xr:uid="{3CC0BA1D-D9D7-4A16-BF40-87B3BCDBAC6F}">
      <text>
        <r>
          <rPr>
            <sz val="8"/>
            <color indexed="81"/>
            <rFont val="Tahoma"/>
            <family val="2"/>
          </rPr>
          <t>Minimum Height is 350mm.
Maximum Fauxwood Height is 2600mm.</t>
        </r>
      </text>
    </comment>
    <comment ref="E9" authorId="0" shapeId="0" xr:uid="{A1581AA7-CB52-4D6F-A083-58CA6989A75D}">
      <text>
        <r>
          <rPr>
            <sz val="8"/>
            <color indexed="81"/>
            <rFont val="Tahoma"/>
            <family val="2"/>
          </rPr>
          <t xml:space="preserve">In - Inside or Reveal Fit
Out - Outside or Face Fit
Alternative Option:
MS - Make Size
Panel Only Option
</t>
        </r>
        <r>
          <rPr>
            <i/>
            <sz val="8"/>
            <color indexed="81"/>
            <rFont val="Tahoma"/>
            <family val="2"/>
          </rPr>
          <t>(Used for specific requirements only)</t>
        </r>
      </text>
    </comment>
    <comment ref="F9" authorId="0" shapeId="0" xr:uid="{CA7E7CC3-18C4-45EF-BBD3-A5363ADD398E}">
      <text>
        <r>
          <rPr>
            <sz val="8"/>
            <color indexed="81"/>
            <rFont val="Tahoma"/>
            <family val="2"/>
          </rPr>
          <t>Quantity is the number of Panels 
within the opening. 
If ordering Make Size (MS), 
this will be the number of Panels 
at this size.</t>
        </r>
      </text>
    </comment>
    <comment ref="G9" authorId="0" shapeId="0" xr:uid="{3DB2CCF0-0261-457C-A095-8BF263AACCEB}">
      <text>
        <r>
          <rPr>
            <sz val="8"/>
            <color indexed="81"/>
            <rFont val="Tahoma"/>
            <family val="2"/>
          </rPr>
          <t>Fauxwood Designer Eco will be made with the standard profile 
Bottom Rail,  Mid Rail &amp; Top Rail.
Fauxwood Designer Eco Plus will be made with the 
reinforced curved profile Bottom Rail, Mid Rail &amp; Top Rail.
Fauxwood Designer Eco Night will be made with the 
curved grooved profile Bottom Rail, Mid Rail &amp; Top Rail.
Luvre will be made with the reinforced
curved profile Bottom Rail, Mid Rail &amp; Top Rail.
Fauxwood Designer Eco Plus, Fauxwood Designer Eco Night &amp; Luvre 
Surcharge applies.</t>
        </r>
      </text>
    </comment>
    <comment ref="H9" authorId="0" shapeId="0" xr:uid="{8A8383FF-008A-47AB-A013-1898B1D1A7F0}">
      <text>
        <r>
          <rPr>
            <sz val="8"/>
            <color indexed="81"/>
            <rFont val="Tahoma"/>
            <family val="2"/>
          </rPr>
          <t xml:space="preserve">Fauxwood Designer Colours options available;
Standard Colours;
Bright White
Classic White
Snow White
Super White
Vanilla
Specialty Colours;
Ceylon
Earl Grey
French White
Infinite White
Polar White
Quiet White
Snow Gum Grey
Snowy Mountains White
</t>
        </r>
        <r>
          <rPr>
            <i/>
            <sz val="8"/>
            <color indexed="81"/>
            <rFont val="Tahoma"/>
            <family val="2"/>
          </rPr>
          <t>Specialty Colours Surcharge applies.</t>
        </r>
        <r>
          <rPr>
            <sz val="8"/>
            <color indexed="81"/>
            <rFont val="Tahoma"/>
            <family val="2"/>
          </rPr>
          <t xml:space="preserve">
Luvre with Therme &amp; Scratch Resistant Paint 
Colours options available;
Snow White
Super White
</t>
        </r>
      </text>
    </comment>
    <comment ref="J9" authorId="0" shapeId="0" xr:uid="{3F07B1B2-9D49-49E7-9B7B-49DBB6E67B46}">
      <text>
        <r>
          <rPr>
            <sz val="8"/>
            <color indexed="81"/>
            <rFont val="Tahoma"/>
            <family val="2"/>
          </rPr>
          <t>Fauxwood Designer Eco &amp; 
Fauxwood Designer Eco Plus 
Blade sizes options are;
63mm
89mm
Fauxwood Designer Eco Night  
Blade sizes options are;
92mm
Luvre Blade sizes options are;
89mm
114mm</t>
        </r>
      </text>
    </comment>
    <comment ref="K9" authorId="0" shapeId="0" xr:uid="{D6B0DCA7-686C-4BF1-A758-D0EF61A33C78}">
      <text>
        <r>
          <rPr>
            <sz val="8"/>
            <color indexed="81"/>
            <rFont val="Tahoma"/>
            <family val="2"/>
          </rPr>
          <t>Mid Rail is required on Fauxwood Panels over 1500mm.
Cell will highlight yellow when Mid Rail is required.
Only one Critical Mid Rail is allowed.
A Mid Rail that is not marked "Critical" may be moved up or down 
up to 40mm to stop any gaps and increase/decrease the blade quantity.
Fauxwood Designer Eco will be made with the standard profile 
Bottom Rail,  Mid Rail &amp; Top Rail.
Fauxwood Designer Eco Plus will be made with the 
reinforced curved profile Bottom Rail, Mid Rail &amp; Top Rail.
Fauxwood Designer Eco Night will be made with the 
curved grooved profile Bottom Rail, Mid Rail &amp; Top Rail.
Luvre will be made with the reinforced
curved profile Bottom Rail, Mid Rail &amp; Top Rail.
Fauxwood Designer Eco Plus, Fauxwood Designer Eco Night &amp; Luvre Surcharge applies.</t>
        </r>
      </text>
    </comment>
    <comment ref="L9" authorId="0" shapeId="0" xr:uid="{75F645D9-732B-46FD-B9EC-2F6DAC061C2C}">
      <text>
        <r>
          <rPr>
            <sz val="8"/>
            <color indexed="81"/>
            <rFont val="Tahoma"/>
            <family val="2"/>
          </rPr>
          <t xml:space="preserve">The Fauxwood Designer Eco, 
Fauxwood Designer Eco Plus 
&amp; Luvre Window Type options are;
Standard
Bay Window
Corner Window
Door Cut Out
Shaped Arch
Shaped Hexagon
Shaped Octagon
Shaped Oval
Shaped Parallelogram
Shaped Raked
Shaped Round
Shaped Sunburst
Shaped Triangle
These Shapes are not available
with the Rack &amp; Pinion Tiltrod;
Shaped Arch
Shaped Hexagon
Shaped Octagon
Shaped Oval
Shaped Round
Shaped Sunburst
The Fauxwood Designer Eco Night Window Type 
options are;
Standard
Bay Window
Corner Window
</t>
        </r>
        <r>
          <rPr>
            <i/>
            <sz val="8"/>
            <color indexed="81"/>
            <rFont val="Tahoma"/>
            <family val="2"/>
          </rPr>
          <t xml:space="preserve">
</t>
        </r>
        <r>
          <rPr>
            <sz val="8"/>
            <color indexed="81"/>
            <rFont val="Tahoma"/>
            <family val="2"/>
          </rPr>
          <t>Shaped Shutters will need the Panel Layout to be 
compatible with the Hidden Tiltrod system.</t>
        </r>
      </text>
    </comment>
    <comment ref="M9" authorId="0" shapeId="0" xr:uid="{A8055D54-8A56-4992-B573-EB0BFFB32C62}">
      <text>
        <r>
          <rPr>
            <sz val="8"/>
            <color indexed="81"/>
            <rFont val="Tahoma"/>
            <family val="2"/>
          </rPr>
          <t>Mounting Method is dependent 
on  MS, In Or Out &amp; Product.
For IN &amp; Fauxwood Designer Eco,  
Fauxwood Designer Eco Plus 
&amp; Luvre the options are;
Double Hinged
Fixed
Hinged
Pivot Hinged
Sliding
Track Bi Fold
For OUT &amp; Fauxwood Designer Eco,  
Fauxwood Designer Eco Plus 
&amp; Luvre the options are;
Double Hinged
Hinged
Pivot Hinged
Sliding
Track Bi Fold
For IN &amp; Fauxwood Designer Eco Night 
the options are;
Fixed
Hinged
For OUT &amp; Fauxwood Designer Eco Night 
the options are;
Fixed
Hinged
For MS, the options are;
N/A
Pivot Hinged is not recommended for 
Designer Eco Plus or Luvre.</t>
        </r>
      </text>
    </comment>
    <comment ref="N9" authorId="0" shapeId="0" xr:uid="{7820090A-B7F2-4715-9D84-DA112D046B31}">
      <text>
        <r>
          <rPr>
            <sz val="8"/>
            <color indexed="81"/>
            <rFont val="Tahoma"/>
            <family val="2"/>
          </rPr>
          <t>For Sliding Track System options are;
Top Hung (Original System)
Bottom Wheel (New System)
The Top Hung (Original System) uses 
Top Wheels Mounting.
The Bottom Wheel (New System) uses a 
U Channel at the Top and 
Wheels at the Bottom.
This option cannot have a Floor Guide or 
Track On Board.</t>
        </r>
      </text>
    </comment>
    <comment ref="O9" authorId="0" shapeId="0" xr:uid="{85362ECC-BFF1-4EB5-846A-EBBEE87A7283}">
      <text>
        <r>
          <rPr>
            <sz val="8"/>
            <color indexed="81"/>
            <rFont val="Tahoma"/>
            <family val="2"/>
          </rPr>
          <t>Please refer to the Shutter Manual 
when selecting Layout Code.
The list provides the most common options, 
which are dependent on Mounting Method.
More complex Layout Codes can still be entered manually.</t>
        </r>
      </text>
    </comment>
    <comment ref="P9" authorId="0" shapeId="0" xr:uid="{C136D3C1-D86B-4A72-9F99-7D906A5B34C1}">
      <text>
        <r>
          <rPr>
            <sz val="8"/>
            <color indexed="81"/>
            <rFont val="Tahoma"/>
            <family val="2"/>
          </rPr>
          <t>Frame Type is dependent on
 Mounting Method.
If a Flat (unbeaded) Small L Frame 
is selected, a matching Stile &amp; T Post can be 
ordered in the Stile &amp; T Post column.</t>
        </r>
      </text>
    </comment>
    <comment ref="V9" authorId="0" shapeId="0" xr:uid="{31163268-BDAA-45B2-8518-0EC4440DDE21}">
      <text>
        <r>
          <rPr>
            <sz val="8"/>
            <color indexed="81"/>
            <rFont val="Tahoma"/>
            <family val="2"/>
          </rPr>
          <t>This option is dependent on the 
Material &amp; Product 
and will only be available once this 
option is selected.
For Fauxwood Designer Eco
&amp; Fauxwood Designer Eco Plus 
the options are;
Hidden
Centre
Off-Set
Rack &amp; Pinion
These Shapes are not available
with the Rack &amp; Pinion Tiltrod;
Shaped Arch
Shaped Hexagon
Shaped Octagon
Shaped Oval
Shaped Round
Shaped Sunburst
For Fauxwood Designer Eco Night
the options are;
Hidden
For Luvre the options are;
Hidden</t>
        </r>
      </text>
    </comment>
    <comment ref="W9" authorId="0" shapeId="0" xr:uid="{1DAEC2DE-AFBC-4FAD-AD5C-A789AD897D67}">
      <text>
        <r>
          <rPr>
            <sz val="8"/>
            <color indexed="81"/>
            <rFont val="Tahoma"/>
            <family val="2"/>
          </rPr>
          <t xml:space="preserve">If no Hinge Colour is selected, 
then the default Hinge Colour and hardware 
will be supplied. 
The Hinge Colour options are;
Default
Stainless Steel
N/A
When Default is selected, the Hinge will be supplied 
as per the matching Hinge Colour list below;
Shutter Colour - </t>
        </r>
        <r>
          <rPr>
            <i/>
            <sz val="8"/>
            <color indexed="81"/>
            <rFont val="Tahoma"/>
            <family val="2"/>
          </rPr>
          <t>Hinge Colour</t>
        </r>
        <r>
          <rPr>
            <sz val="8"/>
            <color indexed="81"/>
            <rFont val="Tahoma"/>
            <family val="2"/>
          </rPr>
          <t xml:space="preserve">
   Bright White - </t>
        </r>
        <r>
          <rPr>
            <i/>
            <sz val="8"/>
            <color indexed="81"/>
            <rFont val="Tahoma"/>
            <family val="2"/>
          </rPr>
          <t>Bright White</t>
        </r>
        <r>
          <rPr>
            <sz val="8"/>
            <color indexed="81"/>
            <rFont val="Tahoma"/>
            <family val="2"/>
          </rPr>
          <t xml:space="preserve">
Classic White - </t>
        </r>
        <r>
          <rPr>
            <i/>
            <sz val="8"/>
            <color indexed="81"/>
            <rFont val="Tahoma"/>
            <family val="2"/>
          </rPr>
          <t>White</t>
        </r>
        <r>
          <rPr>
            <sz val="8"/>
            <color indexed="81"/>
            <rFont val="Tahoma"/>
            <family val="2"/>
          </rPr>
          <t xml:space="preserve">
Snow White - </t>
        </r>
        <r>
          <rPr>
            <i/>
            <sz val="8"/>
            <color indexed="81"/>
            <rFont val="Tahoma"/>
            <family val="2"/>
          </rPr>
          <t>Snow White</t>
        </r>
        <r>
          <rPr>
            <sz val="8"/>
            <color indexed="81"/>
            <rFont val="Tahoma"/>
            <family val="2"/>
          </rPr>
          <t xml:space="preserve">
Super White - </t>
        </r>
        <r>
          <rPr>
            <i/>
            <sz val="8"/>
            <color indexed="81"/>
            <rFont val="Tahoma"/>
            <family val="2"/>
          </rPr>
          <t>Snow White</t>
        </r>
        <r>
          <rPr>
            <sz val="8"/>
            <color indexed="81"/>
            <rFont val="Tahoma"/>
            <family val="2"/>
          </rPr>
          <t xml:space="preserve">
Vanilla - </t>
        </r>
        <r>
          <rPr>
            <i/>
            <sz val="8"/>
            <color indexed="81"/>
            <rFont val="Tahoma"/>
            <family val="2"/>
          </rPr>
          <t xml:space="preserve">Ivory
</t>
        </r>
        <r>
          <rPr>
            <sz val="8"/>
            <color indexed="81"/>
            <rFont val="Tahoma"/>
            <family val="2"/>
          </rPr>
          <t xml:space="preserve">Ceylon - </t>
        </r>
        <r>
          <rPr>
            <i/>
            <sz val="8"/>
            <color indexed="81"/>
            <rFont val="Tahoma"/>
            <family val="2"/>
          </rPr>
          <t>Ceylon</t>
        </r>
        <r>
          <rPr>
            <sz val="8"/>
            <color indexed="81"/>
            <rFont val="Tahoma"/>
            <family val="2"/>
          </rPr>
          <t xml:space="preserve">
Earl Grey - </t>
        </r>
        <r>
          <rPr>
            <i/>
            <sz val="8"/>
            <color indexed="81"/>
            <rFont val="Tahoma"/>
            <family val="2"/>
          </rPr>
          <t>Earl Grey</t>
        </r>
        <r>
          <rPr>
            <sz val="8"/>
            <color indexed="81"/>
            <rFont val="Tahoma"/>
            <family val="2"/>
          </rPr>
          <t xml:space="preserve">
French White - </t>
        </r>
        <r>
          <rPr>
            <i/>
            <sz val="8"/>
            <color indexed="81"/>
            <rFont val="Tahoma"/>
            <family val="2"/>
          </rPr>
          <t>French White</t>
        </r>
        <r>
          <rPr>
            <sz val="8"/>
            <color indexed="81"/>
            <rFont val="Tahoma"/>
            <family val="2"/>
          </rPr>
          <t xml:space="preserve">
Infinite White -</t>
        </r>
        <r>
          <rPr>
            <i/>
            <sz val="8"/>
            <color indexed="81"/>
            <rFont val="Tahoma"/>
            <family val="2"/>
          </rPr>
          <t xml:space="preserve"> Infinite White</t>
        </r>
        <r>
          <rPr>
            <sz val="8"/>
            <color indexed="81"/>
            <rFont val="Tahoma"/>
            <family val="2"/>
          </rPr>
          <t xml:space="preserve">
Polar White - </t>
        </r>
        <r>
          <rPr>
            <i/>
            <sz val="8"/>
            <color indexed="81"/>
            <rFont val="Tahoma"/>
            <family val="2"/>
          </rPr>
          <t>Polar White</t>
        </r>
        <r>
          <rPr>
            <sz val="8"/>
            <color indexed="81"/>
            <rFont val="Tahoma"/>
            <family val="2"/>
          </rPr>
          <t xml:space="preserve">
Quiet White - </t>
        </r>
        <r>
          <rPr>
            <i/>
            <sz val="8"/>
            <color indexed="81"/>
            <rFont val="Tahoma"/>
            <family val="2"/>
          </rPr>
          <t>Quiet White</t>
        </r>
        <r>
          <rPr>
            <sz val="8"/>
            <color indexed="81"/>
            <rFont val="Tahoma"/>
            <family val="2"/>
          </rPr>
          <t xml:space="preserve">
Snow Gum Grey - </t>
        </r>
        <r>
          <rPr>
            <i/>
            <sz val="8"/>
            <color indexed="81"/>
            <rFont val="Tahoma"/>
            <family val="2"/>
          </rPr>
          <t>Snow Gum Grey</t>
        </r>
        <r>
          <rPr>
            <sz val="8"/>
            <color indexed="81"/>
            <rFont val="Tahoma"/>
            <family val="2"/>
          </rPr>
          <t xml:space="preserve">
Snowy Mountains White - </t>
        </r>
        <r>
          <rPr>
            <i/>
            <sz val="8"/>
            <color indexed="81"/>
            <rFont val="Tahoma"/>
            <family val="2"/>
          </rPr>
          <t>Snowy Mountains White</t>
        </r>
        <r>
          <rPr>
            <sz val="8"/>
            <color indexed="81"/>
            <rFont val="Tahoma"/>
            <family val="2"/>
          </rPr>
          <t xml:space="preserve">
For standard Shutters in Fauxwood Designer Eco 
Standard 77mm Hinges will be used.
For standard Shutters in Fauxwood Designer Eco Plus, 
Fauxwood Designer Eco Night &amp; Luvre
Standard 90mm Hinges will be used.
The Pivot Hinged Colour options are;
White
Stainless Steel
Please refer to the Shutter Manual. 
</t>
        </r>
        <r>
          <rPr>
            <i/>
            <sz val="8"/>
            <color indexed="81"/>
            <rFont val="Tahoma"/>
            <family val="2"/>
          </rPr>
          <t>Stainless Steel Surcharge applies.</t>
        </r>
      </text>
    </comment>
    <comment ref="X9" authorId="0" shapeId="0" xr:uid="{47C46DD5-B702-4F12-A6AB-6AC2718FDDAA}">
      <text>
        <r>
          <rPr>
            <sz val="8"/>
            <color indexed="81"/>
            <rFont val="Tahoma"/>
            <family val="2"/>
          </rPr>
          <t>Please Note: 
If Closed option is chosen then the blades 
can be damaged if they are left open 
when Sliding the Panel.
Open is not an option for 3 Tracks.</t>
        </r>
      </text>
    </comment>
    <comment ref="Y9" authorId="0" shapeId="0" xr:uid="{99140EF4-23D1-47DA-8C17-4DE56A7217E4}">
      <text>
        <r>
          <rPr>
            <sz val="8"/>
            <color indexed="81"/>
            <rFont val="Tahoma"/>
            <family val="2"/>
          </rPr>
          <t>If any T Posts are required then the measurements 
must be supplied under the next columns.
Measurements should be made from the left.
A Flat (Unbeaded) T Post can be ordered to match 
the Flat Stile Shutter in the Stile &amp; T Post column.</t>
        </r>
      </text>
    </comment>
    <comment ref="AC9" authorId="0" shapeId="0" xr:uid="{748CDC2A-64E7-4C9B-918F-757FD02F67D3}">
      <text>
        <r>
          <rPr>
            <sz val="8"/>
            <color indexed="81"/>
            <rFont val="Tahoma"/>
            <family val="2"/>
          </rPr>
          <t>The Stile &amp; T Post 
options are;
Default (Beaded)
Flat Stile &amp; T Post
A Flat (unbeaded) Small L Frame can be ordered 
under the Frame Type.</t>
        </r>
      </text>
    </comment>
    <comment ref="AD9" authorId="0" shapeId="0" xr:uid="{1818BA6A-C2AE-4947-BCA4-528D6C28A0D4}">
      <text>
        <r>
          <rPr>
            <sz val="8"/>
            <color indexed="81"/>
            <rFont val="Tahoma"/>
            <family val="2"/>
          </rPr>
          <t xml:space="preserve">The Designer Eco,  
Designer Eco Plus &amp; Luvre
Fluffy Strip options are;
No
Yes
Fluffy Strip is supplied with the Fauxwood Designer Eco Night Shutter.
</t>
        </r>
        <r>
          <rPr>
            <i/>
            <sz val="8"/>
            <color indexed="81"/>
            <rFont val="Tahoma"/>
            <family val="2"/>
          </rPr>
          <t>Fluffy Strip Surcharge applies.</t>
        </r>
      </text>
    </comment>
    <comment ref="C10" authorId="0" shapeId="0" xr:uid="{00144CB3-73D9-4F9C-A41E-9E9BAD4C5318}">
      <text>
        <r>
          <rPr>
            <sz val="8"/>
            <color indexed="81"/>
            <rFont val="Tahoma"/>
            <family val="2"/>
          </rPr>
          <t xml:space="preserve">Minimum Width is 180mm.
Maximum Fauxwood Standard Size 
Width is 650mm.
Maximum Fauxwood Designer Eco Width with 
63mm Blades is 900mm.
Maximum Fauxwood Designer Eco Width with 
89mm Blades is 900mm.
Maximum Fauxwood Designer Eco Plus Width with 
63mm Blades is 950mm.
Maximum Fauxwood Designer Eco Plus Width with 
89mm Blades is 950mm.
Maximum Fauxwood Designer Eco Night 
Width is 650mm.
Maximum Luvre Width is 950mm.
Fauxwood Designer Eco &amp; 
Fauxwood Designer Eco Plus Panels 
with a Width larger than 650mm will require 
Aluminium Inserts.
Conditions apply.
</t>
        </r>
        <r>
          <rPr>
            <i/>
            <sz val="8"/>
            <color indexed="81"/>
            <rFont val="Tahoma"/>
            <family val="2"/>
          </rPr>
          <t>Please note: 
Larger Panels may sometimes require lifting in to the frame.</t>
        </r>
      </text>
    </comment>
    <comment ref="D10" authorId="0" shapeId="0" xr:uid="{13EDF37F-9304-461A-B37F-29E2F2FF8CE9}">
      <text>
        <r>
          <rPr>
            <sz val="8"/>
            <color indexed="81"/>
            <rFont val="Tahoma"/>
            <family val="2"/>
          </rPr>
          <t>Minimum Height is 350mm.
Maximum Fauxwood Height is 2600mm.</t>
        </r>
      </text>
    </comment>
    <comment ref="E10" authorId="0" shapeId="0" xr:uid="{BE6E86D4-F0FE-459E-A70A-8C5541629CA4}">
      <text>
        <r>
          <rPr>
            <sz val="8"/>
            <color indexed="81"/>
            <rFont val="Tahoma"/>
            <family val="2"/>
          </rPr>
          <t xml:space="preserve">In - Inside or Reveal Fit
Out - Outside or Face Fit
Alternative Option:
MS - Make Size
Panel Only Option
</t>
        </r>
        <r>
          <rPr>
            <i/>
            <sz val="8"/>
            <color indexed="81"/>
            <rFont val="Tahoma"/>
            <family val="2"/>
          </rPr>
          <t>(Used for specific requirements only)</t>
        </r>
      </text>
    </comment>
    <comment ref="F10" authorId="0" shapeId="0" xr:uid="{B84CEA71-DBC5-4277-B4EC-2AB823AD5531}">
      <text>
        <r>
          <rPr>
            <sz val="8"/>
            <color indexed="81"/>
            <rFont val="Tahoma"/>
            <family val="2"/>
          </rPr>
          <t>Quantity is the number of Panels 
within the opening. 
If ordering Make Size (MS), 
this will be the number of Panels 
at this size.</t>
        </r>
      </text>
    </comment>
    <comment ref="G10" authorId="0" shapeId="0" xr:uid="{887CB6AA-1C04-4219-AC37-BCA52AE4FB28}">
      <text>
        <r>
          <rPr>
            <sz val="8"/>
            <color indexed="81"/>
            <rFont val="Tahoma"/>
            <family val="2"/>
          </rPr>
          <t>Fauxwood Designer Eco will be made with the standard profile 
Bottom Rail,  Mid Rail &amp; Top Rail.
Fauxwood Designer Eco Plus will be made with the 
reinforced curved profile Bottom Rail, Mid Rail &amp; Top Rail.
Fauxwood Designer Eco Night will be made with the 
curved grooved profile Bottom Rail, Mid Rail &amp; Top Rail.
Luvre will be made with the reinforced
curved profile Bottom Rail, Mid Rail &amp; Top Rail.
Fauxwood Designer Eco Plus, Fauxwood Designer Eco Night &amp; Luvre 
Surcharge applies.</t>
        </r>
      </text>
    </comment>
    <comment ref="H10" authorId="0" shapeId="0" xr:uid="{40A6E02E-DF21-4FCF-BA32-E259768AB635}">
      <text>
        <r>
          <rPr>
            <sz val="8"/>
            <color indexed="81"/>
            <rFont val="Tahoma"/>
            <family val="2"/>
          </rPr>
          <t xml:space="preserve">Fauxwood Designer Colours options available;
Standard Colours;
Bright White
Classic White
Snow White
Super White
Vanilla
Specialty Colours;
Ceylon
Earl Grey
French White
Infinite White
Polar White
Quiet White
Snow Gum Grey
Snowy Mountains White
</t>
        </r>
        <r>
          <rPr>
            <i/>
            <sz val="8"/>
            <color indexed="81"/>
            <rFont val="Tahoma"/>
            <family val="2"/>
          </rPr>
          <t>Specialty Colours Surcharge applies.</t>
        </r>
        <r>
          <rPr>
            <sz val="8"/>
            <color indexed="81"/>
            <rFont val="Tahoma"/>
            <family val="2"/>
          </rPr>
          <t xml:space="preserve">
Luvre with Therme &amp; Scratch Resistant Paint 
Colours options available;
Snow White
Super White
</t>
        </r>
      </text>
    </comment>
    <comment ref="J10" authorId="0" shapeId="0" xr:uid="{ED1F801F-230A-41CD-9053-5FBCB0D8BEEA}">
      <text>
        <r>
          <rPr>
            <sz val="8"/>
            <color indexed="81"/>
            <rFont val="Tahoma"/>
            <family val="2"/>
          </rPr>
          <t>Fauxwood Designer Eco &amp; 
Fauxwood Designer Eco Plus 
Blade sizes options are;
63mm
89mm
Fauxwood Designer Eco Night  
Blade sizes options are;
92mm
Luvre Blade sizes options are;
89mm
114mm</t>
        </r>
      </text>
    </comment>
    <comment ref="K10" authorId="0" shapeId="0" xr:uid="{EC1AC9D1-25CF-42E4-8A03-198E3C0B1A58}">
      <text>
        <r>
          <rPr>
            <sz val="8"/>
            <color indexed="81"/>
            <rFont val="Tahoma"/>
            <family val="2"/>
          </rPr>
          <t>Mid Rail is required on Fauxwood Panels over 1500mm.
Cell will highlight yellow when Mid Rail is required.
Only one Critical Mid Rail is allowed.
A Mid Rail that is not marked "Critical" may be moved up or down 
up to 40mm to stop any gaps and increase/decrease the blade quantity.
Fauxwood Designer Eco will be made with the standard profile 
Bottom Rail,  Mid Rail &amp; Top Rail.
Fauxwood Designer Eco Plus will be made with the 
reinforced curved profile Bottom Rail, Mid Rail &amp; Top Rail.
Fauxwood Designer Eco Night will be made with the 
curved grooved profile Bottom Rail, Mid Rail &amp; Top Rail.
Luvre will be made with the reinforced
curved profile Bottom Rail, Mid Rail &amp; Top Rail.
Fauxwood Designer Eco Plus, Fauxwood Designer Eco Night &amp; Luvre Surcharge applies.</t>
        </r>
      </text>
    </comment>
    <comment ref="L10" authorId="0" shapeId="0" xr:uid="{D59D12E3-1EC6-4ED2-B9EF-D0C8B7E2B658}">
      <text>
        <r>
          <rPr>
            <sz val="8"/>
            <color indexed="81"/>
            <rFont val="Tahoma"/>
            <family val="2"/>
          </rPr>
          <t xml:space="preserve">The Fauxwood Designer Eco, 
Fauxwood Designer Eco Plus 
&amp; Luvre Window Type options are;
Standard
Bay Window
Corner Window
Door Cut Out
Shaped Arch
Shaped Hexagon
Shaped Octagon
Shaped Oval
Shaped Parallelogram
Shaped Raked
Shaped Round
Shaped Sunburst
Shaped Triangle
These Shapes are not available
with the Rack &amp; Pinion Tiltrod;
Shaped Arch
Shaped Hexagon
Shaped Octagon
Shaped Oval
Shaped Round
Shaped Sunburst
The Fauxwood Designer Eco Night Window Type 
options are;
Standard
Bay Window
Corner Window
</t>
        </r>
        <r>
          <rPr>
            <i/>
            <sz val="8"/>
            <color indexed="81"/>
            <rFont val="Tahoma"/>
            <family val="2"/>
          </rPr>
          <t xml:space="preserve">
</t>
        </r>
        <r>
          <rPr>
            <sz val="8"/>
            <color indexed="81"/>
            <rFont val="Tahoma"/>
            <family val="2"/>
          </rPr>
          <t>Shaped Shutters will need the Panel Layout to be 
compatible with the Hidden Tiltrod system.</t>
        </r>
      </text>
    </comment>
    <comment ref="M10" authorId="0" shapeId="0" xr:uid="{C9267502-8C3D-4B5F-B9BF-D714F2E803D0}">
      <text>
        <r>
          <rPr>
            <sz val="8"/>
            <color indexed="81"/>
            <rFont val="Tahoma"/>
            <family val="2"/>
          </rPr>
          <t>Mounting Method is dependent 
on  MS, In Or Out &amp; Product.
For IN &amp; Fauxwood Designer Eco,  
Fauxwood Designer Eco Plus 
&amp; Luvre the options are;
Double Hinged
Fixed
Hinged
Pivot Hinged
Sliding
Track Bi Fold
For OUT &amp; Fauxwood Designer Eco,  
Fauxwood Designer Eco Plus 
&amp; Luvre the options are;
Double Hinged
Hinged
Pivot Hinged
Sliding
Track Bi Fold
For IN &amp; Fauxwood Designer Eco Night 
the options are;
Fixed
Hinged
For OUT &amp; Fauxwood Designer Eco Night 
the options are;
Fixed
Hinged
For MS, the options are;
N/A
Pivot Hinged is not recommended for 
Designer Eco Plus or Luvre.</t>
        </r>
      </text>
    </comment>
    <comment ref="N10" authorId="0" shapeId="0" xr:uid="{16C7E097-2AB5-4B4D-873F-0CF43713EB10}">
      <text>
        <r>
          <rPr>
            <sz val="8"/>
            <color indexed="81"/>
            <rFont val="Tahoma"/>
            <family val="2"/>
          </rPr>
          <t>For Sliding Track System options are;
Top Hung (Original System)
Bottom Wheel (New System)
The Top Hung (Original System) uses 
Top Wheels Mounting.
The Bottom Wheel (New System) uses a 
U Channel at the Top and 
Wheels at the Bottom.
This option cannot have a Floor Guide or 
Track On Board.</t>
        </r>
      </text>
    </comment>
    <comment ref="O10" authorId="0" shapeId="0" xr:uid="{9B4A5850-C376-4F9B-BAD1-8C0ECD46F430}">
      <text>
        <r>
          <rPr>
            <sz val="8"/>
            <color indexed="81"/>
            <rFont val="Tahoma"/>
            <family val="2"/>
          </rPr>
          <t>Please refer to the Shutter Manual 
when selecting Layout Code.
The list provides the most common options, 
which are dependent on Mounting Method.
More complex Layout Codes can still be entered manually.</t>
        </r>
      </text>
    </comment>
    <comment ref="P10" authorId="0" shapeId="0" xr:uid="{BD036242-9047-413E-A4C4-C1BD8A57F398}">
      <text>
        <r>
          <rPr>
            <sz val="8"/>
            <color indexed="81"/>
            <rFont val="Tahoma"/>
            <family val="2"/>
          </rPr>
          <t>Frame Type is dependent on
 Mounting Method.
If a Flat (unbeaded) Small L Frame 
is selected, a matching Stile &amp; T Post can be 
ordered in the Stile &amp; T Post column.</t>
        </r>
      </text>
    </comment>
    <comment ref="V10" authorId="0" shapeId="0" xr:uid="{D75A416A-6DAF-4830-8180-3F111EB2C3A6}">
      <text>
        <r>
          <rPr>
            <sz val="8"/>
            <color indexed="81"/>
            <rFont val="Tahoma"/>
            <family val="2"/>
          </rPr>
          <t>This option is dependent on the 
Material &amp; Product 
and will only be available once this 
option is selected.
For Fauxwood Designer Eco
&amp; Fauxwood Designer Eco Plus 
the options are;
Hidden
Centre
Off-Set
Rack &amp; Pinion
These Shapes are not available
with the Rack &amp; Pinion Tiltrod;
Shaped Arch
Shaped Hexagon
Shaped Octagon
Shaped Oval
Shaped Round
Shaped Sunburst
For Fauxwood Designer Eco Night
the options are;
Hidden
For Luvre the options are;
Hidden</t>
        </r>
      </text>
    </comment>
    <comment ref="W10" authorId="0" shapeId="0" xr:uid="{62E83F88-3CE2-4F16-BE6B-456D01E55EC3}">
      <text>
        <r>
          <rPr>
            <sz val="8"/>
            <color indexed="81"/>
            <rFont val="Tahoma"/>
            <family val="2"/>
          </rPr>
          <t xml:space="preserve">If no Hinge Colour is selected, 
then the default Hinge Colour and hardware 
will be supplied. 
The Hinge Colour options are;
Default
Stainless Steel
N/A
When Default is selected, the Hinge will be supplied 
as per the matching Hinge Colour list below;
Shutter Colour - </t>
        </r>
        <r>
          <rPr>
            <i/>
            <sz val="8"/>
            <color indexed="81"/>
            <rFont val="Tahoma"/>
            <family val="2"/>
          </rPr>
          <t>Hinge Colour</t>
        </r>
        <r>
          <rPr>
            <sz val="8"/>
            <color indexed="81"/>
            <rFont val="Tahoma"/>
            <family val="2"/>
          </rPr>
          <t xml:space="preserve">
   Bright White - </t>
        </r>
        <r>
          <rPr>
            <i/>
            <sz val="8"/>
            <color indexed="81"/>
            <rFont val="Tahoma"/>
            <family val="2"/>
          </rPr>
          <t>Bright White</t>
        </r>
        <r>
          <rPr>
            <sz val="8"/>
            <color indexed="81"/>
            <rFont val="Tahoma"/>
            <family val="2"/>
          </rPr>
          <t xml:space="preserve">
Classic White - </t>
        </r>
        <r>
          <rPr>
            <i/>
            <sz val="8"/>
            <color indexed="81"/>
            <rFont val="Tahoma"/>
            <family val="2"/>
          </rPr>
          <t>White</t>
        </r>
        <r>
          <rPr>
            <sz val="8"/>
            <color indexed="81"/>
            <rFont val="Tahoma"/>
            <family val="2"/>
          </rPr>
          <t xml:space="preserve">
Snow White - </t>
        </r>
        <r>
          <rPr>
            <i/>
            <sz val="8"/>
            <color indexed="81"/>
            <rFont val="Tahoma"/>
            <family val="2"/>
          </rPr>
          <t>Snow White</t>
        </r>
        <r>
          <rPr>
            <sz val="8"/>
            <color indexed="81"/>
            <rFont val="Tahoma"/>
            <family val="2"/>
          </rPr>
          <t xml:space="preserve">
Super White - </t>
        </r>
        <r>
          <rPr>
            <i/>
            <sz val="8"/>
            <color indexed="81"/>
            <rFont val="Tahoma"/>
            <family val="2"/>
          </rPr>
          <t>Snow White</t>
        </r>
        <r>
          <rPr>
            <sz val="8"/>
            <color indexed="81"/>
            <rFont val="Tahoma"/>
            <family val="2"/>
          </rPr>
          <t xml:space="preserve">
Vanilla - </t>
        </r>
        <r>
          <rPr>
            <i/>
            <sz val="8"/>
            <color indexed="81"/>
            <rFont val="Tahoma"/>
            <family val="2"/>
          </rPr>
          <t xml:space="preserve">Ivory
</t>
        </r>
        <r>
          <rPr>
            <sz val="8"/>
            <color indexed="81"/>
            <rFont val="Tahoma"/>
            <family val="2"/>
          </rPr>
          <t xml:space="preserve">Ceylon - </t>
        </r>
        <r>
          <rPr>
            <i/>
            <sz val="8"/>
            <color indexed="81"/>
            <rFont val="Tahoma"/>
            <family val="2"/>
          </rPr>
          <t>Ceylon</t>
        </r>
        <r>
          <rPr>
            <sz val="8"/>
            <color indexed="81"/>
            <rFont val="Tahoma"/>
            <family val="2"/>
          </rPr>
          <t xml:space="preserve">
Earl Grey - </t>
        </r>
        <r>
          <rPr>
            <i/>
            <sz val="8"/>
            <color indexed="81"/>
            <rFont val="Tahoma"/>
            <family val="2"/>
          </rPr>
          <t>Earl Grey</t>
        </r>
        <r>
          <rPr>
            <sz val="8"/>
            <color indexed="81"/>
            <rFont val="Tahoma"/>
            <family val="2"/>
          </rPr>
          <t xml:space="preserve">
French White - </t>
        </r>
        <r>
          <rPr>
            <i/>
            <sz val="8"/>
            <color indexed="81"/>
            <rFont val="Tahoma"/>
            <family val="2"/>
          </rPr>
          <t>French White</t>
        </r>
        <r>
          <rPr>
            <sz val="8"/>
            <color indexed="81"/>
            <rFont val="Tahoma"/>
            <family val="2"/>
          </rPr>
          <t xml:space="preserve">
Infinite White -</t>
        </r>
        <r>
          <rPr>
            <i/>
            <sz val="8"/>
            <color indexed="81"/>
            <rFont val="Tahoma"/>
            <family val="2"/>
          </rPr>
          <t xml:space="preserve"> Infinite White</t>
        </r>
        <r>
          <rPr>
            <sz val="8"/>
            <color indexed="81"/>
            <rFont val="Tahoma"/>
            <family val="2"/>
          </rPr>
          <t xml:space="preserve">
Polar White - </t>
        </r>
        <r>
          <rPr>
            <i/>
            <sz val="8"/>
            <color indexed="81"/>
            <rFont val="Tahoma"/>
            <family val="2"/>
          </rPr>
          <t>Polar White</t>
        </r>
        <r>
          <rPr>
            <sz val="8"/>
            <color indexed="81"/>
            <rFont val="Tahoma"/>
            <family val="2"/>
          </rPr>
          <t xml:space="preserve">
Quiet White - </t>
        </r>
        <r>
          <rPr>
            <i/>
            <sz val="8"/>
            <color indexed="81"/>
            <rFont val="Tahoma"/>
            <family val="2"/>
          </rPr>
          <t>Quiet White</t>
        </r>
        <r>
          <rPr>
            <sz val="8"/>
            <color indexed="81"/>
            <rFont val="Tahoma"/>
            <family val="2"/>
          </rPr>
          <t xml:space="preserve">
Snow Gum Grey - </t>
        </r>
        <r>
          <rPr>
            <i/>
            <sz val="8"/>
            <color indexed="81"/>
            <rFont val="Tahoma"/>
            <family val="2"/>
          </rPr>
          <t>Snow Gum Grey</t>
        </r>
        <r>
          <rPr>
            <sz val="8"/>
            <color indexed="81"/>
            <rFont val="Tahoma"/>
            <family val="2"/>
          </rPr>
          <t xml:space="preserve">
Snowy Mountains White - </t>
        </r>
        <r>
          <rPr>
            <i/>
            <sz val="8"/>
            <color indexed="81"/>
            <rFont val="Tahoma"/>
            <family val="2"/>
          </rPr>
          <t>Snowy Mountains White</t>
        </r>
        <r>
          <rPr>
            <sz val="8"/>
            <color indexed="81"/>
            <rFont val="Tahoma"/>
            <family val="2"/>
          </rPr>
          <t xml:space="preserve">
For standard Shutters in Fauxwood Designer Eco 
Standard 77mm Hinges will be used.
For standard Shutters in Fauxwood Designer Eco Plus, 
Fauxwood Designer Eco Night &amp; Luvre
Standard 90mm Hinges will be used.
The Pivot Hinged Colour options are;
White
Stainless Steel
Please refer to the Shutter Manual. 
</t>
        </r>
        <r>
          <rPr>
            <i/>
            <sz val="8"/>
            <color indexed="81"/>
            <rFont val="Tahoma"/>
            <family val="2"/>
          </rPr>
          <t>Stainless Steel Surcharge applies.</t>
        </r>
      </text>
    </comment>
    <comment ref="X10" authorId="0" shapeId="0" xr:uid="{D3DBA618-E153-4576-9E1B-9D24EF28297F}">
      <text>
        <r>
          <rPr>
            <sz val="8"/>
            <color indexed="81"/>
            <rFont val="Tahoma"/>
            <family val="2"/>
          </rPr>
          <t>Please Note: 
If Closed option is chosen then the blades 
can be damaged if they are left open 
when Sliding the Panel.
Open is not an option for 3 Tracks.</t>
        </r>
      </text>
    </comment>
    <comment ref="Y10" authorId="0" shapeId="0" xr:uid="{4055F06F-0DD9-4EF3-B776-4E3A004C31AD}">
      <text>
        <r>
          <rPr>
            <sz val="8"/>
            <color indexed="81"/>
            <rFont val="Tahoma"/>
            <family val="2"/>
          </rPr>
          <t>If any T Posts are required then the measurements 
must be supplied under the next columns.
Measurements should be made from the left.
A Flat (Unbeaded) T Post can be ordered to match 
the Flat Stile Shutter in the Stile &amp; T Post column.</t>
        </r>
      </text>
    </comment>
    <comment ref="AC10" authorId="0" shapeId="0" xr:uid="{D3195B2B-2FBB-4EC9-AFE1-B0054A460512}">
      <text>
        <r>
          <rPr>
            <sz val="8"/>
            <color indexed="81"/>
            <rFont val="Tahoma"/>
            <family val="2"/>
          </rPr>
          <t>The Stile &amp; T Post 
options are;
Default (Beaded)
Flat Stile &amp; T Post
A Flat (unbeaded) Small L Frame can be ordered 
under the Frame Type.</t>
        </r>
      </text>
    </comment>
    <comment ref="AD10" authorId="0" shapeId="0" xr:uid="{3011D8F0-F4F4-4742-A0AA-25A4B800CAA9}">
      <text>
        <r>
          <rPr>
            <sz val="8"/>
            <color indexed="81"/>
            <rFont val="Tahoma"/>
            <family val="2"/>
          </rPr>
          <t xml:space="preserve">The Designer Eco,  
Designer Eco Plus &amp; Luvre
Fluffy Strip options are;
No
Yes
Fluffy Strip is supplied with the Fauxwood Designer Eco Night Shutter.
</t>
        </r>
        <r>
          <rPr>
            <i/>
            <sz val="8"/>
            <color indexed="81"/>
            <rFont val="Tahoma"/>
            <family val="2"/>
          </rPr>
          <t>Fluffy Strip Surcharge applies.</t>
        </r>
      </text>
    </comment>
    <comment ref="C11" authorId="0" shapeId="0" xr:uid="{DC2B3C50-B165-440A-93C6-77D634AB73F7}">
      <text>
        <r>
          <rPr>
            <sz val="8"/>
            <color indexed="81"/>
            <rFont val="Tahoma"/>
            <family val="2"/>
          </rPr>
          <t xml:space="preserve">Minimum Width is 180mm.
Maximum Fauxwood Standard Size 
Width is 650mm.
Maximum Fauxwood Designer Eco Width with 
63mm Blades is 900mm.
Maximum Fauxwood Designer Eco Width with 
89mm Blades is 900mm.
Maximum Fauxwood Designer Eco Plus Width with 
63mm Blades is 950mm.
Maximum Fauxwood Designer Eco Plus Width with 
89mm Blades is 950mm.
Maximum Fauxwood Designer Eco Night 
Width is 650mm.
Maximum Luvre Width is 950mm.
Fauxwood Designer Eco &amp; 
Fauxwood Designer Eco Plus Panels 
with a Width larger than 650mm will require 
Aluminium Inserts.
Conditions apply.
</t>
        </r>
        <r>
          <rPr>
            <i/>
            <sz val="8"/>
            <color indexed="81"/>
            <rFont val="Tahoma"/>
            <family val="2"/>
          </rPr>
          <t>Please note: 
Larger Panels may sometimes require lifting in to the frame.</t>
        </r>
      </text>
    </comment>
    <comment ref="D11" authorId="0" shapeId="0" xr:uid="{16FC47A7-CA9B-49CD-AA73-83412622E421}">
      <text>
        <r>
          <rPr>
            <sz val="8"/>
            <color indexed="81"/>
            <rFont val="Tahoma"/>
            <family val="2"/>
          </rPr>
          <t>Minimum Height is 350mm.
Maximum Fauxwood Height is 2600mm.</t>
        </r>
      </text>
    </comment>
    <comment ref="E11" authorId="0" shapeId="0" xr:uid="{B16EDDB9-FDA1-433B-96D2-0E5277544512}">
      <text>
        <r>
          <rPr>
            <sz val="8"/>
            <color indexed="81"/>
            <rFont val="Tahoma"/>
            <family val="2"/>
          </rPr>
          <t xml:space="preserve">In - Inside or Reveal Fit
Out - Outside or Face Fit
Alternative Option:
MS - Make Size
Panel Only Option
</t>
        </r>
        <r>
          <rPr>
            <i/>
            <sz val="8"/>
            <color indexed="81"/>
            <rFont val="Tahoma"/>
            <family val="2"/>
          </rPr>
          <t>(Used for specific requirements only)</t>
        </r>
      </text>
    </comment>
    <comment ref="F11" authorId="0" shapeId="0" xr:uid="{67A8D15A-1ADB-4C99-99AD-DBA1214257A6}">
      <text>
        <r>
          <rPr>
            <sz val="8"/>
            <color indexed="81"/>
            <rFont val="Tahoma"/>
            <family val="2"/>
          </rPr>
          <t>Quantity is the number of Panels 
within the opening. 
If ordering Make Size (MS), 
this will be the number of Panels 
at this size.</t>
        </r>
      </text>
    </comment>
    <comment ref="G11" authorId="0" shapeId="0" xr:uid="{41CBDBB4-A953-4E33-81A1-CCC1C86DC5D8}">
      <text>
        <r>
          <rPr>
            <sz val="8"/>
            <color indexed="81"/>
            <rFont val="Tahoma"/>
            <family val="2"/>
          </rPr>
          <t>Fauxwood Designer Eco will be made with the standard profile 
Bottom Rail,  Mid Rail &amp; Top Rail.
Fauxwood Designer Eco Plus will be made with the 
reinforced curved profile Bottom Rail, Mid Rail &amp; Top Rail.
Fauxwood Designer Eco Night will be made with the 
curved grooved profile Bottom Rail, Mid Rail &amp; Top Rail.
Luvre will be made with the reinforced
curved profile Bottom Rail, Mid Rail &amp; Top Rail.
Fauxwood Designer Eco Plus, Fauxwood Designer Eco Night &amp; Luvre 
Surcharge applies.</t>
        </r>
      </text>
    </comment>
    <comment ref="H11" authorId="0" shapeId="0" xr:uid="{605F4F11-7D03-458D-9741-C8A9A2ACC750}">
      <text>
        <r>
          <rPr>
            <sz val="8"/>
            <color indexed="81"/>
            <rFont val="Tahoma"/>
            <family val="2"/>
          </rPr>
          <t xml:space="preserve">Fauxwood Designer Colours options available;
Standard Colours;
Bright White
Classic White
Snow White
Super White
Vanilla
Specialty Colours;
Ceylon
Earl Grey
French White
Infinite White
Polar White
Quiet White
Snow Gum Grey
Snowy Mountains White
</t>
        </r>
        <r>
          <rPr>
            <i/>
            <sz val="8"/>
            <color indexed="81"/>
            <rFont val="Tahoma"/>
            <family val="2"/>
          </rPr>
          <t>Specialty Colours Surcharge applies.</t>
        </r>
        <r>
          <rPr>
            <sz val="8"/>
            <color indexed="81"/>
            <rFont val="Tahoma"/>
            <family val="2"/>
          </rPr>
          <t xml:space="preserve">
Luvre with Therme &amp; Scratch Resistant Paint 
Colours options available;
Snow White
Super White
</t>
        </r>
      </text>
    </comment>
    <comment ref="J11" authorId="0" shapeId="0" xr:uid="{0368BE8E-911D-4D31-B007-BE570602BFED}">
      <text>
        <r>
          <rPr>
            <sz val="8"/>
            <color indexed="81"/>
            <rFont val="Tahoma"/>
            <family val="2"/>
          </rPr>
          <t>Fauxwood Designer Eco &amp; 
Fauxwood Designer Eco Plus 
Blade sizes options are;
63mm
89mm
Fauxwood Designer Eco Night  
Blade sizes options are;
92mm
Luvre Blade sizes options are;
89mm
114mm</t>
        </r>
      </text>
    </comment>
    <comment ref="K11" authorId="0" shapeId="0" xr:uid="{50638D04-05E1-4152-ACF2-E0015D0D3B51}">
      <text>
        <r>
          <rPr>
            <sz val="8"/>
            <color indexed="81"/>
            <rFont val="Tahoma"/>
            <family val="2"/>
          </rPr>
          <t>Mid Rail is required on Fauxwood Panels over 1500mm.
Cell will highlight yellow when Mid Rail is required.
Only one Critical Mid Rail is allowed.
A Mid Rail that is not marked "Critical" may be moved up or down 
up to 40mm to stop any gaps and increase/decrease the blade quantity.
Fauxwood Designer Eco will be made with the standard profile 
Bottom Rail,  Mid Rail &amp; Top Rail.
Fauxwood Designer Eco Plus will be made with the 
reinforced curved profile Bottom Rail, Mid Rail &amp; Top Rail.
Fauxwood Designer Eco Night will be made with the 
curved grooved profile Bottom Rail, Mid Rail &amp; Top Rail.
Luvre will be made with the reinforced
curved profile Bottom Rail, Mid Rail &amp; Top Rail.
Fauxwood Designer Eco Plus, Fauxwood Designer Eco Night &amp; Luvre Surcharge applies.</t>
        </r>
      </text>
    </comment>
    <comment ref="L11" authorId="0" shapeId="0" xr:uid="{620480E4-B96A-4CB6-9C63-2D3C93C8B849}">
      <text>
        <r>
          <rPr>
            <sz val="8"/>
            <color indexed="81"/>
            <rFont val="Tahoma"/>
            <family val="2"/>
          </rPr>
          <t xml:space="preserve">The Fauxwood Designer Eco, 
Fauxwood Designer Eco Plus 
&amp; Luvre Window Type options are;
Standard
Bay Window
Corner Window
Door Cut Out
Shaped Arch
Shaped Hexagon
Shaped Octagon
Shaped Oval
Shaped Parallelogram
Shaped Raked
Shaped Round
Shaped Sunburst
Shaped Triangle
These Shapes are not available
with the Rack &amp; Pinion Tiltrod;
Shaped Arch
Shaped Hexagon
Shaped Octagon
Shaped Oval
Shaped Round
Shaped Sunburst
The Fauxwood Designer Eco Night Window Type 
options are;
Standard
Bay Window
Corner Window
</t>
        </r>
        <r>
          <rPr>
            <i/>
            <sz val="8"/>
            <color indexed="81"/>
            <rFont val="Tahoma"/>
            <family val="2"/>
          </rPr>
          <t xml:space="preserve">
</t>
        </r>
        <r>
          <rPr>
            <sz val="8"/>
            <color indexed="81"/>
            <rFont val="Tahoma"/>
            <family val="2"/>
          </rPr>
          <t>Shaped Shutters will need the Panel Layout to be 
compatible with the Hidden Tiltrod system.</t>
        </r>
      </text>
    </comment>
    <comment ref="M11" authorId="0" shapeId="0" xr:uid="{2DA0A438-1891-4462-ABA0-2CB6B377E5F6}">
      <text>
        <r>
          <rPr>
            <sz val="8"/>
            <color indexed="81"/>
            <rFont val="Tahoma"/>
            <family val="2"/>
          </rPr>
          <t>Mounting Method is dependent 
on  MS, In Or Out &amp; Product.
For IN &amp; Fauxwood Designer Eco,  
Fauxwood Designer Eco Plus 
&amp; Luvre the options are;
Double Hinged
Fixed
Hinged
Pivot Hinged
Sliding
Track Bi Fold
For OUT &amp; Fauxwood Designer Eco,  
Fauxwood Designer Eco Plus 
&amp; Luvre the options are;
Double Hinged
Hinged
Pivot Hinged
Sliding
Track Bi Fold
For IN &amp; Fauxwood Designer Eco Night 
the options are;
Fixed
Hinged
For OUT &amp; Fauxwood Designer Eco Night 
the options are;
Fixed
Hinged
For MS, the options are;
N/A
Pivot Hinged is not recommended for 
Designer Eco Plus or Luvre.</t>
        </r>
      </text>
    </comment>
    <comment ref="N11" authorId="0" shapeId="0" xr:uid="{15757560-01A0-4785-8B39-8A7AC2F53A84}">
      <text>
        <r>
          <rPr>
            <sz val="8"/>
            <color indexed="81"/>
            <rFont val="Tahoma"/>
            <family val="2"/>
          </rPr>
          <t>For Sliding Track System options are;
Top Hung (Original System)
Bottom Wheel (New System)
The Top Hung (Original System) uses 
Top Wheels Mounting.
The Bottom Wheel (New System) uses a 
U Channel at the Top and 
Wheels at the Bottom.
This option cannot have a Floor Guide or 
Track On Board.</t>
        </r>
      </text>
    </comment>
    <comment ref="O11" authorId="0" shapeId="0" xr:uid="{5728F1A2-AA9F-432E-83DE-C4930CB0A033}">
      <text>
        <r>
          <rPr>
            <sz val="8"/>
            <color indexed="81"/>
            <rFont val="Tahoma"/>
            <family val="2"/>
          </rPr>
          <t>Please refer to the Shutter Manual 
when selecting Layout Code.
The list provides the most common options, 
which are dependent on Mounting Method.
More complex Layout Codes can still be entered manually.</t>
        </r>
      </text>
    </comment>
    <comment ref="P11" authorId="0" shapeId="0" xr:uid="{12404D6E-F7BD-46EF-B76E-5B4E542CFF8F}">
      <text>
        <r>
          <rPr>
            <sz val="8"/>
            <color indexed="81"/>
            <rFont val="Tahoma"/>
            <family val="2"/>
          </rPr>
          <t>Frame Type is dependent on
 Mounting Method.
If a Flat (unbeaded) Small L Frame 
is selected, a matching Stile &amp; T Post can be 
ordered in the Stile &amp; T Post column.</t>
        </r>
      </text>
    </comment>
    <comment ref="V11" authorId="0" shapeId="0" xr:uid="{FFC80507-AE6F-49F3-A833-FE62F1786660}">
      <text>
        <r>
          <rPr>
            <sz val="8"/>
            <color indexed="81"/>
            <rFont val="Tahoma"/>
            <family val="2"/>
          </rPr>
          <t>This option is dependent on the 
Material &amp; Product 
and will only be available once this 
option is selected.
For Fauxwood Designer Eco
&amp; Fauxwood Designer Eco Plus 
the options are;
Hidden
Centre
Off-Set
Rack &amp; Pinion
These Shapes are not available
with the Rack &amp; Pinion Tiltrod;
Shaped Arch
Shaped Hexagon
Shaped Octagon
Shaped Oval
Shaped Round
Shaped Sunburst
For Fauxwood Designer Eco Night
the options are;
Hidden
For Luvre the options are;
Hidden</t>
        </r>
      </text>
    </comment>
    <comment ref="W11" authorId="0" shapeId="0" xr:uid="{E5F8B634-D532-4B34-9228-4A8208A42EAA}">
      <text>
        <r>
          <rPr>
            <sz val="8"/>
            <color indexed="81"/>
            <rFont val="Tahoma"/>
            <family val="2"/>
          </rPr>
          <t xml:space="preserve">If no Hinge Colour is selected, 
then the default Hinge Colour and hardware 
will be supplied. 
The Hinge Colour options are;
Default
Stainless Steel
N/A
When Default is selected, the Hinge will be supplied 
as per the matching Hinge Colour list below;
Shutter Colour - </t>
        </r>
        <r>
          <rPr>
            <i/>
            <sz val="8"/>
            <color indexed="81"/>
            <rFont val="Tahoma"/>
            <family val="2"/>
          </rPr>
          <t>Hinge Colour</t>
        </r>
        <r>
          <rPr>
            <sz val="8"/>
            <color indexed="81"/>
            <rFont val="Tahoma"/>
            <family val="2"/>
          </rPr>
          <t xml:space="preserve">
   Bright White - </t>
        </r>
        <r>
          <rPr>
            <i/>
            <sz val="8"/>
            <color indexed="81"/>
            <rFont val="Tahoma"/>
            <family val="2"/>
          </rPr>
          <t>Bright White</t>
        </r>
        <r>
          <rPr>
            <sz val="8"/>
            <color indexed="81"/>
            <rFont val="Tahoma"/>
            <family val="2"/>
          </rPr>
          <t xml:space="preserve">
Classic White - </t>
        </r>
        <r>
          <rPr>
            <i/>
            <sz val="8"/>
            <color indexed="81"/>
            <rFont val="Tahoma"/>
            <family val="2"/>
          </rPr>
          <t>White</t>
        </r>
        <r>
          <rPr>
            <sz val="8"/>
            <color indexed="81"/>
            <rFont val="Tahoma"/>
            <family val="2"/>
          </rPr>
          <t xml:space="preserve">
Snow White - </t>
        </r>
        <r>
          <rPr>
            <i/>
            <sz val="8"/>
            <color indexed="81"/>
            <rFont val="Tahoma"/>
            <family val="2"/>
          </rPr>
          <t>Snow White</t>
        </r>
        <r>
          <rPr>
            <sz val="8"/>
            <color indexed="81"/>
            <rFont val="Tahoma"/>
            <family val="2"/>
          </rPr>
          <t xml:space="preserve">
Super White - </t>
        </r>
        <r>
          <rPr>
            <i/>
            <sz val="8"/>
            <color indexed="81"/>
            <rFont val="Tahoma"/>
            <family val="2"/>
          </rPr>
          <t>Snow White</t>
        </r>
        <r>
          <rPr>
            <sz val="8"/>
            <color indexed="81"/>
            <rFont val="Tahoma"/>
            <family val="2"/>
          </rPr>
          <t xml:space="preserve">
Vanilla - </t>
        </r>
        <r>
          <rPr>
            <i/>
            <sz val="8"/>
            <color indexed="81"/>
            <rFont val="Tahoma"/>
            <family val="2"/>
          </rPr>
          <t xml:space="preserve">Ivory
</t>
        </r>
        <r>
          <rPr>
            <sz val="8"/>
            <color indexed="81"/>
            <rFont val="Tahoma"/>
            <family val="2"/>
          </rPr>
          <t xml:space="preserve">Ceylon - </t>
        </r>
        <r>
          <rPr>
            <i/>
            <sz val="8"/>
            <color indexed="81"/>
            <rFont val="Tahoma"/>
            <family val="2"/>
          </rPr>
          <t>Ceylon</t>
        </r>
        <r>
          <rPr>
            <sz val="8"/>
            <color indexed="81"/>
            <rFont val="Tahoma"/>
            <family val="2"/>
          </rPr>
          <t xml:space="preserve">
Earl Grey - </t>
        </r>
        <r>
          <rPr>
            <i/>
            <sz val="8"/>
            <color indexed="81"/>
            <rFont val="Tahoma"/>
            <family val="2"/>
          </rPr>
          <t>Earl Grey</t>
        </r>
        <r>
          <rPr>
            <sz val="8"/>
            <color indexed="81"/>
            <rFont val="Tahoma"/>
            <family val="2"/>
          </rPr>
          <t xml:space="preserve">
French White - </t>
        </r>
        <r>
          <rPr>
            <i/>
            <sz val="8"/>
            <color indexed="81"/>
            <rFont val="Tahoma"/>
            <family val="2"/>
          </rPr>
          <t>French White</t>
        </r>
        <r>
          <rPr>
            <sz val="8"/>
            <color indexed="81"/>
            <rFont val="Tahoma"/>
            <family val="2"/>
          </rPr>
          <t xml:space="preserve">
Infinite White -</t>
        </r>
        <r>
          <rPr>
            <i/>
            <sz val="8"/>
            <color indexed="81"/>
            <rFont val="Tahoma"/>
            <family val="2"/>
          </rPr>
          <t xml:space="preserve"> Infinite White</t>
        </r>
        <r>
          <rPr>
            <sz val="8"/>
            <color indexed="81"/>
            <rFont val="Tahoma"/>
            <family val="2"/>
          </rPr>
          <t xml:space="preserve">
Polar White - </t>
        </r>
        <r>
          <rPr>
            <i/>
            <sz val="8"/>
            <color indexed="81"/>
            <rFont val="Tahoma"/>
            <family val="2"/>
          </rPr>
          <t>Polar White</t>
        </r>
        <r>
          <rPr>
            <sz val="8"/>
            <color indexed="81"/>
            <rFont val="Tahoma"/>
            <family val="2"/>
          </rPr>
          <t xml:space="preserve">
Quiet White - </t>
        </r>
        <r>
          <rPr>
            <i/>
            <sz val="8"/>
            <color indexed="81"/>
            <rFont val="Tahoma"/>
            <family val="2"/>
          </rPr>
          <t>Quiet White</t>
        </r>
        <r>
          <rPr>
            <sz val="8"/>
            <color indexed="81"/>
            <rFont val="Tahoma"/>
            <family val="2"/>
          </rPr>
          <t xml:space="preserve">
Snow Gum Grey - </t>
        </r>
        <r>
          <rPr>
            <i/>
            <sz val="8"/>
            <color indexed="81"/>
            <rFont val="Tahoma"/>
            <family val="2"/>
          </rPr>
          <t>Snow Gum Grey</t>
        </r>
        <r>
          <rPr>
            <sz val="8"/>
            <color indexed="81"/>
            <rFont val="Tahoma"/>
            <family val="2"/>
          </rPr>
          <t xml:space="preserve">
Snowy Mountains White - </t>
        </r>
        <r>
          <rPr>
            <i/>
            <sz val="8"/>
            <color indexed="81"/>
            <rFont val="Tahoma"/>
            <family val="2"/>
          </rPr>
          <t>Snowy Mountains White</t>
        </r>
        <r>
          <rPr>
            <sz val="8"/>
            <color indexed="81"/>
            <rFont val="Tahoma"/>
            <family val="2"/>
          </rPr>
          <t xml:space="preserve">
For standard Shutters in Fauxwood Designer Eco 
Standard 77mm Hinges will be used.
For standard Shutters in Fauxwood Designer Eco Plus, 
Fauxwood Designer Eco Night &amp; Luvre
Standard 90mm Hinges will be used.
The Pivot Hinged Colour options are;
White
Stainless Steel
Please refer to the Shutter Manual. 
</t>
        </r>
        <r>
          <rPr>
            <i/>
            <sz val="8"/>
            <color indexed="81"/>
            <rFont val="Tahoma"/>
            <family val="2"/>
          </rPr>
          <t>Stainless Steel Surcharge applies.</t>
        </r>
      </text>
    </comment>
    <comment ref="X11" authorId="0" shapeId="0" xr:uid="{74958BE6-3BB8-4C60-8B19-1719FF269BB7}">
      <text>
        <r>
          <rPr>
            <sz val="8"/>
            <color indexed="81"/>
            <rFont val="Tahoma"/>
            <family val="2"/>
          </rPr>
          <t>Please Note: 
If Closed option is chosen then the blades 
can be damaged if they are left open 
when Sliding the Panel.
Open is not an option for 3 Tracks.</t>
        </r>
      </text>
    </comment>
    <comment ref="Y11" authorId="0" shapeId="0" xr:uid="{433D8DA3-7A21-4DD7-99DF-D3C1901977AE}">
      <text>
        <r>
          <rPr>
            <sz val="8"/>
            <color indexed="81"/>
            <rFont val="Tahoma"/>
            <family val="2"/>
          </rPr>
          <t>If any T Posts are required then the measurements 
must be supplied under the next columns.
Measurements should be made from the left.
A Flat (Unbeaded) T Post can be ordered to match 
the Flat Stile Shutter in the Stile &amp; T Post column.</t>
        </r>
      </text>
    </comment>
    <comment ref="AC11" authorId="0" shapeId="0" xr:uid="{254935D4-4CF7-48E8-BB96-0614271540F3}">
      <text>
        <r>
          <rPr>
            <sz val="8"/>
            <color indexed="81"/>
            <rFont val="Tahoma"/>
            <family val="2"/>
          </rPr>
          <t>The Stile &amp; T Post 
options are;
Default (Beaded)
Flat Stile &amp; T Post
A Flat (unbeaded) Small L Frame can be ordered 
under the Frame Type.</t>
        </r>
      </text>
    </comment>
    <comment ref="AD11" authorId="0" shapeId="0" xr:uid="{35129DF3-51A8-4992-939F-57BE43555896}">
      <text>
        <r>
          <rPr>
            <sz val="8"/>
            <color indexed="81"/>
            <rFont val="Tahoma"/>
            <family val="2"/>
          </rPr>
          <t xml:space="preserve">The Designer Eco,  
Designer Eco Plus &amp; Luvre
Fluffy Strip options are;
No
Yes
Fluffy Strip is supplied with the Fauxwood Designer Eco Night Shutter.
</t>
        </r>
        <r>
          <rPr>
            <i/>
            <sz val="8"/>
            <color indexed="81"/>
            <rFont val="Tahoma"/>
            <family val="2"/>
          </rPr>
          <t>Fluffy Strip Surcharge applies.</t>
        </r>
      </text>
    </comment>
    <comment ref="C12" authorId="0" shapeId="0" xr:uid="{ACC5C92F-CE65-41AF-BAA1-F13CE0DAA61C}">
      <text>
        <r>
          <rPr>
            <sz val="8"/>
            <color indexed="81"/>
            <rFont val="Tahoma"/>
            <family val="2"/>
          </rPr>
          <t xml:space="preserve">Minimum Width is 180mm.
Maximum Fauxwood Standard Size 
Width is 650mm.
Maximum Fauxwood Designer Eco Width with 
63mm Blades is 900mm.
Maximum Fauxwood Designer Eco Width with 
89mm Blades is 900mm.
Maximum Fauxwood Designer Eco Plus Width with 
63mm Blades is 950mm.
Maximum Fauxwood Designer Eco Plus Width with 
89mm Blades is 950mm.
Maximum Fauxwood Designer Eco Night 
Width is 650mm.
Maximum Luvre Width is 950mm.
Fauxwood Designer Eco &amp; 
Fauxwood Designer Eco Plus Panels 
with a Width larger than 650mm will require 
Aluminium Inserts.
Conditions apply.
</t>
        </r>
        <r>
          <rPr>
            <i/>
            <sz val="8"/>
            <color indexed="81"/>
            <rFont val="Tahoma"/>
            <family val="2"/>
          </rPr>
          <t>Please note: 
Larger Panels may sometimes require lifting in to the frame.</t>
        </r>
      </text>
    </comment>
    <comment ref="D12" authorId="0" shapeId="0" xr:uid="{1E143339-F5B1-4E1C-85CE-85F5235F03CD}">
      <text>
        <r>
          <rPr>
            <sz val="8"/>
            <color indexed="81"/>
            <rFont val="Tahoma"/>
            <family val="2"/>
          </rPr>
          <t>Minimum Height is 350mm.
Maximum Fauxwood Height is 2600mm.</t>
        </r>
      </text>
    </comment>
    <comment ref="E12" authorId="0" shapeId="0" xr:uid="{D2B04062-96EA-414B-BAD8-C17F33B1510F}">
      <text>
        <r>
          <rPr>
            <sz val="8"/>
            <color indexed="81"/>
            <rFont val="Tahoma"/>
            <family val="2"/>
          </rPr>
          <t xml:space="preserve">In - Inside or Reveal Fit
Out - Outside or Face Fit
Alternative Option:
MS - Make Size
Panel Only Option
</t>
        </r>
        <r>
          <rPr>
            <i/>
            <sz val="8"/>
            <color indexed="81"/>
            <rFont val="Tahoma"/>
            <family val="2"/>
          </rPr>
          <t>(Used for specific requirements only)</t>
        </r>
      </text>
    </comment>
    <comment ref="F12" authorId="0" shapeId="0" xr:uid="{20AD8029-8D69-4260-B134-8677255E2F81}">
      <text>
        <r>
          <rPr>
            <sz val="8"/>
            <color indexed="81"/>
            <rFont val="Tahoma"/>
            <family val="2"/>
          </rPr>
          <t>Quantity is the number of Panels 
within the opening. 
If ordering Make Size (MS), 
this will be the number of Panels 
at this size.</t>
        </r>
      </text>
    </comment>
    <comment ref="G12" authorId="0" shapeId="0" xr:uid="{30846598-4624-447F-862B-13C1B9F2FDF7}">
      <text>
        <r>
          <rPr>
            <sz val="8"/>
            <color indexed="81"/>
            <rFont val="Tahoma"/>
            <family val="2"/>
          </rPr>
          <t>Fauxwood Designer Eco will be made with the standard profile 
Bottom Rail,  Mid Rail &amp; Top Rail.
Fauxwood Designer Eco Plus will be made with the 
reinforced curved profile Bottom Rail, Mid Rail &amp; Top Rail.
Fauxwood Designer Eco Night will be made with the 
curved grooved profile Bottom Rail, Mid Rail &amp; Top Rail.
Luvre will be made with the reinforced
curved profile Bottom Rail, Mid Rail &amp; Top Rail.
Fauxwood Designer Eco Plus, Fauxwood Designer Eco Night &amp; Luvre 
Surcharge applies.</t>
        </r>
      </text>
    </comment>
    <comment ref="H12" authorId="0" shapeId="0" xr:uid="{6FFC4F34-6D20-4BFC-8380-004B943487F3}">
      <text>
        <r>
          <rPr>
            <sz val="8"/>
            <color indexed="81"/>
            <rFont val="Tahoma"/>
            <family val="2"/>
          </rPr>
          <t xml:space="preserve">Fauxwood Designer Colours options available;
Standard Colours;
Bright White
Classic White
Snow White
Super White
Vanilla
Specialty Colours;
Ceylon
Earl Grey
French White
Infinite White
Polar White
Quiet White
Snow Gum Grey
Snowy Mountains White
</t>
        </r>
        <r>
          <rPr>
            <i/>
            <sz val="8"/>
            <color indexed="81"/>
            <rFont val="Tahoma"/>
            <family val="2"/>
          </rPr>
          <t>Specialty Colours Surcharge applies.</t>
        </r>
        <r>
          <rPr>
            <sz val="8"/>
            <color indexed="81"/>
            <rFont val="Tahoma"/>
            <family val="2"/>
          </rPr>
          <t xml:space="preserve">
Luvre with Therme &amp; Scratch Resistant Paint 
Colours options available;
Snow White
Super White
</t>
        </r>
      </text>
    </comment>
    <comment ref="J12" authorId="0" shapeId="0" xr:uid="{93EF138E-9D92-45D2-857D-34F47B7C6FF4}">
      <text>
        <r>
          <rPr>
            <sz val="8"/>
            <color indexed="81"/>
            <rFont val="Tahoma"/>
            <family val="2"/>
          </rPr>
          <t>Fauxwood Designer Eco &amp; 
Fauxwood Designer Eco Plus 
Blade sizes options are;
63mm
89mm
Fauxwood Designer Eco Night  
Blade sizes options are;
92mm
Luvre Blade sizes options are;
89mm
114mm</t>
        </r>
      </text>
    </comment>
    <comment ref="K12" authorId="0" shapeId="0" xr:uid="{57C870FD-DEEF-4BA7-AD12-D35D488DEC23}">
      <text>
        <r>
          <rPr>
            <sz val="8"/>
            <color indexed="81"/>
            <rFont val="Tahoma"/>
            <family val="2"/>
          </rPr>
          <t>Mid Rail is required on Fauxwood Panels over 1500mm.
Cell will highlight yellow when Mid Rail is required.
Only one Critical Mid Rail is allowed.
A Mid Rail that is not marked "Critical" may be moved up or down 
up to 40mm to stop any gaps and increase/decrease the blade quantity.
Fauxwood Designer Eco will be made with the standard profile 
Bottom Rail,  Mid Rail &amp; Top Rail.
Fauxwood Designer Eco Plus will be made with the 
reinforced curved profile Bottom Rail, Mid Rail &amp; Top Rail.
Fauxwood Designer Eco Night will be made with the 
curved grooved profile Bottom Rail, Mid Rail &amp; Top Rail.
Luvre will be made with the reinforced
curved profile Bottom Rail, Mid Rail &amp; Top Rail.
Fauxwood Designer Eco Plus, Fauxwood Designer Eco Night &amp; Luvre Surcharge applies.</t>
        </r>
      </text>
    </comment>
    <comment ref="L12" authorId="0" shapeId="0" xr:uid="{9E593D3D-F127-43A2-BE53-96B5BD9A6664}">
      <text>
        <r>
          <rPr>
            <sz val="8"/>
            <color indexed="81"/>
            <rFont val="Tahoma"/>
            <family val="2"/>
          </rPr>
          <t xml:space="preserve">The Fauxwood Designer Eco, 
Fauxwood Designer Eco Plus 
&amp; Luvre Window Type options are;
Standard
Bay Window
Corner Window
Door Cut Out
Shaped Arch
Shaped Hexagon
Shaped Octagon
Shaped Oval
Shaped Parallelogram
Shaped Raked
Shaped Round
Shaped Sunburst
Shaped Triangle
These Shapes are not available
with the Rack &amp; Pinion Tiltrod;
Shaped Arch
Shaped Hexagon
Shaped Octagon
Shaped Oval
Shaped Round
Shaped Sunburst
The Fauxwood Designer Eco Night Window Type 
options are;
Standard
Bay Window
Corner Window
</t>
        </r>
        <r>
          <rPr>
            <i/>
            <sz val="8"/>
            <color indexed="81"/>
            <rFont val="Tahoma"/>
            <family val="2"/>
          </rPr>
          <t xml:space="preserve">
</t>
        </r>
        <r>
          <rPr>
            <sz val="8"/>
            <color indexed="81"/>
            <rFont val="Tahoma"/>
            <family val="2"/>
          </rPr>
          <t>Shaped Shutters will need the Panel Layout to be 
compatible with the Hidden Tiltrod system.</t>
        </r>
      </text>
    </comment>
    <comment ref="M12" authorId="0" shapeId="0" xr:uid="{D5BCA1F9-F12B-4E9F-BEEF-4087ABC78A21}">
      <text>
        <r>
          <rPr>
            <sz val="8"/>
            <color indexed="81"/>
            <rFont val="Tahoma"/>
            <family val="2"/>
          </rPr>
          <t>Mounting Method is dependent 
on  MS, In Or Out &amp; Product.
For IN &amp; Fauxwood Designer Eco,  
Fauxwood Designer Eco Plus 
&amp; Luvre the options are;
Double Hinged
Fixed
Hinged
Pivot Hinged
Sliding
Track Bi Fold
For OUT &amp; Fauxwood Designer Eco,  
Fauxwood Designer Eco Plus 
&amp; Luvre the options are;
Double Hinged
Hinged
Pivot Hinged
Sliding
Track Bi Fold
For IN &amp; Fauxwood Designer Eco Night 
the options are;
Fixed
Hinged
For OUT &amp; Fauxwood Designer Eco Night 
the options are;
Fixed
Hinged
For MS, the options are;
N/A
Pivot Hinged is not recommended for 
Designer Eco Plus or Luvre.</t>
        </r>
      </text>
    </comment>
    <comment ref="N12" authorId="0" shapeId="0" xr:uid="{DF1793A3-7147-474E-885C-13C337B7C480}">
      <text>
        <r>
          <rPr>
            <sz val="8"/>
            <color indexed="81"/>
            <rFont val="Tahoma"/>
            <family val="2"/>
          </rPr>
          <t>For Sliding Track System options are;
Top Hung (Original System)
Bottom Wheel (New System)
The Top Hung (Original System) uses 
Top Wheels Mounting.
The Bottom Wheel (New System) uses a 
U Channel at the Top and 
Wheels at the Bottom.
This option cannot have a Floor Guide or 
Track On Board.</t>
        </r>
      </text>
    </comment>
    <comment ref="O12" authorId="0" shapeId="0" xr:uid="{F8F01A43-EF4D-4402-B228-58265B1253DD}">
      <text>
        <r>
          <rPr>
            <sz val="8"/>
            <color indexed="81"/>
            <rFont val="Tahoma"/>
            <family val="2"/>
          </rPr>
          <t>Please refer to the Shutter Manual 
when selecting Layout Code.
The list provides the most common options, 
which are dependent on Mounting Method.
More complex Layout Codes can still be entered manually.</t>
        </r>
      </text>
    </comment>
    <comment ref="P12" authorId="0" shapeId="0" xr:uid="{0F7EE4DD-7874-4540-ABD7-25963919CA78}">
      <text>
        <r>
          <rPr>
            <sz val="8"/>
            <color indexed="81"/>
            <rFont val="Tahoma"/>
            <family val="2"/>
          </rPr>
          <t>Frame Type is dependent on
 Mounting Method.
If a Flat (unbeaded) Small L Frame 
is selected, a matching Stile &amp; T Post can be 
ordered in the Stile &amp; T Post column.</t>
        </r>
      </text>
    </comment>
    <comment ref="V12" authorId="0" shapeId="0" xr:uid="{0B8D8254-012D-4ADD-9CC8-36ACBBD15F33}">
      <text>
        <r>
          <rPr>
            <sz val="8"/>
            <color indexed="81"/>
            <rFont val="Tahoma"/>
            <family val="2"/>
          </rPr>
          <t>This option is dependent on the 
Material &amp; Product 
and will only be available once this 
option is selected.
For Fauxwood Designer Eco
&amp; Fauxwood Designer Eco Plus 
the options are;
Hidden
Centre
Off-Set
Rack &amp; Pinion
These Shapes are not available
with the Rack &amp; Pinion Tiltrod;
Shaped Arch
Shaped Hexagon
Shaped Octagon
Shaped Oval
Shaped Round
Shaped Sunburst
For Fauxwood Designer Eco Night
the options are;
Hidden
For Luvre the options are;
Hidden</t>
        </r>
      </text>
    </comment>
    <comment ref="W12" authorId="0" shapeId="0" xr:uid="{80843C35-6961-43A8-ADE8-2E3EE6E8CF01}">
      <text>
        <r>
          <rPr>
            <sz val="8"/>
            <color indexed="81"/>
            <rFont val="Tahoma"/>
            <family val="2"/>
          </rPr>
          <t xml:space="preserve">If no Hinge Colour is selected, 
then the default Hinge Colour and hardware 
will be supplied. 
The Hinge Colour options are;
Default
Stainless Steel
N/A
When Default is selected, the Hinge will be supplied 
as per the matching Hinge Colour list below;
Shutter Colour - </t>
        </r>
        <r>
          <rPr>
            <i/>
            <sz val="8"/>
            <color indexed="81"/>
            <rFont val="Tahoma"/>
            <family val="2"/>
          </rPr>
          <t>Hinge Colour</t>
        </r>
        <r>
          <rPr>
            <sz val="8"/>
            <color indexed="81"/>
            <rFont val="Tahoma"/>
            <family val="2"/>
          </rPr>
          <t xml:space="preserve">
   Bright White - </t>
        </r>
        <r>
          <rPr>
            <i/>
            <sz val="8"/>
            <color indexed="81"/>
            <rFont val="Tahoma"/>
            <family val="2"/>
          </rPr>
          <t>Bright White</t>
        </r>
        <r>
          <rPr>
            <sz val="8"/>
            <color indexed="81"/>
            <rFont val="Tahoma"/>
            <family val="2"/>
          </rPr>
          <t xml:space="preserve">
Classic White - </t>
        </r>
        <r>
          <rPr>
            <i/>
            <sz val="8"/>
            <color indexed="81"/>
            <rFont val="Tahoma"/>
            <family val="2"/>
          </rPr>
          <t>White</t>
        </r>
        <r>
          <rPr>
            <sz val="8"/>
            <color indexed="81"/>
            <rFont val="Tahoma"/>
            <family val="2"/>
          </rPr>
          <t xml:space="preserve">
Snow White - </t>
        </r>
        <r>
          <rPr>
            <i/>
            <sz val="8"/>
            <color indexed="81"/>
            <rFont val="Tahoma"/>
            <family val="2"/>
          </rPr>
          <t>Snow White</t>
        </r>
        <r>
          <rPr>
            <sz val="8"/>
            <color indexed="81"/>
            <rFont val="Tahoma"/>
            <family val="2"/>
          </rPr>
          <t xml:space="preserve">
Super White - </t>
        </r>
        <r>
          <rPr>
            <i/>
            <sz val="8"/>
            <color indexed="81"/>
            <rFont val="Tahoma"/>
            <family val="2"/>
          </rPr>
          <t>Snow White</t>
        </r>
        <r>
          <rPr>
            <sz val="8"/>
            <color indexed="81"/>
            <rFont val="Tahoma"/>
            <family val="2"/>
          </rPr>
          <t xml:space="preserve">
Vanilla - </t>
        </r>
        <r>
          <rPr>
            <i/>
            <sz val="8"/>
            <color indexed="81"/>
            <rFont val="Tahoma"/>
            <family val="2"/>
          </rPr>
          <t xml:space="preserve">Ivory
</t>
        </r>
        <r>
          <rPr>
            <sz val="8"/>
            <color indexed="81"/>
            <rFont val="Tahoma"/>
            <family val="2"/>
          </rPr>
          <t xml:space="preserve">Ceylon - </t>
        </r>
        <r>
          <rPr>
            <i/>
            <sz val="8"/>
            <color indexed="81"/>
            <rFont val="Tahoma"/>
            <family val="2"/>
          </rPr>
          <t>Ceylon</t>
        </r>
        <r>
          <rPr>
            <sz val="8"/>
            <color indexed="81"/>
            <rFont val="Tahoma"/>
            <family val="2"/>
          </rPr>
          <t xml:space="preserve">
Earl Grey - </t>
        </r>
        <r>
          <rPr>
            <i/>
            <sz val="8"/>
            <color indexed="81"/>
            <rFont val="Tahoma"/>
            <family val="2"/>
          </rPr>
          <t>Earl Grey</t>
        </r>
        <r>
          <rPr>
            <sz val="8"/>
            <color indexed="81"/>
            <rFont val="Tahoma"/>
            <family val="2"/>
          </rPr>
          <t xml:space="preserve">
French White - </t>
        </r>
        <r>
          <rPr>
            <i/>
            <sz val="8"/>
            <color indexed="81"/>
            <rFont val="Tahoma"/>
            <family val="2"/>
          </rPr>
          <t>French White</t>
        </r>
        <r>
          <rPr>
            <sz val="8"/>
            <color indexed="81"/>
            <rFont val="Tahoma"/>
            <family val="2"/>
          </rPr>
          <t xml:space="preserve">
Infinite White -</t>
        </r>
        <r>
          <rPr>
            <i/>
            <sz val="8"/>
            <color indexed="81"/>
            <rFont val="Tahoma"/>
            <family val="2"/>
          </rPr>
          <t xml:space="preserve"> Infinite White</t>
        </r>
        <r>
          <rPr>
            <sz val="8"/>
            <color indexed="81"/>
            <rFont val="Tahoma"/>
            <family val="2"/>
          </rPr>
          <t xml:space="preserve">
Polar White - </t>
        </r>
        <r>
          <rPr>
            <i/>
            <sz val="8"/>
            <color indexed="81"/>
            <rFont val="Tahoma"/>
            <family val="2"/>
          </rPr>
          <t>Polar White</t>
        </r>
        <r>
          <rPr>
            <sz val="8"/>
            <color indexed="81"/>
            <rFont val="Tahoma"/>
            <family val="2"/>
          </rPr>
          <t xml:space="preserve">
Quiet White - </t>
        </r>
        <r>
          <rPr>
            <i/>
            <sz val="8"/>
            <color indexed="81"/>
            <rFont val="Tahoma"/>
            <family val="2"/>
          </rPr>
          <t>Quiet White</t>
        </r>
        <r>
          <rPr>
            <sz val="8"/>
            <color indexed="81"/>
            <rFont val="Tahoma"/>
            <family val="2"/>
          </rPr>
          <t xml:space="preserve">
Snow Gum Grey - </t>
        </r>
        <r>
          <rPr>
            <i/>
            <sz val="8"/>
            <color indexed="81"/>
            <rFont val="Tahoma"/>
            <family val="2"/>
          </rPr>
          <t>Snow Gum Grey</t>
        </r>
        <r>
          <rPr>
            <sz val="8"/>
            <color indexed="81"/>
            <rFont val="Tahoma"/>
            <family val="2"/>
          </rPr>
          <t xml:space="preserve">
Snowy Mountains White - </t>
        </r>
        <r>
          <rPr>
            <i/>
            <sz val="8"/>
            <color indexed="81"/>
            <rFont val="Tahoma"/>
            <family val="2"/>
          </rPr>
          <t>Snowy Mountains White</t>
        </r>
        <r>
          <rPr>
            <sz val="8"/>
            <color indexed="81"/>
            <rFont val="Tahoma"/>
            <family val="2"/>
          </rPr>
          <t xml:space="preserve">
For standard Shutters in Fauxwood Designer Eco 
Standard 77mm Hinges will be used.
For standard Shutters in Fauxwood Designer Eco Plus, 
Fauxwood Designer Eco Night &amp; Luvre
Standard 90mm Hinges will be used.
The Pivot Hinged Colour options are;
White
Stainless Steel
Please refer to the Shutter Manual. 
</t>
        </r>
        <r>
          <rPr>
            <i/>
            <sz val="8"/>
            <color indexed="81"/>
            <rFont val="Tahoma"/>
            <family val="2"/>
          </rPr>
          <t>Stainless Steel Surcharge applies.</t>
        </r>
      </text>
    </comment>
    <comment ref="X12" authorId="0" shapeId="0" xr:uid="{58E2E412-13AE-4C11-B405-7A5C6A4D8B26}">
      <text>
        <r>
          <rPr>
            <sz val="8"/>
            <color indexed="81"/>
            <rFont val="Tahoma"/>
            <family val="2"/>
          </rPr>
          <t>Please Note: 
If Closed option is chosen then the blades 
can be damaged if they are left open 
when Sliding the Panel.
Open is not an option for 3 Tracks.</t>
        </r>
      </text>
    </comment>
    <comment ref="Y12" authorId="0" shapeId="0" xr:uid="{D5651046-DFA7-4817-BCEF-EDF5866BCA87}">
      <text>
        <r>
          <rPr>
            <sz val="8"/>
            <color indexed="81"/>
            <rFont val="Tahoma"/>
            <family val="2"/>
          </rPr>
          <t>If any T Posts are required then the measurements 
must be supplied under the next columns.
Measurements should be made from the left.
A Flat (Unbeaded) T Post can be ordered to match 
the Flat Stile Shutter in the Stile &amp; T Post column.</t>
        </r>
      </text>
    </comment>
    <comment ref="AC12" authorId="0" shapeId="0" xr:uid="{F8E10A8F-8076-4673-A646-EEFFD94D13F6}">
      <text>
        <r>
          <rPr>
            <sz val="8"/>
            <color indexed="81"/>
            <rFont val="Tahoma"/>
            <family val="2"/>
          </rPr>
          <t>The Stile &amp; T Post 
options are;
Default (Beaded)
Flat Stile &amp; T Post
A Flat (unbeaded) Small L Frame can be ordered 
under the Frame Type.</t>
        </r>
      </text>
    </comment>
    <comment ref="AD12" authorId="0" shapeId="0" xr:uid="{4C80DAE4-7CD9-400A-B146-CC44EB5F17F6}">
      <text>
        <r>
          <rPr>
            <sz val="8"/>
            <color indexed="81"/>
            <rFont val="Tahoma"/>
            <family val="2"/>
          </rPr>
          <t xml:space="preserve">The Designer Eco,  
Designer Eco Plus &amp; Luvre
Fluffy Strip options are;
No
Yes
Fluffy Strip is supplied with the Fauxwood Designer Eco Night Shutter.
</t>
        </r>
        <r>
          <rPr>
            <i/>
            <sz val="8"/>
            <color indexed="81"/>
            <rFont val="Tahoma"/>
            <family val="2"/>
          </rPr>
          <t>Fluffy Strip Surcharge applies.</t>
        </r>
      </text>
    </comment>
    <comment ref="C13" authorId="0" shapeId="0" xr:uid="{830CBE3E-7876-48F5-918B-B2AA3353BACE}">
      <text>
        <r>
          <rPr>
            <sz val="8"/>
            <color indexed="81"/>
            <rFont val="Tahoma"/>
            <family val="2"/>
          </rPr>
          <t xml:space="preserve">Minimum Width is 180mm.
Maximum Fauxwood Standard Size 
Width is 650mm.
Maximum Fauxwood Designer Eco Width with 
63mm Blades is 900mm.
Maximum Fauxwood Designer Eco Width with 
89mm Blades is 900mm.
Maximum Fauxwood Designer Eco Plus Width with 
63mm Blades is 950mm.
Maximum Fauxwood Designer Eco Plus Width with 
89mm Blades is 950mm.
Maximum Fauxwood Designer Eco Night 
Width is 650mm.
Maximum Luvre Width is 950mm.
Fauxwood Designer Eco &amp; 
Fauxwood Designer Eco Plus Panels 
with a Width larger than 650mm will require 
Aluminium Inserts.
Conditions apply.
</t>
        </r>
        <r>
          <rPr>
            <i/>
            <sz val="8"/>
            <color indexed="81"/>
            <rFont val="Tahoma"/>
            <family val="2"/>
          </rPr>
          <t>Please note: 
Larger Panels may sometimes require lifting in to the frame.</t>
        </r>
      </text>
    </comment>
    <comment ref="D13" authorId="0" shapeId="0" xr:uid="{03BB12CB-3157-4AAC-9664-5B0BEC9D1E30}">
      <text>
        <r>
          <rPr>
            <sz val="8"/>
            <color indexed="81"/>
            <rFont val="Tahoma"/>
            <family val="2"/>
          </rPr>
          <t>Minimum Height is 350mm.
Maximum Fauxwood Height is 2600mm.</t>
        </r>
      </text>
    </comment>
    <comment ref="E13" authorId="0" shapeId="0" xr:uid="{738E2F77-FE78-4C73-82B1-8B4B42C43BE0}">
      <text>
        <r>
          <rPr>
            <sz val="8"/>
            <color indexed="81"/>
            <rFont val="Tahoma"/>
            <family val="2"/>
          </rPr>
          <t xml:space="preserve">In - Inside or Reveal Fit
Out - Outside or Face Fit
Alternative Option:
MS - Make Size
Panel Only Option
</t>
        </r>
        <r>
          <rPr>
            <i/>
            <sz val="8"/>
            <color indexed="81"/>
            <rFont val="Tahoma"/>
            <family val="2"/>
          </rPr>
          <t>(Used for specific requirements only)</t>
        </r>
      </text>
    </comment>
    <comment ref="F13" authorId="0" shapeId="0" xr:uid="{A58CF981-0D5E-40E3-933F-0995E363B51B}">
      <text>
        <r>
          <rPr>
            <sz val="8"/>
            <color indexed="81"/>
            <rFont val="Tahoma"/>
            <family val="2"/>
          </rPr>
          <t>Quantity is the number of Panels 
within the opening. 
If ordering Make Size (MS), 
this will be the number of Panels 
at this size.</t>
        </r>
      </text>
    </comment>
    <comment ref="G13" authorId="0" shapeId="0" xr:uid="{F370713E-1573-417B-8756-615F3634CB37}">
      <text>
        <r>
          <rPr>
            <sz val="8"/>
            <color indexed="81"/>
            <rFont val="Tahoma"/>
            <family val="2"/>
          </rPr>
          <t>Fauxwood Designer Eco will be made with the standard profile 
Bottom Rail,  Mid Rail &amp; Top Rail.
Fauxwood Designer Eco Plus will be made with the 
reinforced curved profile Bottom Rail, Mid Rail &amp; Top Rail.
Fauxwood Designer Eco Night will be made with the 
curved grooved profile Bottom Rail, Mid Rail &amp; Top Rail.
Luvre will be made with the reinforced
curved profile Bottom Rail, Mid Rail &amp; Top Rail.
Fauxwood Designer Eco Plus, Fauxwood Designer Eco Night &amp; Luvre 
Surcharge applies.</t>
        </r>
      </text>
    </comment>
    <comment ref="H13" authorId="0" shapeId="0" xr:uid="{C41B43FF-F3EB-4AAD-809C-D94AD0F6049C}">
      <text>
        <r>
          <rPr>
            <sz val="8"/>
            <color indexed="81"/>
            <rFont val="Tahoma"/>
            <family val="2"/>
          </rPr>
          <t xml:space="preserve">Fauxwood Designer Colours options available;
Standard Colours;
Bright White
Classic White
Snow White
Super White
Vanilla
Specialty Colours;
Ceylon
Earl Grey
French White
Infinite White
Polar White
Quiet White
Snow Gum Grey
Snowy Mountains White
</t>
        </r>
        <r>
          <rPr>
            <i/>
            <sz val="8"/>
            <color indexed="81"/>
            <rFont val="Tahoma"/>
            <family val="2"/>
          </rPr>
          <t>Specialty Colours Surcharge applies.</t>
        </r>
        <r>
          <rPr>
            <sz val="8"/>
            <color indexed="81"/>
            <rFont val="Tahoma"/>
            <family val="2"/>
          </rPr>
          <t xml:space="preserve">
Luvre with Therme &amp; Scratch Resistant Paint 
Colours options available;
Snow White
Super White
</t>
        </r>
      </text>
    </comment>
    <comment ref="J13" authorId="0" shapeId="0" xr:uid="{9C0A41E8-0110-4EED-9CF4-701F4B0F4F1C}">
      <text>
        <r>
          <rPr>
            <sz val="8"/>
            <color indexed="81"/>
            <rFont val="Tahoma"/>
            <family val="2"/>
          </rPr>
          <t>Fauxwood Designer Eco &amp; 
Fauxwood Designer Eco Plus 
Blade sizes options are;
63mm
89mm
Fauxwood Designer Eco Night  
Blade sizes options are;
92mm
Luvre Blade sizes options are;
89mm
114mm</t>
        </r>
      </text>
    </comment>
    <comment ref="K13" authorId="0" shapeId="0" xr:uid="{9588DDA8-8B69-4509-90FF-57977DA0A411}">
      <text>
        <r>
          <rPr>
            <sz val="8"/>
            <color indexed="81"/>
            <rFont val="Tahoma"/>
            <family val="2"/>
          </rPr>
          <t>Mid Rail is required on Fauxwood Panels over 1500mm.
Cell will highlight yellow when Mid Rail is required.
Only one Critical Mid Rail is allowed.
A Mid Rail that is not marked "Critical" may be moved up or down 
up to 40mm to stop any gaps and increase/decrease the blade quantity.
Fauxwood Designer Eco will be made with the standard profile 
Bottom Rail,  Mid Rail &amp; Top Rail.
Fauxwood Designer Eco Plus will be made with the 
reinforced curved profile Bottom Rail, Mid Rail &amp; Top Rail.
Fauxwood Designer Eco Night will be made with the 
curved grooved profile Bottom Rail, Mid Rail &amp; Top Rail.
Luvre will be made with the reinforced
curved profile Bottom Rail, Mid Rail &amp; Top Rail.
Fauxwood Designer Eco Plus, Fauxwood Designer Eco Night &amp; Luvre Surcharge applies.</t>
        </r>
      </text>
    </comment>
    <comment ref="L13" authorId="0" shapeId="0" xr:uid="{FBEA2476-75DC-4EBC-A4D6-C56CAD738F6A}">
      <text>
        <r>
          <rPr>
            <sz val="8"/>
            <color indexed="81"/>
            <rFont val="Tahoma"/>
            <family val="2"/>
          </rPr>
          <t xml:space="preserve">The Fauxwood Designer Eco, 
Fauxwood Designer Eco Plus 
&amp; Luvre Window Type options are;
Standard
Bay Window
Corner Window
Door Cut Out
Shaped Arch
Shaped Hexagon
Shaped Octagon
Shaped Oval
Shaped Parallelogram
Shaped Raked
Shaped Round
Shaped Sunburst
Shaped Triangle
These Shapes are not available
with the Rack &amp; Pinion Tiltrod;
Shaped Arch
Shaped Hexagon
Shaped Octagon
Shaped Oval
Shaped Round
Shaped Sunburst
The Fauxwood Designer Eco Night Window Type 
options are;
Standard
Bay Window
Corner Window
</t>
        </r>
        <r>
          <rPr>
            <i/>
            <sz val="8"/>
            <color indexed="81"/>
            <rFont val="Tahoma"/>
            <family val="2"/>
          </rPr>
          <t xml:space="preserve">
</t>
        </r>
        <r>
          <rPr>
            <sz val="8"/>
            <color indexed="81"/>
            <rFont val="Tahoma"/>
            <family val="2"/>
          </rPr>
          <t>Shaped Shutters will need the Panel Layout to be 
compatible with the Hidden Tiltrod system.</t>
        </r>
      </text>
    </comment>
    <comment ref="M13" authorId="0" shapeId="0" xr:uid="{133402E0-709D-4ADA-BE2F-F6B4481F2B74}">
      <text>
        <r>
          <rPr>
            <sz val="8"/>
            <color indexed="81"/>
            <rFont val="Tahoma"/>
            <family val="2"/>
          </rPr>
          <t>Mounting Method is dependent 
on  MS, In Or Out &amp; Product.
For IN &amp; Fauxwood Designer Eco,  
Fauxwood Designer Eco Plus 
&amp; Luvre the options are;
Double Hinged
Fixed
Hinged
Pivot Hinged
Sliding
Track Bi Fold
For OUT &amp; Fauxwood Designer Eco,  
Fauxwood Designer Eco Plus 
&amp; Luvre the options are;
Double Hinged
Hinged
Pivot Hinged
Sliding
Track Bi Fold
For IN &amp; Fauxwood Designer Eco Night 
the options are;
Fixed
Hinged
For OUT &amp; Fauxwood Designer Eco Night 
the options are;
Fixed
Hinged
For MS, the options are;
N/A
Pivot Hinged is not recommended for 
Designer Eco Plus or Luvre.</t>
        </r>
      </text>
    </comment>
    <comment ref="N13" authorId="0" shapeId="0" xr:uid="{75270A5B-EBDB-4C44-8C8F-778ADF2F276D}">
      <text>
        <r>
          <rPr>
            <sz val="8"/>
            <color indexed="81"/>
            <rFont val="Tahoma"/>
            <family val="2"/>
          </rPr>
          <t>For Sliding Track System options are;
Top Hung (Original System)
Bottom Wheel (New System)
The Top Hung (Original System) uses 
Top Wheels Mounting.
The Bottom Wheel (New System) uses a 
U Channel at the Top and 
Wheels at the Bottom.
This option cannot have a Floor Guide or 
Track On Board.</t>
        </r>
      </text>
    </comment>
    <comment ref="O13" authorId="0" shapeId="0" xr:uid="{845A3EB8-B40D-493C-94E7-7B5105D5DF24}">
      <text>
        <r>
          <rPr>
            <sz val="8"/>
            <color indexed="81"/>
            <rFont val="Tahoma"/>
            <family val="2"/>
          </rPr>
          <t>Please refer to the Shutter Manual 
when selecting Layout Code.
The list provides the most common options, 
which are dependent on Mounting Method.
More complex Layout Codes can still be entered manually.</t>
        </r>
      </text>
    </comment>
    <comment ref="P13" authorId="0" shapeId="0" xr:uid="{90044AF1-57AB-43AF-A31C-874089D2FDC4}">
      <text>
        <r>
          <rPr>
            <sz val="8"/>
            <color indexed="81"/>
            <rFont val="Tahoma"/>
            <family val="2"/>
          </rPr>
          <t>Frame Type is dependent on
 Mounting Method.
If a Flat (unbeaded) Small L Frame 
is selected, a matching Stile &amp; T Post can be 
ordered in the Stile &amp; T Post column.</t>
        </r>
      </text>
    </comment>
    <comment ref="V13" authorId="0" shapeId="0" xr:uid="{1D6E6C6E-C9A8-4B84-B9E9-C39AF4764B2A}">
      <text>
        <r>
          <rPr>
            <sz val="8"/>
            <color indexed="81"/>
            <rFont val="Tahoma"/>
            <family val="2"/>
          </rPr>
          <t>This option is dependent on the 
Material &amp; Product 
and will only be available once this 
option is selected.
For Fauxwood Designer Eco
&amp; Fauxwood Designer Eco Plus 
the options are;
Hidden
Centre
Off-Set
Rack &amp; Pinion
These Shapes are not available
with the Rack &amp; Pinion Tiltrod;
Shaped Arch
Shaped Hexagon
Shaped Octagon
Shaped Oval
Shaped Round
Shaped Sunburst
For Fauxwood Designer Eco Night
the options are;
Hidden
For Luvre the options are;
Hidden</t>
        </r>
      </text>
    </comment>
    <comment ref="W13" authorId="0" shapeId="0" xr:uid="{2B8135F0-C95A-48A9-9148-900E88ACD2A6}">
      <text>
        <r>
          <rPr>
            <sz val="8"/>
            <color indexed="81"/>
            <rFont val="Tahoma"/>
            <family val="2"/>
          </rPr>
          <t xml:space="preserve">If no Hinge Colour is selected, 
then the default Hinge Colour and hardware 
will be supplied. 
The Hinge Colour options are;
Default
Stainless Steel
N/A
When Default is selected, the Hinge will be supplied 
as per the matching Hinge Colour list below;
Shutter Colour - </t>
        </r>
        <r>
          <rPr>
            <i/>
            <sz val="8"/>
            <color indexed="81"/>
            <rFont val="Tahoma"/>
            <family val="2"/>
          </rPr>
          <t>Hinge Colour</t>
        </r>
        <r>
          <rPr>
            <sz val="8"/>
            <color indexed="81"/>
            <rFont val="Tahoma"/>
            <family val="2"/>
          </rPr>
          <t xml:space="preserve">
   Bright White - </t>
        </r>
        <r>
          <rPr>
            <i/>
            <sz val="8"/>
            <color indexed="81"/>
            <rFont val="Tahoma"/>
            <family val="2"/>
          </rPr>
          <t>Bright White</t>
        </r>
        <r>
          <rPr>
            <sz val="8"/>
            <color indexed="81"/>
            <rFont val="Tahoma"/>
            <family val="2"/>
          </rPr>
          <t xml:space="preserve">
Classic White - </t>
        </r>
        <r>
          <rPr>
            <i/>
            <sz val="8"/>
            <color indexed="81"/>
            <rFont val="Tahoma"/>
            <family val="2"/>
          </rPr>
          <t>White</t>
        </r>
        <r>
          <rPr>
            <sz val="8"/>
            <color indexed="81"/>
            <rFont val="Tahoma"/>
            <family val="2"/>
          </rPr>
          <t xml:space="preserve">
Snow White - </t>
        </r>
        <r>
          <rPr>
            <i/>
            <sz val="8"/>
            <color indexed="81"/>
            <rFont val="Tahoma"/>
            <family val="2"/>
          </rPr>
          <t>Snow White</t>
        </r>
        <r>
          <rPr>
            <sz val="8"/>
            <color indexed="81"/>
            <rFont val="Tahoma"/>
            <family val="2"/>
          </rPr>
          <t xml:space="preserve">
Super White - </t>
        </r>
        <r>
          <rPr>
            <i/>
            <sz val="8"/>
            <color indexed="81"/>
            <rFont val="Tahoma"/>
            <family val="2"/>
          </rPr>
          <t>Snow White</t>
        </r>
        <r>
          <rPr>
            <sz val="8"/>
            <color indexed="81"/>
            <rFont val="Tahoma"/>
            <family val="2"/>
          </rPr>
          <t xml:space="preserve">
Vanilla - </t>
        </r>
        <r>
          <rPr>
            <i/>
            <sz val="8"/>
            <color indexed="81"/>
            <rFont val="Tahoma"/>
            <family val="2"/>
          </rPr>
          <t xml:space="preserve">Ivory
</t>
        </r>
        <r>
          <rPr>
            <sz val="8"/>
            <color indexed="81"/>
            <rFont val="Tahoma"/>
            <family val="2"/>
          </rPr>
          <t xml:space="preserve">Ceylon - </t>
        </r>
        <r>
          <rPr>
            <i/>
            <sz val="8"/>
            <color indexed="81"/>
            <rFont val="Tahoma"/>
            <family val="2"/>
          </rPr>
          <t>Ceylon</t>
        </r>
        <r>
          <rPr>
            <sz val="8"/>
            <color indexed="81"/>
            <rFont val="Tahoma"/>
            <family val="2"/>
          </rPr>
          <t xml:space="preserve">
Earl Grey - </t>
        </r>
        <r>
          <rPr>
            <i/>
            <sz val="8"/>
            <color indexed="81"/>
            <rFont val="Tahoma"/>
            <family val="2"/>
          </rPr>
          <t>Earl Grey</t>
        </r>
        <r>
          <rPr>
            <sz val="8"/>
            <color indexed="81"/>
            <rFont val="Tahoma"/>
            <family val="2"/>
          </rPr>
          <t xml:space="preserve">
French White - </t>
        </r>
        <r>
          <rPr>
            <i/>
            <sz val="8"/>
            <color indexed="81"/>
            <rFont val="Tahoma"/>
            <family val="2"/>
          </rPr>
          <t>French White</t>
        </r>
        <r>
          <rPr>
            <sz val="8"/>
            <color indexed="81"/>
            <rFont val="Tahoma"/>
            <family val="2"/>
          </rPr>
          <t xml:space="preserve">
Infinite White -</t>
        </r>
        <r>
          <rPr>
            <i/>
            <sz val="8"/>
            <color indexed="81"/>
            <rFont val="Tahoma"/>
            <family val="2"/>
          </rPr>
          <t xml:space="preserve"> Infinite White</t>
        </r>
        <r>
          <rPr>
            <sz val="8"/>
            <color indexed="81"/>
            <rFont val="Tahoma"/>
            <family val="2"/>
          </rPr>
          <t xml:space="preserve">
Polar White - </t>
        </r>
        <r>
          <rPr>
            <i/>
            <sz val="8"/>
            <color indexed="81"/>
            <rFont val="Tahoma"/>
            <family val="2"/>
          </rPr>
          <t>Polar White</t>
        </r>
        <r>
          <rPr>
            <sz val="8"/>
            <color indexed="81"/>
            <rFont val="Tahoma"/>
            <family val="2"/>
          </rPr>
          <t xml:space="preserve">
Quiet White - </t>
        </r>
        <r>
          <rPr>
            <i/>
            <sz val="8"/>
            <color indexed="81"/>
            <rFont val="Tahoma"/>
            <family val="2"/>
          </rPr>
          <t>Quiet White</t>
        </r>
        <r>
          <rPr>
            <sz val="8"/>
            <color indexed="81"/>
            <rFont val="Tahoma"/>
            <family val="2"/>
          </rPr>
          <t xml:space="preserve">
Snow Gum Grey - </t>
        </r>
        <r>
          <rPr>
            <i/>
            <sz val="8"/>
            <color indexed="81"/>
            <rFont val="Tahoma"/>
            <family val="2"/>
          </rPr>
          <t>Snow Gum Grey</t>
        </r>
        <r>
          <rPr>
            <sz val="8"/>
            <color indexed="81"/>
            <rFont val="Tahoma"/>
            <family val="2"/>
          </rPr>
          <t xml:space="preserve">
Snowy Mountains White - </t>
        </r>
        <r>
          <rPr>
            <i/>
            <sz val="8"/>
            <color indexed="81"/>
            <rFont val="Tahoma"/>
            <family val="2"/>
          </rPr>
          <t>Snowy Mountains White</t>
        </r>
        <r>
          <rPr>
            <sz val="8"/>
            <color indexed="81"/>
            <rFont val="Tahoma"/>
            <family val="2"/>
          </rPr>
          <t xml:space="preserve">
For standard Shutters in Fauxwood Designer Eco 
Standard 77mm Hinges will be used.
For standard Shutters in Fauxwood Designer Eco Plus, 
Fauxwood Designer Eco Night &amp; Luvre
Standard 90mm Hinges will be used.
The Pivot Hinged Colour options are;
White
Stainless Steel
Please refer to the Shutter Manual. 
</t>
        </r>
        <r>
          <rPr>
            <i/>
            <sz val="8"/>
            <color indexed="81"/>
            <rFont val="Tahoma"/>
            <family val="2"/>
          </rPr>
          <t>Stainless Steel Surcharge applies.</t>
        </r>
      </text>
    </comment>
    <comment ref="X13" authorId="0" shapeId="0" xr:uid="{0215CDD7-7FBB-49A1-89DA-74DBCB197BDF}">
      <text>
        <r>
          <rPr>
            <sz val="8"/>
            <color indexed="81"/>
            <rFont val="Tahoma"/>
            <family val="2"/>
          </rPr>
          <t>Please Note: 
If Closed option is chosen then the blades 
can be damaged if they are left open 
when Sliding the Panel.
Open is not an option for 3 Tracks.</t>
        </r>
      </text>
    </comment>
    <comment ref="Y13" authorId="0" shapeId="0" xr:uid="{C79AC28A-5141-4AAC-A4B3-56718BBBF13B}">
      <text>
        <r>
          <rPr>
            <sz val="8"/>
            <color indexed="81"/>
            <rFont val="Tahoma"/>
            <family val="2"/>
          </rPr>
          <t>If any T Posts are required then the measurements 
must be supplied under the next columns.
Measurements should be made from the left.
A Flat (Unbeaded) T Post can be ordered to match 
the Flat Stile Shutter in the Stile &amp; T Post column.</t>
        </r>
      </text>
    </comment>
    <comment ref="AC13" authorId="0" shapeId="0" xr:uid="{1666FAB1-5FFD-479C-9214-57ACB67B052B}">
      <text>
        <r>
          <rPr>
            <sz val="8"/>
            <color indexed="81"/>
            <rFont val="Tahoma"/>
            <family val="2"/>
          </rPr>
          <t>The Stile &amp; T Post 
options are;
Default (Beaded)
Flat Stile &amp; T Post
A Flat (unbeaded) Small L Frame can be ordered 
under the Frame Type.</t>
        </r>
      </text>
    </comment>
    <comment ref="AD13" authorId="0" shapeId="0" xr:uid="{84541D90-9D45-47AC-9FC5-F294447E313F}">
      <text>
        <r>
          <rPr>
            <sz val="8"/>
            <color indexed="81"/>
            <rFont val="Tahoma"/>
            <family val="2"/>
          </rPr>
          <t xml:space="preserve">The Designer Eco,  
Designer Eco Plus &amp; Luvre
Fluffy Strip options are;
No
Yes
Fluffy Strip is supplied with the Fauxwood Designer Eco Night Shutter.
</t>
        </r>
        <r>
          <rPr>
            <i/>
            <sz val="8"/>
            <color indexed="81"/>
            <rFont val="Tahoma"/>
            <family val="2"/>
          </rPr>
          <t>Fluffy Strip Surcharge applies.</t>
        </r>
      </text>
    </comment>
    <comment ref="C14" authorId="0" shapeId="0" xr:uid="{54550411-22A0-4BAD-95C9-957A189923DF}">
      <text>
        <r>
          <rPr>
            <sz val="8"/>
            <color indexed="81"/>
            <rFont val="Tahoma"/>
            <family val="2"/>
          </rPr>
          <t xml:space="preserve">Minimum Width is 180mm.
Maximum Fauxwood Standard Size 
Width is 650mm.
Maximum Fauxwood Designer Eco Width with 
63mm Blades is 900mm.
Maximum Fauxwood Designer Eco Width with 
89mm Blades is 900mm.
Maximum Fauxwood Designer Eco Plus Width with 
63mm Blades is 950mm.
Maximum Fauxwood Designer Eco Plus Width with 
89mm Blades is 950mm.
Maximum Fauxwood Designer Eco Night 
Width is 650mm.
Maximum Luvre Width is 950mm.
Fauxwood Designer Eco &amp; 
Fauxwood Designer Eco Plus Panels 
with a Width larger than 650mm will require 
Aluminium Inserts.
Conditions apply.
</t>
        </r>
        <r>
          <rPr>
            <i/>
            <sz val="8"/>
            <color indexed="81"/>
            <rFont val="Tahoma"/>
            <family val="2"/>
          </rPr>
          <t>Please note: 
Larger Panels may sometimes require lifting in to the frame.</t>
        </r>
      </text>
    </comment>
    <comment ref="D14" authorId="0" shapeId="0" xr:uid="{021980CE-4B81-4AE4-99F3-8F23180853F3}">
      <text>
        <r>
          <rPr>
            <sz val="8"/>
            <color indexed="81"/>
            <rFont val="Tahoma"/>
            <family val="2"/>
          </rPr>
          <t>Minimum Height is 350mm.
Maximum Fauxwood Height is 2600mm.</t>
        </r>
      </text>
    </comment>
    <comment ref="E14" authorId="0" shapeId="0" xr:uid="{86EC0BA1-2A11-4D3C-A31F-22D63867E11F}">
      <text>
        <r>
          <rPr>
            <sz val="8"/>
            <color indexed="81"/>
            <rFont val="Tahoma"/>
            <family val="2"/>
          </rPr>
          <t xml:space="preserve">In - Inside or Reveal Fit
Out - Outside or Face Fit
Alternative Option:
MS - Make Size
Panel Only Option
</t>
        </r>
        <r>
          <rPr>
            <i/>
            <sz val="8"/>
            <color indexed="81"/>
            <rFont val="Tahoma"/>
            <family val="2"/>
          </rPr>
          <t>(Used for specific requirements only)</t>
        </r>
      </text>
    </comment>
    <comment ref="F14" authorId="0" shapeId="0" xr:uid="{B8DAE26A-81F5-4C14-874F-F759991E04E6}">
      <text>
        <r>
          <rPr>
            <sz val="8"/>
            <color indexed="81"/>
            <rFont val="Tahoma"/>
            <family val="2"/>
          </rPr>
          <t>Quantity is the number of Panels 
within the opening. 
If ordering Make Size (MS), 
this will be the number of Panels 
at this size.</t>
        </r>
      </text>
    </comment>
    <comment ref="G14" authorId="0" shapeId="0" xr:uid="{B2A6B65F-DA71-46B2-BCA1-35E5C38F5DB3}">
      <text>
        <r>
          <rPr>
            <sz val="8"/>
            <color indexed="81"/>
            <rFont val="Tahoma"/>
            <family val="2"/>
          </rPr>
          <t>Fauxwood Designer Eco will be made with the standard profile 
Bottom Rail,  Mid Rail &amp; Top Rail.
Fauxwood Designer Eco Plus will be made with the 
reinforced curved profile Bottom Rail, Mid Rail &amp; Top Rail.
Fauxwood Designer Eco Night will be made with the 
curved grooved profile Bottom Rail, Mid Rail &amp; Top Rail.
Luvre will be made with the reinforced
curved profile Bottom Rail, Mid Rail &amp; Top Rail.
Fauxwood Designer Eco Plus, Fauxwood Designer Eco Night &amp; Luvre 
Surcharge applies.</t>
        </r>
      </text>
    </comment>
    <comment ref="H14" authorId="0" shapeId="0" xr:uid="{A9A83DA6-30F1-41F4-A78B-47F2B26F02D5}">
      <text>
        <r>
          <rPr>
            <sz val="8"/>
            <color indexed="81"/>
            <rFont val="Tahoma"/>
            <family val="2"/>
          </rPr>
          <t xml:space="preserve">Fauxwood Designer Colours options available;
Standard Colours;
Bright White
Classic White
Snow White
Super White
Vanilla
Specialty Colours;
Ceylon
Earl Grey
French White
Infinite White
Polar White
Quiet White
Snow Gum Grey
Snowy Mountains White
</t>
        </r>
        <r>
          <rPr>
            <i/>
            <sz val="8"/>
            <color indexed="81"/>
            <rFont val="Tahoma"/>
            <family val="2"/>
          </rPr>
          <t>Specialty Colours Surcharge applies.</t>
        </r>
        <r>
          <rPr>
            <sz val="8"/>
            <color indexed="81"/>
            <rFont val="Tahoma"/>
            <family val="2"/>
          </rPr>
          <t xml:space="preserve">
Luvre with Therme &amp; Scratch Resistant Paint 
Colours options available;
Snow White
Super White
</t>
        </r>
      </text>
    </comment>
    <comment ref="J14" authorId="0" shapeId="0" xr:uid="{E1AC3C87-7811-4581-A103-AE990B362CAD}">
      <text>
        <r>
          <rPr>
            <sz val="8"/>
            <color indexed="81"/>
            <rFont val="Tahoma"/>
            <family val="2"/>
          </rPr>
          <t>Fauxwood Designer Eco &amp; 
Fauxwood Designer Eco Plus 
Blade sizes options are;
63mm
89mm
Fauxwood Designer Eco Night  
Blade sizes options are;
92mm
Luvre Blade sizes options are;
89mm
114mm</t>
        </r>
      </text>
    </comment>
    <comment ref="K14" authorId="0" shapeId="0" xr:uid="{FD6CB318-B078-4E11-9DFF-78F84FDA70D0}">
      <text>
        <r>
          <rPr>
            <sz val="8"/>
            <color indexed="81"/>
            <rFont val="Tahoma"/>
            <family val="2"/>
          </rPr>
          <t>Mid Rail is required on Fauxwood Panels over 1500mm.
Cell will highlight yellow when Mid Rail is required.
Only one Critical Mid Rail is allowed.
A Mid Rail that is not marked "Critical" may be moved up or down 
up to 40mm to stop any gaps and increase/decrease the blade quantity.
Fauxwood Designer Eco will be made with the standard profile 
Bottom Rail,  Mid Rail &amp; Top Rail.
Fauxwood Designer Eco Plus will be made with the 
reinforced curved profile Bottom Rail, Mid Rail &amp; Top Rail.
Fauxwood Designer Eco Night will be made with the 
curved grooved profile Bottom Rail, Mid Rail &amp; Top Rail.
Luvre will be made with the reinforced
curved profile Bottom Rail, Mid Rail &amp; Top Rail.
Fauxwood Designer Eco Plus, Fauxwood Designer Eco Night &amp; Luvre Surcharge applies.</t>
        </r>
      </text>
    </comment>
    <comment ref="L14" authorId="0" shapeId="0" xr:uid="{42F14D60-2DB0-488C-9F74-FE67E92A4242}">
      <text>
        <r>
          <rPr>
            <sz val="8"/>
            <color indexed="81"/>
            <rFont val="Tahoma"/>
            <family val="2"/>
          </rPr>
          <t xml:space="preserve">The Fauxwood Designer Eco, 
Fauxwood Designer Eco Plus 
&amp; Luvre Window Type options are;
Standard
Bay Window
Corner Window
Door Cut Out
Shaped Arch
Shaped Hexagon
Shaped Octagon
Shaped Oval
Shaped Parallelogram
Shaped Raked
Shaped Round
Shaped Sunburst
Shaped Triangle
These Shapes are not available
with the Rack &amp; Pinion Tiltrod;
Shaped Arch
Shaped Hexagon
Shaped Octagon
Shaped Oval
Shaped Round
Shaped Sunburst
The Fauxwood Designer Eco Night Window Type 
options are;
Standard
Bay Window
Corner Window
</t>
        </r>
        <r>
          <rPr>
            <i/>
            <sz val="8"/>
            <color indexed="81"/>
            <rFont val="Tahoma"/>
            <family val="2"/>
          </rPr>
          <t xml:space="preserve">
</t>
        </r>
        <r>
          <rPr>
            <sz val="8"/>
            <color indexed="81"/>
            <rFont val="Tahoma"/>
            <family val="2"/>
          </rPr>
          <t>Shaped Shutters will need the Panel Layout to be 
compatible with the Hidden Tiltrod system.</t>
        </r>
      </text>
    </comment>
    <comment ref="M14" authorId="0" shapeId="0" xr:uid="{65D122EA-F989-4192-881E-27F18D07FBE3}">
      <text>
        <r>
          <rPr>
            <sz val="8"/>
            <color indexed="81"/>
            <rFont val="Tahoma"/>
            <family val="2"/>
          </rPr>
          <t>Mounting Method is dependent 
on  MS, In Or Out &amp; Product.
For IN &amp; Fauxwood Designer Eco,  
Fauxwood Designer Eco Plus 
&amp; Luvre the options are;
Double Hinged
Fixed
Hinged
Pivot Hinged
Sliding
Track Bi Fold
For OUT &amp; Fauxwood Designer Eco,  
Fauxwood Designer Eco Plus 
&amp; Luvre the options are;
Double Hinged
Hinged
Pivot Hinged
Sliding
Track Bi Fold
For IN &amp; Fauxwood Designer Eco Night 
the options are;
Fixed
Hinged
For OUT &amp; Fauxwood Designer Eco Night 
the options are;
Fixed
Hinged
For MS, the options are;
N/A
Pivot Hinged is not recommended for 
Designer Eco Plus or Luvre.</t>
        </r>
      </text>
    </comment>
    <comment ref="N14" authorId="0" shapeId="0" xr:uid="{9F639BB7-5E2F-4530-B72C-38B3B6F1487B}">
      <text>
        <r>
          <rPr>
            <sz val="8"/>
            <color indexed="81"/>
            <rFont val="Tahoma"/>
            <family val="2"/>
          </rPr>
          <t>For Sliding Track System options are;
Top Hung (Original System)
Bottom Wheel (New System)
The Top Hung (Original System) uses 
Top Wheels Mounting.
The Bottom Wheel (New System) uses a 
U Channel at the Top and 
Wheels at the Bottom.
This option cannot have a Floor Guide or 
Track On Board.</t>
        </r>
      </text>
    </comment>
    <comment ref="O14" authorId="0" shapeId="0" xr:uid="{9E9D6354-8100-4616-8C08-CD84D88E7280}">
      <text>
        <r>
          <rPr>
            <sz val="8"/>
            <color indexed="81"/>
            <rFont val="Tahoma"/>
            <family val="2"/>
          </rPr>
          <t>Please refer to the Shutter Manual 
when selecting Layout Code.
The list provides the most common options, 
which are dependent on Mounting Method.
More complex Layout Codes can still be entered manually.</t>
        </r>
      </text>
    </comment>
    <comment ref="P14" authorId="0" shapeId="0" xr:uid="{72CF82FF-19CA-47BE-9B16-7F33BD1B6057}">
      <text>
        <r>
          <rPr>
            <sz val="8"/>
            <color indexed="81"/>
            <rFont val="Tahoma"/>
            <family val="2"/>
          </rPr>
          <t>Frame Type is dependent on
 Mounting Method.
If a Flat (unbeaded) Small L Frame 
is selected, a matching Stile &amp; T Post can be 
ordered in the Stile &amp; T Post column.</t>
        </r>
      </text>
    </comment>
    <comment ref="V14" authorId="0" shapeId="0" xr:uid="{6C6CBE78-BB76-4F21-830D-0DC88E0C9341}">
      <text>
        <r>
          <rPr>
            <sz val="8"/>
            <color indexed="81"/>
            <rFont val="Tahoma"/>
            <family val="2"/>
          </rPr>
          <t>This option is dependent on the 
Material &amp; Product 
and will only be available once this 
option is selected.
For Fauxwood Designer Eco
&amp; Fauxwood Designer Eco Plus 
the options are;
Hidden
Centre
Off-Set
Rack &amp; Pinion
These Shapes are not available
with the Rack &amp; Pinion Tiltrod;
Shaped Arch
Shaped Hexagon
Shaped Octagon
Shaped Oval
Shaped Round
Shaped Sunburst
For Fauxwood Designer Eco Night
the options are;
Hidden
For Luvre the options are;
Hidden</t>
        </r>
      </text>
    </comment>
    <comment ref="W14" authorId="0" shapeId="0" xr:uid="{12254A33-35D1-445D-BBFA-AD37602F6E95}">
      <text>
        <r>
          <rPr>
            <sz val="8"/>
            <color indexed="81"/>
            <rFont val="Tahoma"/>
            <family val="2"/>
          </rPr>
          <t xml:space="preserve">If no Hinge Colour is selected, 
then the default Hinge Colour and hardware 
will be supplied. 
The Hinge Colour options are;
Default
Stainless Steel
N/A
When Default is selected, the Hinge will be supplied 
as per the matching Hinge Colour list below;
Shutter Colour - </t>
        </r>
        <r>
          <rPr>
            <i/>
            <sz val="8"/>
            <color indexed="81"/>
            <rFont val="Tahoma"/>
            <family val="2"/>
          </rPr>
          <t>Hinge Colour</t>
        </r>
        <r>
          <rPr>
            <sz val="8"/>
            <color indexed="81"/>
            <rFont val="Tahoma"/>
            <family val="2"/>
          </rPr>
          <t xml:space="preserve">
   Bright White - </t>
        </r>
        <r>
          <rPr>
            <i/>
            <sz val="8"/>
            <color indexed="81"/>
            <rFont val="Tahoma"/>
            <family val="2"/>
          </rPr>
          <t>Bright White</t>
        </r>
        <r>
          <rPr>
            <sz val="8"/>
            <color indexed="81"/>
            <rFont val="Tahoma"/>
            <family val="2"/>
          </rPr>
          <t xml:space="preserve">
Classic White - </t>
        </r>
        <r>
          <rPr>
            <i/>
            <sz val="8"/>
            <color indexed="81"/>
            <rFont val="Tahoma"/>
            <family val="2"/>
          </rPr>
          <t>White</t>
        </r>
        <r>
          <rPr>
            <sz val="8"/>
            <color indexed="81"/>
            <rFont val="Tahoma"/>
            <family val="2"/>
          </rPr>
          <t xml:space="preserve">
Snow White - </t>
        </r>
        <r>
          <rPr>
            <i/>
            <sz val="8"/>
            <color indexed="81"/>
            <rFont val="Tahoma"/>
            <family val="2"/>
          </rPr>
          <t>Snow White</t>
        </r>
        <r>
          <rPr>
            <sz val="8"/>
            <color indexed="81"/>
            <rFont val="Tahoma"/>
            <family val="2"/>
          </rPr>
          <t xml:space="preserve">
Super White - </t>
        </r>
        <r>
          <rPr>
            <i/>
            <sz val="8"/>
            <color indexed="81"/>
            <rFont val="Tahoma"/>
            <family val="2"/>
          </rPr>
          <t>Snow White</t>
        </r>
        <r>
          <rPr>
            <sz val="8"/>
            <color indexed="81"/>
            <rFont val="Tahoma"/>
            <family val="2"/>
          </rPr>
          <t xml:space="preserve">
Vanilla - </t>
        </r>
        <r>
          <rPr>
            <i/>
            <sz val="8"/>
            <color indexed="81"/>
            <rFont val="Tahoma"/>
            <family val="2"/>
          </rPr>
          <t xml:space="preserve">Ivory
</t>
        </r>
        <r>
          <rPr>
            <sz val="8"/>
            <color indexed="81"/>
            <rFont val="Tahoma"/>
            <family val="2"/>
          </rPr>
          <t xml:space="preserve">Ceylon - </t>
        </r>
        <r>
          <rPr>
            <i/>
            <sz val="8"/>
            <color indexed="81"/>
            <rFont val="Tahoma"/>
            <family val="2"/>
          </rPr>
          <t>Ceylon</t>
        </r>
        <r>
          <rPr>
            <sz val="8"/>
            <color indexed="81"/>
            <rFont val="Tahoma"/>
            <family val="2"/>
          </rPr>
          <t xml:space="preserve">
Earl Grey - </t>
        </r>
        <r>
          <rPr>
            <i/>
            <sz val="8"/>
            <color indexed="81"/>
            <rFont val="Tahoma"/>
            <family val="2"/>
          </rPr>
          <t>Earl Grey</t>
        </r>
        <r>
          <rPr>
            <sz val="8"/>
            <color indexed="81"/>
            <rFont val="Tahoma"/>
            <family val="2"/>
          </rPr>
          <t xml:space="preserve">
French White - </t>
        </r>
        <r>
          <rPr>
            <i/>
            <sz val="8"/>
            <color indexed="81"/>
            <rFont val="Tahoma"/>
            <family val="2"/>
          </rPr>
          <t>French White</t>
        </r>
        <r>
          <rPr>
            <sz val="8"/>
            <color indexed="81"/>
            <rFont val="Tahoma"/>
            <family val="2"/>
          </rPr>
          <t xml:space="preserve">
Infinite White -</t>
        </r>
        <r>
          <rPr>
            <i/>
            <sz val="8"/>
            <color indexed="81"/>
            <rFont val="Tahoma"/>
            <family val="2"/>
          </rPr>
          <t xml:space="preserve"> Infinite White</t>
        </r>
        <r>
          <rPr>
            <sz val="8"/>
            <color indexed="81"/>
            <rFont val="Tahoma"/>
            <family val="2"/>
          </rPr>
          <t xml:space="preserve">
Polar White - </t>
        </r>
        <r>
          <rPr>
            <i/>
            <sz val="8"/>
            <color indexed="81"/>
            <rFont val="Tahoma"/>
            <family val="2"/>
          </rPr>
          <t>Polar White</t>
        </r>
        <r>
          <rPr>
            <sz val="8"/>
            <color indexed="81"/>
            <rFont val="Tahoma"/>
            <family val="2"/>
          </rPr>
          <t xml:space="preserve">
Quiet White - </t>
        </r>
        <r>
          <rPr>
            <i/>
            <sz val="8"/>
            <color indexed="81"/>
            <rFont val="Tahoma"/>
            <family val="2"/>
          </rPr>
          <t>Quiet White</t>
        </r>
        <r>
          <rPr>
            <sz val="8"/>
            <color indexed="81"/>
            <rFont val="Tahoma"/>
            <family val="2"/>
          </rPr>
          <t xml:space="preserve">
Snow Gum Grey - </t>
        </r>
        <r>
          <rPr>
            <i/>
            <sz val="8"/>
            <color indexed="81"/>
            <rFont val="Tahoma"/>
            <family val="2"/>
          </rPr>
          <t>Snow Gum Grey</t>
        </r>
        <r>
          <rPr>
            <sz val="8"/>
            <color indexed="81"/>
            <rFont val="Tahoma"/>
            <family val="2"/>
          </rPr>
          <t xml:space="preserve">
Snowy Mountains White - </t>
        </r>
        <r>
          <rPr>
            <i/>
            <sz val="8"/>
            <color indexed="81"/>
            <rFont val="Tahoma"/>
            <family val="2"/>
          </rPr>
          <t>Snowy Mountains White</t>
        </r>
        <r>
          <rPr>
            <sz val="8"/>
            <color indexed="81"/>
            <rFont val="Tahoma"/>
            <family val="2"/>
          </rPr>
          <t xml:space="preserve">
For standard Shutters in Fauxwood Designer Eco 
Standard 77mm Hinges will be used.
For standard Shutters in Fauxwood Designer Eco Plus, 
Fauxwood Designer Eco Night &amp; Luvre
Standard 90mm Hinges will be used.
The Pivot Hinged Colour options are;
White
Stainless Steel
Please refer to the Shutter Manual. 
</t>
        </r>
        <r>
          <rPr>
            <i/>
            <sz val="8"/>
            <color indexed="81"/>
            <rFont val="Tahoma"/>
            <family val="2"/>
          </rPr>
          <t>Stainless Steel Surcharge applies.</t>
        </r>
      </text>
    </comment>
    <comment ref="X14" authorId="0" shapeId="0" xr:uid="{CCF3C2B0-2C2B-4866-90EE-7FAEE336D587}">
      <text>
        <r>
          <rPr>
            <sz val="8"/>
            <color indexed="81"/>
            <rFont val="Tahoma"/>
            <family val="2"/>
          </rPr>
          <t>Please Note: 
If Closed option is chosen then the blades 
can be damaged if they are left open 
when Sliding the Panel.
Open is not an option for 3 Tracks.</t>
        </r>
      </text>
    </comment>
    <comment ref="Y14" authorId="0" shapeId="0" xr:uid="{065BFBBE-3C8E-4373-9BCA-388CC4A1FDF0}">
      <text>
        <r>
          <rPr>
            <sz val="8"/>
            <color indexed="81"/>
            <rFont val="Tahoma"/>
            <family val="2"/>
          </rPr>
          <t>If any T Posts are required then the measurements 
must be supplied under the next columns.
Measurements should be made from the left.
A Flat (Unbeaded) T Post can be ordered to match 
the Flat Stile Shutter in the Stile &amp; T Post column.</t>
        </r>
      </text>
    </comment>
    <comment ref="AC14" authorId="0" shapeId="0" xr:uid="{FFD43DF1-5B41-45DD-B421-10DDC8DEB8CB}">
      <text>
        <r>
          <rPr>
            <sz val="8"/>
            <color indexed="81"/>
            <rFont val="Tahoma"/>
            <family val="2"/>
          </rPr>
          <t>The Stile &amp; T Post 
options are;
Default (Beaded)
Flat Stile &amp; T Post
A Flat (unbeaded) Small L Frame can be ordered 
under the Frame Type.</t>
        </r>
      </text>
    </comment>
    <comment ref="AD14" authorId="0" shapeId="0" xr:uid="{81854888-DA7A-409A-80D8-BDA82A6D02CD}">
      <text>
        <r>
          <rPr>
            <sz val="8"/>
            <color indexed="81"/>
            <rFont val="Tahoma"/>
            <family val="2"/>
          </rPr>
          <t xml:space="preserve">The Designer Eco,  
Designer Eco Plus &amp; Luvre
Fluffy Strip options are;
No
Yes
Fluffy Strip is supplied with the Fauxwood Designer Eco Night Shutter.
</t>
        </r>
        <r>
          <rPr>
            <i/>
            <sz val="8"/>
            <color indexed="81"/>
            <rFont val="Tahoma"/>
            <family val="2"/>
          </rPr>
          <t>Fluffy Strip Surcharge applies.</t>
        </r>
      </text>
    </comment>
    <comment ref="C15" authorId="0" shapeId="0" xr:uid="{BF124FBC-2D31-425B-BA8D-9217EC285DEA}">
      <text>
        <r>
          <rPr>
            <sz val="8"/>
            <color indexed="81"/>
            <rFont val="Tahoma"/>
            <family val="2"/>
          </rPr>
          <t xml:space="preserve">Minimum Width is 180mm.
Maximum Fauxwood Standard Size 
Width is 650mm.
Maximum Fauxwood Designer Eco Width with 
63mm Blades is 900mm.
Maximum Fauxwood Designer Eco Width with 
89mm Blades is 900mm.
Maximum Fauxwood Designer Eco Plus Width with 
63mm Blades is 950mm.
Maximum Fauxwood Designer Eco Plus Width with 
89mm Blades is 950mm.
Maximum Fauxwood Designer Eco Night 
Width is 650mm.
Maximum Luvre Width is 950mm.
Fauxwood Designer Eco &amp; 
Fauxwood Designer Eco Plus Panels 
with a Width larger than 650mm will require 
Aluminium Inserts.
Conditions apply.
</t>
        </r>
        <r>
          <rPr>
            <i/>
            <sz val="8"/>
            <color indexed="81"/>
            <rFont val="Tahoma"/>
            <family val="2"/>
          </rPr>
          <t>Please note: 
Larger Panels may sometimes require lifting in to the frame.</t>
        </r>
      </text>
    </comment>
    <comment ref="D15" authorId="0" shapeId="0" xr:uid="{A5FA6AC2-16D1-4F21-9D1C-F03777DCC1DC}">
      <text>
        <r>
          <rPr>
            <sz val="8"/>
            <color indexed="81"/>
            <rFont val="Tahoma"/>
            <family val="2"/>
          </rPr>
          <t>Minimum Height is 350mm.
Maximum Fauxwood Height is 2600mm.</t>
        </r>
      </text>
    </comment>
    <comment ref="E15" authorId="0" shapeId="0" xr:uid="{6A59DC1B-CF1B-4599-BC79-2D2CD863567B}">
      <text>
        <r>
          <rPr>
            <sz val="8"/>
            <color indexed="81"/>
            <rFont val="Tahoma"/>
            <family val="2"/>
          </rPr>
          <t xml:space="preserve">In - Inside or Reveal Fit
Out - Outside or Face Fit
Alternative Option:
MS - Make Size
Panel Only Option
</t>
        </r>
        <r>
          <rPr>
            <i/>
            <sz val="8"/>
            <color indexed="81"/>
            <rFont val="Tahoma"/>
            <family val="2"/>
          </rPr>
          <t>(Used for specific requirements only)</t>
        </r>
      </text>
    </comment>
    <comment ref="F15" authorId="0" shapeId="0" xr:uid="{2FAE8336-0A50-4112-A652-136E2E2E5A00}">
      <text>
        <r>
          <rPr>
            <sz val="8"/>
            <color indexed="81"/>
            <rFont val="Tahoma"/>
            <family val="2"/>
          </rPr>
          <t>Quantity is the number of Panels 
within the opening. 
If ordering Make Size (MS), 
this will be the number of Panels 
at this size.</t>
        </r>
      </text>
    </comment>
    <comment ref="G15" authorId="0" shapeId="0" xr:uid="{ECCEF961-FCCC-4155-9926-59C2468032E0}">
      <text>
        <r>
          <rPr>
            <sz val="8"/>
            <color indexed="81"/>
            <rFont val="Tahoma"/>
            <family val="2"/>
          </rPr>
          <t>Fauxwood Designer Eco will be made with the standard profile 
Bottom Rail,  Mid Rail &amp; Top Rail.
Fauxwood Designer Eco Plus will be made with the 
reinforced curved profile Bottom Rail, Mid Rail &amp; Top Rail.
Fauxwood Designer Eco Night will be made with the 
curved grooved profile Bottom Rail, Mid Rail &amp; Top Rail.
Luvre will be made with the reinforced
curved profile Bottom Rail, Mid Rail &amp; Top Rail.
Fauxwood Designer Eco Plus, Fauxwood Designer Eco Night &amp; Luvre 
Surcharge applies.</t>
        </r>
      </text>
    </comment>
    <comment ref="H15" authorId="0" shapeId="0" xr:uid="{5CA61B8B-7FF6-4042-83FA-EC673F4A6859}">
      <text>
        <r>
          <rPr>
            <sz val="8"/>
            <color indexed="81"/>
            <rFont val="Tahoma"/>
            <family val="2"/>
          </rPr>
          <t xml:space="preserve">Fauxwood Designer Colours options available;
Standard Colours;
Bright White
Classic White
Snow White
Super White
Vanilla
Specialty Colours;
Ceylon
Earl Grey
French White
Infinite White
Polar White
Quiet White
Snow Gum Grey
Snowy Mountains White
</t>
        </r>
        <r>
          <rPr>
            <i/>
            <sz val="8"/>
            <color indexed="81"/>
            <rFont val="Tahoma"/>
            <family val="2"/>
          </rPr>
          <t>Specialty Colours Surcharge applies.</t>
        </r>
        <r>
          <rPr>
            <sz val="8"/>
            <color indexed="81"/>
            <rFont val="Tahoma"/>
            <family val="2"/>
          </rPr>
          <t xml:space="preserve">
Luvre with Therme &amp; Scratch Resistant Paint 
Colours options available;
Snow White
Super White
</t>
        </r>
      </text>
    </comment>
    <comment ref="J15" authorId="0" shapeId="0" xr:uid="{12B5B99C-563B-4E4A-A649-A33358F4B449}">
      <text>
        <r>
          <rPr>
            <sz val="8"/>
            <color indexed="81"/>
            <rFont val="Tahoma"/>
            <family val="2"/>
          </rPr>
          <t>Fauxwood Designer Eco &amp; 
Fauxwood Designer Eco Plus 
Blade sizes options are;
63mm
89mm
Fauxwood Designer Eco Night  
Blade sizes options are;
92mm
Luvre Blade sizes options are;
89mm
114mm</t>
        </r>
      </text>
    </comment>
    <comment ref="K15" authorId="0" shapeId="0" xr:uid="{A160765C-3939-407E-B0FC-36C6177AB219}">
      <text>
        <r>
          <rPr>
            <sz val="8"/>
            <color indexed="81"/>
            <rFont val="Tahoma"/>
            <family val="2"/>
          </rPr>
          <t>Mid Rail is required on Fauxwood Panels over 1500mm.
Cell will highlight yellow when Mid Rail is required.
Only one Critical Mid Rail is allowed.
A Mid Rail that is not marked "Critical" may be moved up or down 
up to 40mm to stop any gaps and increase/decrease the blade quantity.
Fauxwood Designer Eco will be made with the standard profile 
Bottom Rail,  Mid Rail &amp; Top Rail.
Fauxwood Designer Eco Plus will be made with the 
reinforced curved profile Bottom Rail, Mid Rail &amp; Top Rail.
Fauxwood Designer Eco Night will be made with the 
curved grooved profile Bottom Rail, Mid Rail &amp; Top Rail.
Luvre will be made with the reinforced
curved profile Bottom Rail, Mid Rail &amp; Top Rail.
Fauxwood Designer Eco Plus, Fauxwood Designer Eco Night &amp; Luvre Surcharge applies.</t>
        </r>
      </text>
    </comment>
    <comment ref="L15" authorId="0" shapeId="0" xr:uid="{5B0F7B33-B8A7-491A-AF5F-4C305C19EF27}">
      <text>
        <r>
          <rPr>
            <sz val="8"/>
            <color indexed="81"/>
            <rFont val="Tahoma"/>
            <family val="2"/>
          </rPr>
          <t xml:space="preserve">The Fauxwood Designer Eco, 
Fauxwood Designer Eco Plus 
&amp; Luvre Window Type options are;
Standard
Bay Window
Corner Window
Door Cut Out
Shaped Arch
Shaped Hexagon
Shaped Octagon
Shaped Oval
Shaped Parallelogram
Shaped Raked
Shaped Round
Shaped Sunburst
Shaped Triangle
These Shapes are not available
with the Rack &amp; Pinion Tiltrod;
Shaped Arch
Shaped Hexagon
Shaped Octagon
Shaped Oval
Shaped Round
Shaped Sunburst
The Fauxwood Designer Eco Night Window Type 
options are;
Standard
Bay Window
Corner Window
</t>
        </r>
        <r>
          <rPr>
            <i/>
            <sz val="8"/>
            <color indexed="81"/>
            <rFont val="Tahoma"/>
            <family val="2"/>
          </rPr>
          <t xml:space="preserve">
</t>
        </r>
        <r>
          <rPr>
            <sz val="8"/>
            <color indexed="81"/>
            <rFont val="Tahoma"/>
            <family val="2"/>
          </rPr>
          <t>Shaped Shutters will need the Panel Layout to be 
compatible with the Hidden Tiltrod system.</t>
        </r>
      </text>
    </comment>
    <comment ref="M15" authorId="0" shapeId="0" xr:uid="{712AD3C8-EBD9-4FE2-890C-7C273B94C207}">
      <text>
        <r>
          <rPr>
            <sz val="8"/>
            <color indexed="81"/>
            <rFont val="Tahoma"/>
            <family val="2"/>
          </rPr>
          <t>Mounting Method is dependent 
on  MS, In Or Out &amp; Product.
For IN &amp; Fauxwood Designer Eco,  
Fauxwood Designer Eco Plus 
&amp; Luvre the options are;
Double Hinged
Fixed
Hinged
Pivot Hinged
Sliding
Track Bi Fold
For OUT &amp; Fauxwood Designer Eco,  
Fauxwood Designer Eco Plus 
&amp; Luvre the options are;
Double Hinged
Hinged
Pivot Hinged
Sliding
Track Bi Fold
For IN &amp; Fauxwood Designer Eco Night 
the options are;
Fixed
Hinged
For OUT &amp; Fauxwood Designer Eco Night 
the options are;
Fixed
Hinged
For MS, the options are;
N/A
Pivot Hinged is not recommended for 
Designer Eco Plus or Luvre.</t>
        </r>
      </text>
    </comment>
    <comment ref="N15" authorId="0" shapeId="0" xr:uid="{2F3D6A27-881D-48AC-9840-C682C9811443}">
      <text>
        <r>
          <rPr>
            <sz val="8"/>
            <color indexed="81"/>
            <rFont val="Tahoma"/>
            <family val="2"/>
          </rPr>
          <t>For Sliding Track System options are;
Top Hung (Original System)
Bottom Wheel (New System)
The Top Hung (Original System) uses 
Top Wheels Mounting.
The Bottom Wheel (New System) uses a 
U Channel at the Top and 
Wheels at the Bottom.
This option cannot have a Floor Guide or 
Track On Board.</t>
        </r>
      </text>
    </comment>
    <comment ref="O15" authorId="0" shapeId="0" xr:uid="{C4EB0E9B-0F9F-40C5-947A-C002D06E008D}">
      <text>
        <r>
          <rPr>
            <sz val="8"/>
            <color indexed="81"/>
            <rFont val="Tahoma"/>
            <family val="2"/>
          </rPr>
          <t>Please refer to the Shutter Manual 
when selecting Layout Code.
The list provides the most common options, 
which are dependent on Mounting Method.
More complex Layout Codes can still be entered manually.</t>
        </r>
      </text>
    </comment>
    <comment ref="P15" authorId="0" shapeId="0" xr:uid="{EF30ACC2-D895-4F85-9BF6-6C80DA7C82DC}">
      <text>
        <r>
          <rPr>
            <sz val="8"/>
            <color indexed="81"/>
            <rFont val="Tahoma"/>
            <family val="2"/>
          </rPr>
          <t>Frame Type is dependent on
 Mounting Method.
If a Flat (unbeaded) Small L Frame 
is selected, a matching Stile &amp; T Post can be 
ordered in the Stile &amp; T Post column.</t>
        </r>
      </text>
    </comment>
    <comment ref="V15" authorId="0" shapeId="0" xr:uid="{AD04EBC0-EE90-407A-8F41-55A2B25C07F4}">
      <text>
        <r>
          <rPr>
            <sz val="8"/>
            <color indexed="81"/>
            <rFont val="Tahoma"/>
            <family val="2"/>
          </rPr>
          <t>This option is dependent on the 
Material &amp; Product 
and will only be available once this 
option is selected.
For Fauxwood Designer Eco
&amp; Fauxwood Designer Eco Plus 
the options are;
Hidden
Centre
Off-Set
Rack &amp; Pinion
These Shapes are not available
with the Rack &amp; Pinion Tiltrod;
Shaped Arch
Shaped Hexagon
Shaped Octagon
Shaped Oval
Shaped Round
Shaped Sunburst
For Fauxwood Designer Eco Night
the options are;
Hidden
For Luvre the options are;
Hidden</t>
        </r>
      </text>
    </comment>
    <comment ref="W15" authorId="0" shapeId="0" xr:uid="{A6971C4E-7814-41E1-B5DB-6722FFD5FA2B}">
      <text>
        <r>
          <rPr>
            <sz val="8"/>
            <color indexed="81"/>
            <rFont val="Tahoma"/>
            <family val="2"/>
          </rPr>
          <t xml:space="preserve">If no Hinge Colour is selected, 
then the default Hinge Colour and hardware 
will be supplied. 
The Hinge Colour options are;
Default
Stainless Steel
N/A
When Default is selected, the Hinge will be supplied 
as per the matching Hinge Colour list below;
Shutter Colour - </t>
        </r>
        <r>
          <rPr>
            <i/>
            <sz val="8"/>
            <color indexed="81"/>
            <rFont val="Tahoma"/>
            <family val="2"/>
          </rPr>
          <t>Hinge Colour</t>
        </r>
        <r>
          <rPr>
            <sz val="8"/>
            <color indexed="81"/>
            <rFont val="Tahoma"/>
            <family val="2"/>
          </rPr>
          <t xml:space="preserve">
   Bright White - </t>
        </r>
        <r>
          <rPr>
            <i/>
            <sz val="8"/>
            <color indexed="81"/>
            <rFont val="Tahoma"/>
            <family val="2"/>
          </rPr>
          <t>Bright White</t>
        </r>
        <r>
          <rPr>
            <sz val="8"/>
            <color indexed="81"/>
            <rFont val="Tahoma"/>
            <family val="2"/>
          </rPr>
          <t xml:space="preserve">
Classic White - </t>
        </r>
        <r>
          <rPr>
            <i/>
            <sz val="8"/>
            <color indexed="81"/>
            <rFont val="Tahoma"/>
            <family val="2"/>
          </rPr>
          <t>White</t>
        </r>
        <r>
          <rPr>
            <sz val="8"/>
            <color indexed="81"/>
            <rFont val="Tahoma"/>
            <family val="2"/>
          </rPr>
          <t xml:space="preserve">
Snow White - </t>
        </r>
        <r>
          <rPr>
            <i/>
            <sz val="8"/>
            <color indexed="81"/>
            <rFont val="Tahoma"/>
            <family val="2"/>
          </rPr>
          <t>Snow White</t>
        </r>
        <r>
          <rPr>
            <sz val="8"/>
            <color indexed="81"/>
            <rFont val="Tahoma"/>
            <family val="2"/>
          </rPr>
          <t xml:space="preserve">
Super White - </t>
        </r>
        <r>
          <rPr>
            <i/>
            <sz val="8"/>
            <color indexed="81"/>
            <rFont val="Tahoma"/>
            <family val="2"/>
          </rPr>
          <t>Snow White</t>
        </r>
        <r>
          <rPr>
            <sz val="8"/>
            <color indexed="81"/>
            <rFont val="Tahoma"/>
            <family val="2"/>
          </rPr>
          <t xml:space="preserve">
Vanilla - </t>
        </r>
        <r>
          <rPr>
            <i/>
            <sz val="8"/>
            <color indexed="81"/>
            <rFont val="Tahoma"/>
            <family val="2"/>
          </rPr>
          <t xml:space="preserve">Ivory
</t>
        </r>
        <r>
          <rPr>
            <sz val="8"/>
            <color indexed="81"/>
            <rFont val="Tahoma"/>
            <family val="2"/>
          </rPr>
          <t xml:space="preserve">Ceylon - </t>
        </r>
        <r>
          <rPr>
            <i/>
            <sz val="8"/>
            <color indexed="81"/>
            <rFont val="Tahoma"/>
            <family val="2"/>
          </rPr>
          <t>Ceylon</t>
        </r>
        <r>
          <rPr>
            <sz val="8"/>
            <color indexed="81"/>
            <rFont val="Tahoma"/>
            <family val="2"/>
          </rPr>
          <t xml:space="preserve">
Earl Grey - </t>
        </r>
        <r>
          <rPr>
            <i/>
            <sz val="8"/>
            <color indexed="81"/>
            <rFont val="Tahoma"/>
            <family val="2"/>
          </rPr>
          <t>Earl Grey</t>
        </r>
        <r>
          <rPr>
            <sz val="8"/>
            <color indexed="81"/>
            <rFont val="Tahoma"/>
            <family val="2"/>
          </rPr>
          <t xml:space="preserve">
French White - </t>
        </r>
        <r>
          <rPr>
            <i/>
            <sz val="8"/>
            <color indexed="81"/>
            <rFont val="Tahoma"/>
            <family val="2"/>
          </rPr>
          <t>French White</t>
        </r>
        <r>
          <rPr>
            <sz val="8"/>
            <color indexed="81"/>
            <rFont val="Tahoma"/>
            <family val="2"/>
          </rPr>
          <t xml:space="preserve">
Infinite White -</t>
        </r>
        <r>
          <rPr>
            <i/>
            <sz val="8"/>
            <color indexed="81"/>
            <rFont val="Tahoma"/>
            <family val="2"/>
          </rPr>
          <t xml:space="preserve"> Infinite White</t>
        </r>
        <r>
          <rPr>
            <sz val="8"/>
            <color indexed="81"/>
            <rFont val="Tahoma"/>
            <family val="2"/>
          </rPr>
          <t xml:space="preserve">
Polar White - </t>
        </r>
        <r>
          <rPr>
            <i/>
            <sz val="8"/>
            <color indexed="81"/>
            <rFont val="Tahoma"/>
            <family val="2"/>
          </rPr>
          <t>Polar White</t>
        </r>
        <r>
          <rPr>
            <sz val="8"/>
            <color indexed="81"/>
            <rFont val="Tahoma"/>
            <family val="2"/>
          </rPr>
          <t xml:space="preserve">
Quiet White - </t>
        </r>
        <r>
          <rPr>
            <i/>
            <sz val="8"/>
            <color indexed="81"/>
            <rFont val="Tahoma"/>
            <family val="2"/>
          </rPr>
          <t>Quiet White</t>
        </r>
        <r>
          <rPr>
            <sz val="8"/>
            <color indexed="81"/>
            <rFont val="Tahoma"/>
            <family val="2"/>
          </rPr>
          <t xml:space="preserve">
Snow Gum Grey - </t>
        </r>
        <r>
          <rPr>
            <i/>
            <sz val="8"/>
            <color indexed="81"/>
            <rFont val="Tahoma"/>
            <family val="2"/>
          </rPr>
          <t>Snow Gum Grey</t>
        </r>
        <r>
          <rPr>
            <sz val="8"/>
            <color indexed="81"/>
            <rFont val="Tahoma"/>
            <family val="2"/>
          </rPr>
          <t xml:space="preserve">
Snowy Mountains White - </t>
        </r>
        <r>
          <rPr>
            <i/>
            <sz val="8"/>
            <color indexed="81"/>
            <rFont val="Tahoma"/>
            <family val="2"/>
          </rPr>
          <t>Snowy Mountains White</t>
        </r>
        <r>
          <rPr>
            <sz val="8"/>
            <color indexed="81"/>
            <rFont val="Tahoma"/>
            <family val="2"/>
          </rPr>
          <t xml:space="preserve">
For standard Shutters in Fauxwood Designer Eco 
Standard 77mm Hinges will be used.
For standard Shutters in Fauxwood Designer Eco Plus, 
Fauxwood Designer Eco Night &amp; Luvre
Standard 90mm Hinges will be used.
The Pivot Hinged Colour options are;
White
Stainless Steel
Please refer to the Shutter Manual. 
</t>
        </r>
        <r>
          <rPr>
            <i/>
            <sz val="8"/>
            <color indexed="81"/>
            <rFont val="Tahoma"/>
            <family val="2"/>
          </rPr>
          <t>Stainless Steel Surcharge applies.</t>
        </r>
      </text>
    </comment>
    <comment ref="X15" authorId="0" shapeId="0" xr:uid="{20250587-B925-4261-9364-6F3982A0CC3A}">
      <text>
        <r>
          <rPr>
            <sz val="8"/>
            <color indexed="81"/>
            <rFont val="Tahoma"/>
            <family val="2"/>
          </rPr>
          <t>Please Note: 
If Closed option is chosen then the blades 
can be damaged if they are left open 
when Sliding the Panel.
Open is not an option for 3 Tracks.</t>
        </r>
      </text>
    </comment>
    <comment ref="Y15" authorId="0" shapeId="0" xr:uid="{1B88986D-F5AF-40C9-B181-56301152463D}">
      <text>
        <r>
          <rPr>
            <sz val="8"/>
            <color indexed="81"/>
            <rFont val="Tahoma"/>
            <family val="2"/>
          </rPr>
          <t>If any T Posts are required then the measurements 
must be supplied under the next columns.
Measurements should be made from the left.
A Flat (Unbeaded) T Post can be ordered to match 
the Flat Stile Shutter in the Stile &amp; T Post column.</t>
        </r>
      </text>
    </comment>
    <comment ref="AC15" authorId="0" shapeId="0" xr:uid="{B599876E-EBE2-411C-884F-88155971D530}">
      <text>
        <r>
          <rPr>
            <sz val="8"/>
            <color indexed="81"/>
            <rFont val="Tahoma"/>
            <family val="2"/>
          </rPr>
          <t>The Stile &amp; T Post 
options are;
Default (Beaded)
Flat Stile &amp; T Post
A Flat (unbeaded) Small L Frame can be ordered 
under the Frame Type.</t>
        </r>
      </text>
    </comment>
    <comment ref="AD15" authorId="0" shapeId="0" xr:uid="{F060E1D5-5A14-4369-B305-4E0C057D5843}">
      <text>
        <r>
          <rPr>
            <sz val="8"/>
            <color indexed="81"/>
            <rFont val="Tahoma"/>
            <family val="2"/>
          </rPr>
          <t xml:space="preserve">The Designer Eco,  
Designer Eco Plus &amp; Luvre
Fluffy Strip options are;
No
Yes
Fluffy Strip is supplied with the Fauxwood Designer Eco Night Shutter.
</t>
        </r>
        <r>
          <rPr>
            <i/>
            <sz val="8"/>
            <color indexed="81"/>
            <rFont val="Tahoma"/>
            <family val="2"/>
          </rPr>
          <t>Fluffy Strip Surcharge applies.</t>
        </r>
      </text>
    </comment>
    <comment ref="C16" authorId="0" shapeId="0" xr:uid="{987E4078-1AFC-4A0F-AFF6-4B2AB8B6EB9F}">
      <text>
        <r>
          <rPr>
            <sz val="8"/>
            <color indexed="81"/>
            <rFont val="Tahoma"/>
            <family val="2"/>
          </rPr>
          <t xml:space="preserve">Minimum Width is 180mm.
Maximum Fauxwood Standard Size 
Width is 650mm.
Maximum Fauxwood Designer Eco Width with 
63mm Blades is 900mm.
Maximum Fauxwood Designer Eco Width with 
89mm Blades is 900mm.
Maximum Fauxwood Designer Eco Plus Width with 
63mm Blades is 950mm.
Maximum Fauxwood Designer Eco Plus Width with 
89mm Blades is 950mm.
Maximum Fauxwood Designer Eco Night 
Width is 650mm.
Maximum Luvre Width is 950mm.
Fauxwood Designer Eco &amp; 
Fauxwood Designer Eco Plus Panels 
with a Width larger than 650mm will require 
Aluminium Inserts.
Conditions apply.
</t>
        </r>
        <r>
          <rPr>
            <i/>
            <sz val="8"/>
            <color indexed="81"/>
            <rFont val="Tahoma"/>
            <family val="2"/>
          </rPr>
          <t>Please note: 
Larger Panels may sometimes require lifting in to the frame.</t>
        </r>
      </text>
    </comment>
    <comment ref="D16" authorId="0" shapeId="0" xr:uid="{8C87C267-42D3-4A01-8366-B59E8DC1BDE9}">
      <text>
        <r>
          <rPr>
            <sz val="8"/>
            <color indexed="81"/>
            <rFont val="Tahoma"/>
            <family val="2"/>
          </rPr>
          <t>Minimum Height is 350mm.
Maximum Fauxwood Height is 2600mm.</t>
        </r>
      </text>
    </comment>
    <comment ref="E16" authorId="0" shapeId="0" xr:uid="{F99D890C-A881-41C3-917F-0BFBA8C05C2E}">
      <text>
        <r>
          <rPr>
            <sz val="8"/>
            <color indexed="81"/>
            <rFont val="Tahoma"/>
            <family val="2"/>
          </rPr>
          <t xml:space="preserve">In - Inside or Reveal Fit
Out - Outside or Face Fit
Alternative Option:
MS - Make Size
Panel Only Option
</t>
        </r>
        <r>
          <rPr>
            <i/>
            <sz val="8"/>
            <color indexed="81"/>
            <rFont val="Tahoma"/>
            <family val="2"/>
          </rPr>
          <t>(Used for specific requirements only)</t>
        </r>
      </text>
    </comment>
    <comment ref="F16" authorId="0" shapeId="0" xr:uid="{F322BBB5-CD33-4D82-B3B3-E84390FF6E02}">
      <text>
        <r>
          <rPr>
            <sz val="8"/>
            <color indexed="81"/>
            <rFont val="Tahoma"/>
            <family val="2"/>
          </rPr>
          <t>Quantity is the number of Panels 
within the opening. 
If ordering Make Size (MS), 
this will be the number of Panels 
at this size.</t>
        </r>
      </text>
    </comment>
    <comment ref="G16" authorId="0" shapeId="0" xr:uid="{4F3D32A9-EC61-4119-8BC3-F708E7D5242A}">
      <text>
        <r>
          <rPr>
            <sz val="8"/>
            <color indexed="81"/>
            <rFont val="Tahoma"/>
            <family val="2"/>
          </rPr>
          <t>Fauxwood Designer Eco will be made with the standard profile 
Bottom Rail,  Mid Rail &amp; Top Rail.
Fauxwood Designer Eco Plus will be made with the 
reinforced curved profile Bottom Rail, Mid Rail &amp; Top Rail.
Fauxwood Designer Eco Night will be made with the 
curved grooved profile Bottom Rail, Mid Rail &amp; Top Rail.
Luvre will be made with the reinforced
curved profile Bottom Rail, Mid Rail &amp; Top Rail.
Fauxwood Designer Eco Plus, Fauxwood Designer Eco Night &amp; Luvre 
Surcharge applies.</t>
        </r>
      </text>
    </comment>
    <comment ref="H16" authorId="0" shapeId="0" xr:uid="{B75AB2DC-1F4C-4AF4-BD08-0195657D0A1F}">
      <text>
        <r>
          <rPr>
            <sz val="8"/>
            <color indexed="81"/>
            <rFont val="Tahoma"/>
            <family val="2"/>
          </rPr>
          <t xml:space="preserve">Fauxwood Designer Colours options available;
Standard Colours;
Bright White
Classic White
Snow White
Super White
Vanilla
Specialty Colours;
Ceylon
Earl Grey
French White
Infinite White
Polar White
Quiet White
Snow Gum Grey
Snowy Mountains White
</t>
        </r>
        <r>
          <rPr>
            <i/>
            <sz val="8"/>
            <color indexed="81"/>
            <rFont val="Tahoma"/>
            <family val="2"/>
          </rPr>
          <t>Specialty Colours Surcharge applies.</t>
        </r>
        <r>
          <rPr>
            <sz val="8"/>
            <color indexed="81"/>
            <rFont val="Tahoma"/>
            <family val="2"/>
          </rPr>
          <t xml:space="preserve">
Luvre with Therme &amp; Scratch Resistant Paint 
Colours options available;
Snow White
Super White
</t>
        </r>
      </text>
    </comment>
    <comment ref="J16" authorId="0" shapeId="0" xr:uid="{3C59D6D5-A086-47B5-9315-348351772DF1}">
      <text>
        <r>
          <rPr>
            <sz val="8"/>
            <color indexed="81"/>
            <rFont val="Tahoma"/>
            <family val="2"/>
          </rPr>
          <t>Fauxwood Designer Eco &amp; 
Fauxwood Designer Eco Plus 
Blade sizes options are;
63mm
89mm
Fauxwood Designer Eco Night  
Blade sizes options are;
92mm
Luvre Blade sizes options are;
89mm
114mm</t>
        </r>
      </text>
    </comment>
    <comment ref="K16" authorId="0" shapeId="0" xr:uid="{D54C0B5E-983A-41AE-A12D-9633AA293EF5}">
      <text>
        <r>
          <rPr>
            <sz val="8"/>
            <color indexed="81"/>
            <rFont val="Tahoma"/>
            <family val="2"/>
          </rPr>
          <t>Mid Rail is required on Fauxwood Panels over 1500mm.
Cell will highlight yellow when Mid Rail is required.
Only one Critical Mid Rail is allowed.
A Mid Rail that is not marked "Critical" may be moved up or down 
up to 40mm to stop any gaps and increase/decrease the blade quantity.
Fauxwood Designer Eco will be made with the standard profile 
Bottom Rail,  Mid Rail &amp; Top Rail.
Fauxwood Designer Eco Plus will be made with the 
reinforced curved profile Bottom Rail, Mid Rail &amp; Top Rail.
Fauxwood Designer Eco Night will be made with the 
curved grooved profile Bottom Rail, Mid Rail &amp; Top Rail.
Luvre will be made with the reinforced
curved profile Bottom Rail, Mid Rail &amp; Top Rail.
Fauxwood Designer Eco Plus, Fauxwood Designer Eco Night &amp; Luvre Surcharge applies.</t>
        </r>
      </text>
    </comment>
    <comment ref="L16" authorId="0" shapeId="0" xr:uid="{E6EB8076-FF68-4A72-BC9C-EF602665B988}">
      <text>
        <r>
          <rPr>
            <sz val="8"/>
            <color indexed="81"/>
            <rFont val="Tahoma"/>
            <family val="2"/>
          </rPr>
          <t xml:space="preserve">The Fauxwood Designer Eco, 
Fauxwood Designer Eco Plus 
&amp; Luvre Window Type options are;
Standard
Bay Window
Corner Window
Door Cut Out
Shaped Arch
Shaped Hexagon
Shaped Octagon
Shaped Oval
Shaped Parallelogram
Shaped Raked
Shaped Round
Shaped Sunburst
Shaped Triangle
These Shapes are not available
with the Rack &amp; Pinion Tiltrod;
Shaped Arch
Shaped Hexagon
Shaped Octagon
Shaped Oval
Shaped Round
Shaped Sunburst
The Fauxwood Designer Eco Night Window Type 
options are;
Standard
Bay Window
Corner Window
</t>
        </r>
        <r>
          <rPr>
            <i/>
            <sz val="8"/>
            <color indexed="81"/>
            <rFont val="Tahoma"/>
            <family val="2"/>
          </rPr>
          <t xml:space="preserve">
</t>
        </r>
        <r>
          <rPr>
            <sz val="8"/>
            <color indexed="81"/>
            <rFont val="Tahoma"/>
            <family val="2"/>
          </rPr>
          <t>Shaped Shutters will need the Panel Layout to be 
compatible with the Hidden Tiltrod system.</t>
        </r>
      </text>
    </comment>
    <comment ref="M16" authorId="0" shapeId="0" xr:uid="{EFCD1A20-F1C8-44B3-9203-A317FFFF99A8}">
      <text>
        <r>
          <rPr>
            <sz val="8"/>
            <color indexed="81"/>
            <rFont val="Tahoma"/>
            <family val="2"/>
          </rPr>
          <t>Mounting Method is dependent 
on  MS, In Or Out &amp; Product.
For IN &amp; Fauxwood Designer Eco,  
Fauxwood Designer Eco Plus 
&amp; Luvre the options are;
Double Hinged
Fixed
Hinged
Pivot Hinged
Sliding
Track Bi Fold
For OUT &amp; Fauxwood Designer Eco,  
Fauxwood Designer Eco Plus 
&amp; Luvre the options are;
Double Hinged
Hinged
Pivot Hinged
Sliding
Track Bi Fold
For IN &amp; Fauxwood Designer Eco Night 
the options are;
Fixed
Hinged
For OUT &amp; Fauxwood Designer Eco Night 
the options are;
Fixed
Hinged
For MS, the options are;
N/A
Pivot Hinged is not recommended for 
Designer Eco Plus or Luvre.</t>
        </r>
      </text>
    </comment>
    <comment ref="N16" authorId="0" shapeId="0" xr:uid="{3EE9F1A6-249B-4A60-BCF2-E664938BDCB3}">
      <text>
        <r>
          <rPr>
            <sz val="8"/>
            <color indexed="81"/>
            <rFont val="Tahoma"/>
            <family val="2"/>
          </rPr>
          <t>For Sliding Track System options are;
Top Hung (Original System)
Bottom Wheel (New System)
The Top Hung (Original System) uses 
Top Wheels Mounting.
The Bottom Wheel (New System) uses a 
U Channel at the Top and 
Wheels at the Bottom.
This option cannot have a Floor Guide or 
Track On Board.</t>
        </r>
      </text>
    </comment>
    <comment ref="O16" authorId="0" shapeId="0" xr:uid="{996990B6-8007-4E9E-A1FB-0069F98CBD2E}">
      <text>
        <r>
          <rPr>
            <sz val="8"/>
            <color indexed="81"/>
            <rFont val="Tahoma"/>
            <family val="2"/>
          </rPr>
          <t>Please refer to the Shutter Manual 
when selecting Layout Code.
The list provides the most common options, 
which are dependent on Mounting Method.
More complex Layout Codes can still be entered manually.</t>
        </r>
      </text>
    </comment>
    <comment ref="P16" authorId="0" shapeId="0" xr:uid="{87450188-FC2A-4BB6-B9C3-74A9CDB578D4}">
      <text>
        <r>
          <rPr>
            <sz val="8"/>
            <color indexed="81"/>
            <rFont val="Tahoma"/>
            <family val="2"/>
          </rPr>
          <t>Frame Type is dependent on
 Mounting Method.
If a Flat (unbeaded) Small L Frame 
is selected, a matching Stile &amp; T Post can be 
ordered in the Stile &amp; T Post column.</t>
        </r>
      </text>
    </comment>
    <comment ref="V16" authorId="0" shapeId="0" xr:uid="{0B58F596-C191-40B2-95B7-DCAFD5A2EDB9}">
      <text>
        <r>
          <rPr>
            <sz val="8"/>
            <color indexed="81"/>
            <rFont val="Tahoma"/>
            <family val="2"/>
          </rPr>
          <t>This option is dependent on the 
Material &amp; Product 
and will only be available once this 
option is selected.
For Fauxwood Designer Eco
&amp; Fauxwood Designer Eco Plus 
the options are;
Hidden
Centre
Off-Set
Rack &amp; Pinion
These Shapes are not available
with the Rack &amp; Pinion Tiltrod;
Shaped Arch
Shaped Hexagon
Shaped Octagon
Shaped Oval
Shaped Round
Shaped Sunburst
For Fauxwood Designer Eco Night
the options are;
Hidden
For Luvre the options are;
Hidden</t>
        </r>
      </text>
    </comment>
    <comment ref="W16" authorId="0" shapeId="0" xr:uid="{E9493FF8-881C-4AA5-94CA-C21061D9D4CB}">
      <text>
        <r>
          <rPr>
            <sz val="8"/>
            <color indexed="81"/>
            <rFont val="Tahoma"/>
            <family val="2"/>
          </rPr>
          <t xml:space="preserve">If no Hinge Colour is selected, 
then the default Hinge Colour and hardware 
will be supplied. 
The Hinge Colour options are;
Default
Stainless Steel
N/A
When Default is selected, the Hinge will be supplied 
as per the matching Hinge Colour list below;
Shutter Colour - </t>
        </r>
        <r>
          <rPr>
            <i/>
            <sz val="8"/>
            <color indexed="81"/>
            <rFont val="Tahoma"/>
            <family val="2"/>
          </rPr>
          <t>Hinge Colour</t>
        </r>
        <r>
          <rPr>
            <sz val="8"/>
            <color indexed="81"/>
            <rFont val="Tahoma"/>
            <family val="2"/>
          </rPr>
          <t xml:space="preserve">
   Bright White - </t>
        </r>
        <r>
          <rPr>
            <i/>
            <sz val="8"/>
            <color indexed="81"/>
            <rFont val="Tahoma"/>
            <family val="2"/>
          </rPr>
          <t>Bright White</t>
        </r>
        <r>
          <rPr>
            <sz val="8"/>
            <color indexed="81"/>
            <rFont val="Tahoma"/>
            <family val="2"/>
          </rPr>
          <t xml:space="preserve">
Classic White - </t>
        </r>
        <r>
          <rPr>
            <i/>
            <sz val="8"/>
            <color indexed="81"/>
            <rFont val="Tahoma"/>
            <family val="2"/>
          </rPr>
          <t>White</t>
        </r>
        <r>
          <rPr>
            <sz val="8"/>
            <color indexed="81"/>
            <rFont val="Tahoma"/>
            <family val="2"/>
          </rPr>
          <t xml:space="preserve">
Snow White - </t>
        </r>
        <r>
          <rPr>
            <i/>
            <sz val="8"/>
            <color indexed="81"/>
            <rFont val="Tahoma"/>
            <family val="2"/>
          </rPr>
          <t>Snow White</t>
        </r>
        <r>
          <rPr>
            <sz val="8"/>
            <color indexed="81"/>
            <rFont val="Tahoma"/>
            <family val="2"/>
          </rPr>
          <t xml:space="preserve">
Super White - </t>
        </r>
        <r>
          <rPr>
            <i/>
            <sz val="8"/>
            <color indexed="81"/>
            <rFont val="Tahoma"/>
            <family val="2"/>
          </rPr>
          <t>Snow White</t>
        </r>
        <r>
          <rPr>
            <sz val="8"/>
            <color indexed="81"/>
            <rFont val="Tahoma"/>
            <family val="2"/>
          </rPr>
          <t xml:space="preserve">
Vanilla - </t>
        </r>
        <r>
          <rPr>
            <i/>
            <sz val="8"/>
            <color indexed="81"/>
            <rFont val="Tahoma"/>
            <family val="2"/>
          </rPr>
          <t xml:space="preserve">Ivory
</t>
        </r>
        <r>
          <rPr>
            <sz val="8"/>
            <color indexed="81"/>
            <rFont val="Tahoma"/>
            <family val="2"/>
          </rPr>
          <t xml:space="preserve">Ceylon - </t>
        </r>
        <r>
          <rPr>
            <i/>
            <sz val="8"/>
            <color indexed="81"/>
            <rFont val="Tahoma"/>
            <family val="2"/>
          </rPr>
          <t>Ceylon</t>
        </r>
        <r>
          <rPr>
            <sz val="8"/>
            <color indexed="81"/>
            <rFont val="Tahoma"/>
            <family val="2"/>
          </rPr>
          <t xml:space="preserve">
Earl Grey - </t>
        </r>
        <r>
          <rPr>
            <i/>
            <sz val="8"/>
            <color indexed="81"/>
            <rFont val="Tahoma"/>
            <family val="2"/>
          </rPr>
          <t>Earl Grey</t>
        </r>
        <r>
          <rPr>
            <sz val="8"/>
            <color indexed="81"/>
            <rFont val="Tahoma"/>
            <family val="2"/>
          </rPr>
          <t xml:space="preserve">
French White - </t>
        </r>
        <r>
          <rPr>
            <i/>
            <sz val="8"/>
            <color indexed="81"/>
            <rFont val="Tahoma"/>
            <family val="2"/>
          </rPr>
          <t>French White</t>
        </r>
        <r>
          <rPr>
            <sz val="8"/>
            <color indexed="81"/>
            <rFont val="Tahoma"/>
            <family val="2"/>
          </rPr>
          <t xml:space="preserve">
Infinite White -</t>
        </r>
        <r>
          <rPr>
            <i/>
            <sz val="8"/>
            <color indexed="81"/>
            <rFont val="Tahoma"/>
            <family val="2"/>
          </rPr>
          <t xml:space="preserve"> Infinite White</t>
        </r>
        <r>
          <rPr>
            <sz val="8"/>
            <color indexed="81"/>
            <rFont val="Tahoma"/>
            <family val="2"/>
          </rPr>
          <t xml:space="preserve">
Polar White - </t>
        </r>
        <r>
          <rPr>
            <i/>
            <sz val="8"/>
            <color indexed="81"/>
            <rFont val="Tahoma"/>
            <family val="2"/>
          </rPr>
          <t>Polar White</t>
        </r>
        <r>
          <rPr>
            <sz val="8"/>
            <color indexed="81"/>
            <rFont val="Tahoma"/>
            <family val="2"/>
          </rPr>
          <t xml:space="preserve">
Quiet White - </t>
        </r>
        <r>
          <rPr>
            <i/>
            <sz val="8"/>
            <color indexed="81"/>
            <rFont val="Tahoma"/>
            <family val="2"/>
          </rPr>
          <t>Quiet White</t>
        </r>
        <r>
          <rPr>
            <sz val="8"/>
            <color indexed="81"/>
            <rFont val="Tahoma"/>
            <family val="2"/>
          </rPr>
          <t xml:space="preserve">
Snow Gum Grey - </t>
        </r>
        <r>
          <rPr>
            <i/>
            <sz val="8"/>
            <color indexed="81"/>
            <rFont val="Tahoma"/>
            <family val="2"/>
          </rPr>
          <t>Snow Gum Grey</t>
        </r>
        <r>
          <rPr>
            <sz val="8"/>
            <color indexed="81"/>
            <rFont val="Tahoma"/>
            <family val="2"/>
          </rPr>
          <t xml:space="preserve">
Snowy Mountains White - </t>
        </r>
        <r>
          <rPr>
            <i/>
            <sz val="8"/>
            <color indexed="81"/>
            <rFont val="Tahoma"/>
            <family val="2"/>
          </rPr>
          <t>Snowy Mountains White</t>
        </r>
        <r>
          <rPr>
            <sz val="8"/>
            <color indexed="81"/>
            <rFont val="Tahoma"/>
            <family val="2"/>
          </rPr>
          <t xml:space="preserve">
For standard Shutters in Fauxwood Designer Eco 
Standard 77mm Hinges will be used.
For standard Shutters in Fauxwood Designer Eco Plus, 
Fauxwood Designer Eco Night &amp; Luvre
Standard 90mm Hinges will be used.
The Pivot Hinged Colour options are;
White
Stainless Steel
Please refer to the Shutter Manual. 
</t>
        </r>
        <r>
          <rPr>
            <i/>
            <sz val="8"/>
            <color indexed="81"/>
            <rFont val="Tahoma"/>
            <family val="2"/>
          </rPr>
          <t>Stainless Steel Surcharge applies.</t>
        </r>
      </text>
    </comment>
    <comment ref="X16" authorId="0" shapeId="0" xr:uid="{4E27BE42-1EF4-40E9-B2EC-E1861A48674D}">
      <text>
        <r>
          <rPr>
            <sz val="8"/>
            <color indexed="81"/>
            <rFont val="Tahoma"/>
            <family val="2"/>
          </rPr>
          <t>Please Note: 
If Closed option is chosen then the blades 
can be damaged if they are left open 
when Sliding the Panel.
Open is not an option for 3 Tracks.</t>
        </r>
      </text>
    </comment>
    <comment ref="Y16" authorId="0" shapeId="0" xr:uid="{A3744263-6BC9-41A7-B37F-7857F87574B6}">
      <text>
        <r>
          <rPr>
            <sz val="8"/>
            <color indexed="81"/>
            <rFont val="Tahoma"/>
            <family val="2"/>
          </rPr>
          <t>If any T Posts are required then the measurements 
must be supplied under the next columns.
Measurements should be made from the left.
A Flat (Unbeaded) T Post can be ordered to match 
the Flat Stile Shutter in the Stile &amp; T Post column.</t>
        </r>
      </text>
    </comment>
    <comment ref="AC16" authorId="0" shapeId="0" xr:uid="{2AB0C259-9833-447A-9395-97CBD7AB0D75}">
      <text>
        <r>
          <rPr>
            <sz val="8"/>
            <color indexed="81"/>
            <rFont val="Tahoma"/>
            <family val="2"/>
          </rPr>
          <t>The Stile &amp; T Post 
options are;
Default (Beaded)
Flat Stile &amp; T Post
A Flat (unbeaded) Small L Frame can be ordered 
under the Frame Type.</t>
        </r>
      </text>
    </comment>
    <comment ref="AD16" authorId="0" shapeId="0" xr:uid="{DD3517B4-219B-4AE3-8C9A-9403C2B73F03}">
      <text>
        <r>
          <rPr>
            <sz val="8"/>
            <color indexed="81"/>
            <rFont val="Tahoma"/>
            <family val="2"/>
          </rPr>
          <t xml:space="preserve">The Designer Eco,  
Designer Eco Plus &amp; Luvre
Fluffy Strip options are;
No
Yes
Fluffy Strip is supplied with the Fauxwood Designer Eco Night Shutter.
</t>
        </r>
        <r>
          <rPr>
            <i/>
            <sz val="8"/>
            <color indexed="81"/>
            <rFont val="Tahoma"/>
            <family val="2"/>
          </rPr>
          <t>Fluffy Strip Surcharge applies.</t>
        </r>
      </text>
    </comment>
    <comment ref="C17" authorId="0" shapeId="0" xr:uid="{1E1590B3-8B59-4EAA-BF05-53E56061C498}">
      <text>
        <r>
          <rPr>
            <sz val="8"/>
            <color indexed="81"/>
            <rFont val="Tahoma"/>
            <family val="2"/>
          </rPr>
          <t xml:space="preserve">Minimum Width is 180mm.
Maximum Fauxwood Standard Size 
Width is 650mm.
Maximum Fauxwood Designer Eco Width with 
63mm Blades is 900mm.
Maximum Fauxwood Designer Eco Width with 
89mm Blades is 900mm.
Maximum Fauxwood Designer Eco Plus Width with 
63mm Blades is 950mm.
Maximum Fauxwood Designer Eco Plus Width with 
89mm Blades is 950mm.
Maximum Fauxwood Designer Eco Night 
Width is 650mm.
Maximum Luvre Width is 950mm.
Fauxwood Designer Eco &amp; 
Fauxwood Designer Eco Plus Panels 
with a Width larger than 650mm will require 
Aluminium Inserts.
Conditions apply.
</t>
        </r>
        <r>
          <rPr>
            <i/>
            <sz val="8"/>
            <color indexed="81"/>
            <rFont val="Tahoma"/>
            <family val="2"/>
          </rPr>
          <t>Please note: 
Larger Panels may sometimes require lifting in to the frame.</t>
        </r>
      </text>
    </comment>
    <comment ref="D17" authorId="0" shapeId="0" xr:uid="{D99B6838-765E-452F-8C62-13639DD0479B}">
      <text>
        <r>
          <rPr>
            <sz val="8"/>
            <color indexed="81"/>
            <rFont val="Tahoma"/>
            <family val="2"/>
          </rPr>
          <t>Minimum Height is 350mm.
Maximum Fauxwood Height is 2600mm.</t>
        </r>
      </text>
    </comment>
    <comment ref="E17" authorId="0" shapeId="0" xr:uid="{332EDB14-865B-43D4-9D0F-89C88F9784FF}">
      <text>
        <r>
          <rPr>
            <sz val="8"/>
            <color indexed="81"/>
            <rFont val="Tahoma"/>
            <family val="2"/>
          </rPr>
          <t xml:space="preserve">In - Inside or Reveal Fit
Out - Outside or Face Fit
Alternative Option:
MS - Make Size
Panel Only Option
</t>
        </r>
        <r>
          <rPr>
            <i/>
            <sz val="8"/>
            <color indexed="81"/>
            <rFont val="Tahoma"/>
            <family val="2"/>
          </rPr>
          <t>(Used for specific requirements only)</t>
        </r>
      </text>
    </comment>
    <comment ref="F17" authorId="0" shapeId="0" xr:uid="{F5F6757D-DE42-4DAE-A8DB-E91B60717B1A}">
      <text>
        <r>
          <rPr>
            <sz val="8"/>
            <color indexed="81"/>
            <rFont val="Tahoma"/>
            <family val="2"/>
          </rPr>
          <t>Quantity is the number of Panels 
within the opening. 
If ordering Make Size (MS), 
this will be the number of Panels 
at this size.</t>
        </r>
      </text>
    </comment>
    <comment ref="G17" authorId="0" shapeId="0" xr:uid="{5641A85A-D2B1-4B1D-8240-30A7D9AEFB40}">
      <text>
        <r>
          <rPr>
            <sz val="8"/>
            <color indexed="81"/>
            <rFont val="Tahoma"/>
            <family val="2"/>
          </rPr>
          <t>Fauxwood Designer Eco will be made with the standard profile 
Bottom Rail,  Mid Rail &amp; Top Rail.
Fauxwood Designer Eco Plus will be made with the 
reinforced curved profile Bottom Rail, Mid Rail &amp; Top Rail.
Fauxwood Designer Eco Night will be made with the 
curved grooved profile Bottom Rail, Mid Rail &amp; Top Rail.
Luvre will be made with the reinforced
curved profile Bottom Rail, Mid Rail &amp; Top Rail.
Fauxwood Designer Eco Plus, Fauxwood Designer Eco Night &amp; Luvre 
Surcharge applies.</t>
        </r>
      </text>
    </comment>
    <comment ref="H17" authorId="0" shapeId="0" xr:uid="{6ADB0156-A0F6-42C0-922F-449D00897C0D}">
      <text>
        <r>
          <rPr>
            <sz val="8"/>
            <color indexed="81"/>
            <rFont val="Tahoma"/>
            <family val="2"/>
          </rPr>
          <t xml:space="preserve">Fauxwood Designer Colours options available;
Standard Colours;
Bright White
Classic White
Snow White
Super White
Vanilla
Specialty Colours;
Ceylon
Earl Grey
French White
Infinite White
Polar White
Quiet White
Snow Gum Grey
Snowy Mountains White
</t>
        </r>
        <r>
          <rPr>
            <i/>
            <sz val="8"/>
            <color indexed="81"/>
            <rFont val="Tahoma"/>
            <family val="2"/>
          </rPr>
          <t>Specialty Colours Surcharge applies.</t>
        </r>
        <r>
          <rPr>
            <sz val="8"/>
            <color indexed="81"/>
            <rFont val="Tahoma"/>
            <family val="2"/>
          </rPr>
          <t xml:space="preserve">
Luvre with Therme &amp; Scratch Resistant Paint 
Colours options available;
Snow White
Super White
</t>
        </r>
      </text>
    </comment>
    <comment ref="J17" authorId="0" shapeId="0" xr:uid="{3E6DE27B-BAFF-4930-BD08-A93E28306FCC}">
      <text>
        <r>
          <rPr>
            <sz val="8"/>
            <color indexed="81"/>
            <rFont val="Tahoma"/>
            <family val="2"/>
          </rPr>
          <t>Fauxwood Designer Eco &amp; 
Fauxwood Designer Eco Plus 
Blade sizes options are;
63mm
89mm
Fauxwood Designer Eco Night  
Blade sizes options are;
92mm
Luvre Blade sizes options are;
89mm
114mm</t>
        </r>
      </text>
    </comment>
    <comment ref="K17" authorId="0" shapeId="0" xr:uid="{2CB06E8E-E0B6-46AD-A2BA-690AA9765B0F}">
      <text>
        <r>
          <rPr>
            <sz val="8"/>
            <color indexed="81"/>
            <rFont val="Tahoma"/>
            <family val="2"/>
          </rPr>
          <t>Mid Rail is required on Fauxwood Panels over 1500mm.
Cell will highlight yellow when Mid Rail is required.
Only one Critical Mid Rail is allowed.
A Mid Rail that is not marked "Critical" may be moved up or down 
up to 40mm to stop any gaps and increase/decrease the blade quantity.
Fauxwood Designer Eco will be made with the standard profile 
Bottom Rail,  Mid Rail &amp; Top Rail.
Fauxwood Designer Eco Plus will be made with the 
reinforced curved profile Bottom Rail, Mid Rail &amp; Top Rail.
Fauxwood Designer Eco Night will be made with the 
curved grooved profile Bottom Rail, Mid Rail &amp; Top Rail.
Luvre will be made with the reinforced
curved profile Bottom Rail, Mid Rail &amp; Top Rail.
Fauxwood Designer Eco Plus, Fauxwood Designer Eco Night &amp; Luvre Surcharge applies.</t>
        </r>
      </text>
    </comment>
    <comment ref="L17" authorId="0" shapeId="0" xr:uid="{DB6D1234-1174-4AE2-8F05-F4F1047C1B76}">
      <text>
        <r>
          <rPr>
            <sz val="8"/>
            <color indexed="81"/>
            <rFont val="Tahoma"/>
            <family val="2"/>
          </rPr>
          <t xml:space="preserve">The Fauxwood Designer Eco, 
Fauxwood Designer Eco Plus 
&amp; Luvre Window Type options are;
Standard
Bay Window
Corner Window
Door Cut Out
Shaped Arch
Shaped Hexagon
Shaped Octagon
Shaped Oval
Shaped Parallelogram
Shaped Raked
Shaped Round
Shaped Sunburst
Shaped Triangle
These Shapes are not available
with the Rack &amp; Pinion Tiltrod;
Shaped Arch
Shaped Hexagon
Shaped Octagon
Shaped Oval
Shaped Round
Shaped Sunburst
The Fauxwood Designer Eco Night Window Type 
options are;
Standard
Bay Window
Corner Window
</t>
        </r>
        <r>
          <rPr>
            <i/>
            <sz val="8"/>
            <color indexed="81"/>
            <rFont val="Tahoma"/>
            <family val="2"/>
          </rPr>
          <t xml:space="preserve">
</t>
        </r>
        <r>
          <rPr>
            <sz val="8"/>
            <color indexed="81"/>
            <rFont val="Tahoma"/>
            <family val="2"/>
          </rPr>
          <t>Shaped Shutters will need the Panel Layout to be 
compatible with the Hidden Tiltrod system.</t>
        </r>
      </text>
    </comment>
    <comment ref="M17" authorId="0" shapeId="0" xr:uid="{7D8683A6-F52C-44B7-BAAD-88F859FB5854}">
      <text>
        <r>
          <rPr>
            <sz val="8"/>
            <color indexed="81"/>
            <rFont val="Tahoma"/>
            <family val="2"/>
          </rPr>
          <t>Mounting Method is dependent 
on  MS, In Or Out &amp; Product.
For IN &amp; Fauxwood Designer Eco,  
Fauxwood Designer Eco Plus 
&amp; Luvre the options are;
Double Hinged
Fixed
Hinged
Pivot Hinged
Sliding
Track Bi Fold
For OUT &amp; Fauxwood Designer Eco,  
Fauxwood Designer Eco Plus 
&amp; Luvre the options are;
Double Hinged
Hinged
Pivot Hinged
Sliding
Track Bi Fold
For IN &amp; Fauxwood Designer Eco Night 
the options are;
Fixed
Hinged
For OUT &amp; Fauxwood Designer Eco Night 
the options are;
Fixed
Hinged
For MS, the options are;
N/A
Pivot Hinged is not recommended for 
Designer Eco Plus or Luvre.</t>
        </r>
      </text>
    </comment>
    <comment ref="N17" authorId="0" shapeId="0" xr:uid="{CDB9FF67-81ED-4CC6-B439-E91FF18116D9}">
      <text>
        <r>
          <rPr>
            <sz val="8"/>
            <color indexed="81"/>
            <rFont val="Tahoma"/>
            <family val="2"/>
          </rPr>
          <t>For Sliding Track System options are;
Top Hung (Original System)
Bottom Wheel (New System)
The Top Hung (Original System) uses 
Top Wheels Mounting.
The Bottom Wheel (New System) uses a 
U Channel at the Top and 
Wheels at the Bottom.
This option cannot have a Floor Guide or 
Track On Board.</t>
        </r>
      </text>
    </comment>
    <comment ref="O17" authorId="0" shapeId="0" xr:uid="{1134EA46-CBE5-4432-86EF-661651FF760B}">
      <text>
        <r>
          <rPr>
            <sz val="8"/>
            <color indexed="81"/>
            <rFont val="Tahoma"/>
            <family val="2"/>
          </rPr>
          <t>Please refer to the Shutter Manual 
when selecting Layout Code.
The list provides the most common options, 
which are dependent on Mounting Method.
More complex Layout Codes can still be entered manually.</t>
        </r>
      </text>
    </comment>
    <comment ref="P17" authorId="0" shapeId="0" xr:uid="{D6F37CDC-68B1-4B2F-82E6-10CE7CBBF173}">
      <text>
        <r>
          <rPr>
            <sz val="8"/>
            <color indexed="81"/>
            <rFont val="Tahoma"/>
            <family val="2"/>
          </rPr>
          <t>Frame Type is dependent on
 Mounting Method.
If a Flat (unbeaded) Small L Frame 
is selected, a matching Stile &amp; T Post can be 
ordered in the Stile &amp; T Post column.</t>
        </r>
      </text>
    </comment>
    <comment ref="V17" authorId="0" shapeId="0" xr:uid="{60B50D30-C12E-4381-917F-9D8BED98CB48}">
      <text>
        <r>
          <rPr>
            <sz val="8"/>
            <color indexed="81"/>
            <rFont val="Tahoma"/>
            <family val="2"/>
          </rPr>
          <t>This option is dependent on the 
Material &amp; Product 
and will only be available once this 
option is selected.
For Fauxwood Designer Eco
&amp; Fauxwood Designer Eco Plus 
the options are;
Hidden
Centre
Off-Set
Rack &amp; Pinion
These Shapes are not available
with the Rack &amp; Pinion Tiltrod;
Shaped Arch
Shaped Hexagon
Shaped Octagon
Shaped Oval
Shaped Round
Shaped Sunburst
For Fauxwood Designer Eco Night
the options are;
Hidden
For Luvre the options are;
Hidden</t>
        </r>
      </text>
    </comment>
    <comment ref="W17" authorId="0" shapeId="0" xr:uid="{C8A640A4-5021-400B-80DC-4CD92CCC6D8E}">
      <text>
        <r>
          <rPr>
            <sz val="8"/>
            <color indexed="81"/>
            <rFont val="Tahoma"/>
            <family val="2"/>
          </rPr>
          <t xml:space="preserve">If no Hinge Colour is selected, 
then the default Hinge Colour and hardware 
will be supplied. 
The Hinge Colour options are;
Default
Stainless Steel
N/A
When Default is selected, the Hinge will be supplied 
as per the matching Hinge Colour list below;
Shutter Colour - </t>
        </r>
        <r>
          <rPr>
            <i/>
            <sz val="8"/>
            <color indexed="81"/>
            <rFont val="Tahoma"/>
            <family val="2"/>
          </rPr>
          <t>Hinge Colour</t>
        </r>
        <r>
          <rPr>
            <sz val="8"/>
            <color indexed="81"/>
            <rFont val="Tahoma"/>
            <family val="2"/>
          </rPr>
          <t xml:space="preserve">
   Bright White - </t>
        </r>
        <r>
          <rPr>
            <i/>
            <sz val="8"/>
            <color indexed="81"/>
            <rFont val="Tahoma"/>
            <family val="2"/>
          </rPr>
          <t>Bright White</t>
        </r>
        <r>
          <rPr>
            <sz val="8"/>
            <color indexed="81"/>
            <rFont val="Tahoma"/>
            <family val="2"/>
          </rPr>
          <t xml:space="preserve">
Classic White - </t>
        </r>
        <r>
          <rPr>
            <i/>
            <sz val="8"/>
            <color indexed="81"/>
            <rFont val="Tahoma"/>
            <family val="2"/>
          </rPr>
          <t>White</t>
        </r>
        <r>
          <rPr>
            <sz val="8"/>
            <color indexed="81"/>
            <rFont val="Tahoma"/>
            <family val="2"/>
          </rPr>
          <t xml:space="preserve">
Snow White - </t>
        </r>
        <r>
          <rPr>
            <i/>
            <sz val="8"/>
            <color indexed="81"/>
            <rFont val="Tahoma"/>
            <family val="2"/>
          </rPr>
          <t>Snow White</t>
        </r>
        <r>
          <rPr>
            <sz val="8"/>
            <color indexed="81"/>
            <rFont val="Tahoma"/>
            <family val="2"/>
          </rPr>
          <t xml:space="preserve">
Super White - </t>
        </r>
        <r>
          <rPr>
            <i/>
            <sz val="8"/>
            <color indexed="81"/>
            <rFont val="Tahoma"/>
            <family val="2"/>
          </rPr>
          <t>Snow White</t>
        </r>
        <r>
          <rPr>
            <sz val="8"/>
            <color indexed="81"/>
            <rFont val="Tahoma"/>
            <family val="2"/>
          </rPr>
          <t xml:space="preserve">
Vanilla - </t>
        </r>
        <r>
          <rPr>
            <i/>
            <sz val="8"/>
            <color indexed="81"/>
            <rFont val="Tahoma"/>
            <family val="2"/>
          </rPr>
          <t xml:space="preserve">Ivory
</t>
        </r>
        <r>
          <rPr>
            <sz val="8"/>
            <color indexed="81"/>
            <rFont val="Tahoma"/>
            <family val="2"/>
          </rPr>
          <t xml:space="preserve">Ceylon - </t>
        </r>
        <r>
          <rPr>
            <i/>
            <sz val="8"/>
            <color indexed="81"/>
            <rFont val="Tahoma"/>
            <family val="2"/>
          </rPr>
          <t>Ceylon</t>
        </r>
        <r>
          <rPr>
            <sz val="8"/>
            <color indexed="81"/>
            <rFont val="Tahoma"/>
            <family val="2"/>
          </rPr>
          <t xml:space="preserve">
Earl Grey - </t>
        </r>
        <r>
          <rPr>
            <i/>
            <sz val="8"/>
            <color indexed="81"/>
            <rFont val="Tahoma"/>
            <family val="2"/>
          </rPr>
          <t>Earl Grey</t>
        </r>
        <r>
          <rPr>
            <sz val="8"/>
            <color indexed="81"/>
            <rFont val="Tahoma"/>
            <family val="2"/>
          </rPr>
          <t xml:space="preserve">
French White - </t>
        </r>
        <r>
          <rPr>
            <i/>
            <sz val="8"/>
            <color indexed="81"/>
            <rFont val="Tahoma"/>
            <family val="2"/>
          </rPr>
          <t>French White</t>
        </r>
        <r>
          <rPr>
            <sz val="8"/>
            <color indexed="81"/>
            <rFont val="Tahoma"/>
            <family val="2"/>
          </rPr>
          <t xml:space="preserve">
Infinite White -</t>
        </r>
        <r>
          <rPr>
            <i/>
            <sz val="8"/>
            <color indexed="81"/>
            <rFont val="Tahoma"/>
            <family val="2"/>
          </rPr>
          <t xml:space="preserve"> Infinite White</t>
        </r>
        <r>
          <rPr>
            <sz val="8"/>
            <color indexed="81"/>
            <rFont val="Tahoma"/>
            <family val="2"/>
          </rPr>
          <t xml:space="preserve">
Polar White - </t>
        </r>
        <r>
          <rPr>
            <i/>
            <sz val="8"/>
            <color indexed="81"/>
            <rFont val="Tahoma"/>
            <family val="2"/>
          </rPr>
          <t>Polar White</t>
        </r>
        <r>
          <rPr>
            <sz val="8"/>
            <color indexed="81"/>
            <rFont val="Tahoma"/>
            <family val="2"/>
          </rPr>
          <t xml:space="preserve">
Quiet White - </t>
        </r>
        <r>
          <rPr>
            <i/>
            <sz val="8"/>
            <color indexed="81"/>
            <rFont val="Tahoma"/>
            <family val="2"/>
          </rPr>
          <t>Quiet White</t>
        </r>
        <r>
          <rPr>
            <sz val="8"/>
            <color indexed="81"/>
            <rFont val="Tahoma"/>
            <family val="2"/>
          </rPr>
          <t xml:space="preserve">
Snow Gum Grey - </t>
        </r>
        <r>
          <rPr>
            <i/>
            <sz val="8"/>
            <color indexed="81"/>
            <rFont val="Tahoma"/>
            <family val="2"/>
          </rPr>
          <t>Snow Gum Grey</t>
        </r>
        <r>
          <rPr>
            <sz val="8"/>
            <color indexed="81"/>
            <rFont val="Tahoma"/>
            <family val="2"/>
          </rPr>
          <t xml:space="preserve">
Snowy Mountains White - </t>
        </r>
        <r>
          <rPr>
            <i/>
            <sz val="8"/>
            <color indexed="81"/>
            <rFont val="Tahoma"/>
            <family val="2"/>
          </rPr>
          <t>Snowy Mountains White</t>
        </r>
        <r>
          <rPr>
            <sz val="8"/>
            <color indexed="81"/>
            <rFont val="Tahoma"/>
            <family val="2"/>
          </rPr>
          <t xml:space="preserve">
For standard Shutters in Fauxwood Designer Eco 
Standard 77mm Hinges will be used.
For standard Shutters in Fauxwood Designer Eco Plus, 
Fauxwood Designer Eco Night &amp; Luvre
Standard 90mm Hinges will be used.
The Pivot Hinged Colour options are;
White
Stainless Steel
Please refer to the Shutter Manual. 
</t>
        </r>
        <r>
          <rPr>
            <i/>
            <sz val="8"/>
            <color indexed="81"/>
            <rFont val="Tahoma"/>
            <family val="2"/>
          </rPr>
          <t>Stainless Steel Surcharge applies.</t>
        </r>
      </text>
    </comment>
    <comment ref="X17" authorId="0" shapeId="0" xr:uid="{25C7C1FF-3FB9-4A7E-8B94-9534766372B7}">
      <text>
        <r>
          <rPr>
            <sz val="8"/>
            <color indexed="81"/>
            <rFont val="Tahoma"/>
            <family val="2"/>
          </rPr>
          <t>Please Note: 
If Closed option is chosen then the blades 
can be damaged if they are left open 
when Sliding the Panel.
Open is not an option for 3 Tracks.</t>
        </r>
      </text>
    </comment>
    <comment ref="Y17" authorId="0" shapeId="0" xr:uid="{CD6843F2-2805-4EF6-8B19-02A62EE3A5E1}">
      <text>
        <r>
          <rPr>
            <sz val="8"/>
            <color indexed="81"/>
            <rFont val="Tahoma"/>
            <family val="2"/>
          </rPr>
          <t>If any T Posts are required then the measurements 
must be supplied under the next columns.
Measurements should be made from the left.
A Flat (Unbeaded) T Post can be ordered to match 
the Flat Stile Shutter in the Stile &amp; T Post column.</t>
        </r>
      </text>
    </comment>
    <comment ref="AC17" authorId="0" shapeId="0" xr:uid="{D1163FFC-C1DE-4EB6-A2C5-25BF12F2A0D5}">
      <text>
        <r>
          <rPr>
            <sz val="8"/>
            <color indexed="81"/>
            <rFont val="Tahoma"/>
            <family val="2"/>
          </rPr>
          <t>The Stile &amp; T Post 
options are;
Default (Beaded)
Flat Stile &amp; T Post
A Flat (unbeaded) Small L Frame can be ordered 
under the Frame Type.</t>
        </r>
      </text>
    </comment>
    <comment ref="AD17" authorId="0" shapeId="0" xr:uid="{FEC5B5D2-B9A4-47FB-80D6-88E90D2717FF}">
      <text>
        <r>
          <rPr>
            <sz val="8"/>
            <color indexed="81"/>
            <rFont val="Tahoma"/>
            <family val="2"/>
          </rPr>
          <t xml:space="preserve">The Designer Eco,  
Designer Eco Plus &amp; Luvre
Fluffy Strip options are;
No
Yes
Fluffy Strip is supplied with the Fauxwood Designer Eco Night Shutter.
</t>
        </r>
        <r>
          <rPr>
            <i/>
            <sz val="8"/>
            <color indexed="81"/>
            <rFont val="Tahoma"/>
            <family val="2"/>
          </rPr>
          <t>Fluffy Strip Surcharge applies.</t>
        </r>
      </text>
    </comment>
    <comment ref="C18" authorId="0" shapeId="0" xr:uid="{2D34E2C4-D66D-4586-B33E-D88580B0F15D}">
      <text>
        <r>
          <rPr>
            <sz val="8"/>
            <color indexed="81"/>
            <rFont val="Tahoma"/>
            <family val="2"/>
          </rPr>
          <t xml:space="preserve">Minimum Width is 180mm.
Maximum Fauxwood Standard Size 
Width is 650mm.
Maximum Fauxwood Designer Eco Width with 
63mm Blades is 900mm.
Maximum Fauxwood Designer Eco Width with 
89mm Blades is 900mm.
Maximum Fauxwood Designer Eco Plus Width with 
63mm Blades is 950mm.
Maximum Fauxwood Designer Eco Plus Width with 
89mm Blades is 950mm.
Maximum Fauxwood Designer Eco Night 
Width is 650mm.
Maximum Luvre Width is 950mm.
Fauxwood Designer Eco &amp; 
Fauxwood Designer Eco Plus Panels 
with a Width larger than 650mm will require 
Aluminium Inserts.
Conditions apply.
</t>
        </r>
        <r>
          <rPr>
            <i/>
            <sz val="8"/>
            <color indexed="81"/>
            <rFont val="Tahoma"/>
            <family val="2"/>
          </rPr>
          <t>Please note: 
Larger Panels may sometimes require lifting in to the frame.</t>
        </r>
      </text>
    </comment>
    <comment ref="D18" authorId="0" shapeId="0" xr:uid="{040912A3-61C6-43D3-B06D-720AA465D2B6}">
      <text>
        <r>
          <rPr>
            <sz val="8"/>
            <color indexed="81"/>
            <rFont val="Tahoma"/>
            <family val="2"/>
          </rPr>
          <t>Minimum Height is 350mm.
Maximum Fauxwood Height is 2600mm.</t>
        </r>
      </text>
    </comment>
    <comment ref="E18" authorId="0" shapeId="0" xr:uid="{B75493B8-8097-4545-9639-45078531D9C2}">
      <text>
        <r>
          <rPr>
            <sz val="8"/>
            <color indexed="81"/>
            <rFont val="Tahoma"/>
            <family val="2"/>
          </rPr>
          <t xml:space="preserve">In - Inside or Reveal Fit
Out - Outside or Face Fit
Alternative Option:
MS - Make Size
Panel Only Option
</t>
        </r>
        <r>
          <rPr>
            <i/>
            <sz val="8"/>
            <color indexed="81"/>
            <rFont val="Tahoma"/>
            <family val="2"/>
          </rPr>
          <t>(Used for specific requirements only)</t>
        </r>
      </text>
    </comment>
    <comment ref="F18" authorId="0" shapeId="0" xr:uid="{B583CABB-8FA9-486A-B2B6-21236982A5D2}">
      <text>
        <r>
          <rPr>
            <sz val="8"/>
            <color indexed="81"/>
            <rFont val="Tahoma"/>
            <family val="2"/>
          </rPr>
          <t>Quantity is the number of Panels 
within the opening. 
If ordering Make Size (MS), 
this will be the number of Panels 
at this size.</t>
        </r>
      </text>
    </comment>
    <comment ref="G18" authorId="0" shapeId="0" xr:uid="{83E2AEF1-4F92-478B-B135-223E660CE921}">
      <text>
        <r>
          <rPr>
            <sz val="8"/>
            <color indexed="81"/>
            <rFont val="Tahoma"/>
            <family val="2"/>
          </rPr>
          <t>Fauxwood Designer Eco will be made with the standard profile 
Bottom Rail,  Mid Rail &amp; Top Rail.
Fauxwood Designer Eco Plus will be made with the 
reinforced curved profile Bottom Rail, Mid Rail &amp; Top Rail.
Fauxwood Designer Eco Night will be made with the 
curved grooved profile Bottom Rail, Mid Rail &amp; Top Rail.
Luvre will be made with the reinforced
curved profile Bottom Rail, Mid Rail &amp; Top Rail.
Fauxwood Designer Eco Plus, Fauxwood Designer Eco Night &amp; Luvre 
Surcharge applies.</t>
        </r>
      </text>
    </comment>
    <comment ref="H18" authorId="0" shapeId="0" xr:uid="{C70D59BC-28CA-467B-95D7-C2DAE3C7476A}">
      <text>
        <r>
          <rPr>
            <sz val="8"/>
            <color indexed="81"/>
            <rFont val="Tahoma"/>
            <family val="2"/>
          </rPr>
          <t xml:space="preserve">Fauxwood Designer Colours options available;
Standard Colours;
Bright White
Classic White
Snow White
Super White
Vanilla
Specialty Colours;
Ceylon
Earl Grey
French White
Infinite White
Polar White
Quiet White
Snow Gum Grey
Snowy Mountains White
</t>
        </r>
        <r>
          <rPr>
            <i/>
            <sz val="8"/>
            <color indexed="81"/>
            <rFont val="Tahoma"/>
            <family val="2"/>
          </rPr>
          <t>Specialty Colours Surcharge applies.</t>
        </r>
        <r>
          <rPr>
            <sz val="8"/>
            <color indexed="81"/>
            <rFont val="Tahoma"/>
            <family val="2"/>
          </rPr>
          <t xml:space="preserve">
Luvre with Therme &amp; Scratch Resistant Paint 
Colours options available;
Snow White
Super White
</t>
        </r>
      </text>
    </comment>
    <comment ref="J18" authorId="0" shapeId="0" xr:uid="{5836ECF0-9E17-48D1-9B14-A778BB254257}">
      <text>
        <r>
          <rPr>
            <sz val="8"/>
            <color indexed="81"/>
            <rFont val="Tahoma"/>
            <family val="2"/>
          </rPr>
          <t>Fauxwood Designer Eco &amp; 
Fauxwood Designer Eco Plus 
Blade sizes options are;
63mm
89mm
Fauxwood Designer Eco Night  
Blade sizes options are;
92mm
Luvre Blade sizes options are;
89mm
114mm</t>
        </r>
      </text>
    </comment>
    <comment ref="K18" authorId="0" shapeId="0" xr:uid="{4CABDA4A-51C9-4CC4-8514-5063B1CC19FC}">
      <text>
        <r>
          <rPr>
            <sz val="8"/>
            <color indexed="81"/>
            <rFont val="Tahoma"/>
            <family val="2"/>
          </rPr>
          <t>Mid Rail is required on Fauxwood Panels over 1500mm.
Cell will highlight yellow when Mid Rail is required.
Only one Critical Mid Rail is allowed.
A Mid Rail that is not marked "Critical" may be moved up or down 
up to 40mm to stop any gaps and increase/decrease the blade quantity.
Fauxwood Designer Eco will be made with the standard profile 
Bottom Rail,  Mid Rail &amp; Top Rail.
Fauxwood Designer Eco Plus will be made with the 
reinforced curved profile Bottom Rail, Mid Rail &amp; Top Rail.
Fauxwood Designer Eco Night will be made with the 
curved grooved profile Bottom Rail, Mid Rail &amp; Top Rail.
Luvre will be made with the reinforced
curved profile Bottom Rail, Mid Rail &amp; Top Rail.
Fauxwood Designer Eco Plus, Fauxwood Designer Eco Night &amp; Luvre Surcharge applies.</t>
        </r>
      </text>
    </comment>
    <comment ref="L18" authorId="0" shapeId="0" xr:uid="{466AA584-04C2-47F9-B804-B1D650EF189A}">
      <text>
        <r>
          <rPr>
            <sz val="8"/>
            <color indexed="81"/>
            <rFont val="Tahoma"/>
            <family val="2"/>
          </rPr>
          <t xml:space="preserve">The Fauxwood Designer Eco, 
Fauxwood Designer Eco Plus 
&amp; Luvre Window Type options are;
Standard
Bay Window
Corner Window
Door Cut Out
Shaped Arch
Shaped Hexagon
Shaped Octagon
Shaped Oval
Shaped Parallelogram
Shaped Raked
Shaped Round
Shaped Sunburst
Shaped Triangle
These Shapes are not available
with the Rack &amp; Pinion Tiltrod;
Shaped Arch
Shaped Hexagon
Shaped Octagon
Shaped Oval
Shaped Round
Shaped Sunburst
The Fauxwood Designer Eco Night Window Type 
options are;
Standard
Bay Window
Corner Window
</t>
        </r>
        <r>
          <rPr>
            <i/>
            <sz val="8"/>
            <color indexed="81"/>
            <rFont val="Tahoma"/>
            <family val="2"/>
          </rPr>
          <t xml:space="preserve">
</t>
        </r>
        <r>
          <rPr>
            <sz val="8"/>
            <color indexed="81"/>
            <rFont val="Tahoma"/>
            <family val="2"/>
          </rPr>
          <t>Shaped Shutters will need the Panel Layout to be 
compatible with the Hidden Tiltrod system.</t>
        </r>
      </text>
    </comment>
    <comment ref="M18" authorId="0" shapeId="0" xr:uid="{6723329A-5AA6-4A2C-8236-90B42AE78806}">
      <text>
        <r>
          <rPr>
            <sz val="8"/>
            <color indexed="81"/>
            <rFont val="Tahoma"/>
            <family val="2"/>
          </rPr>
          <t>Mounting Method is dependent 
on  MS, In Or Out &amp; Product.
For IN &amp; Fauxwood Designer Eco,  
Fauxwood Designer Eco Plus 
&amp; Luvre the options are;
Double Hinged
Fixed
Hinged
Pivot Hinged
Sliding
Track Bi Fold
For OUT &amp; Fauxwood Designer Eco,  
Fauxwood Designer Eco Plus 
&amp; Luvre the options are;
Double Hinged
Hinged
Pivot Hinged
Sliding
Track Bi Fold
For IN &amp; Fauxwood Designer Eco Night 
the options are;
Fixed
Hinged
For OUT &amp; Fauxwood Designer Eco Night 
the options are;
Fixed
Hinged
For MS, the options are;
N/A
Pivot Hinged is not recommended for 
Designer Eco Plus or Luvre.</t>
        </r>
      </text>
    </comment>
    <comment ref="N18" authorId="0" shapeId="0" xr:uid="{9274C283-35C2-4372-A41D-1ECFA56DABCF}">
      <text>
        <r>
          <rPr>
            <sz val="8"/>
            <color indexed="81"/>
            <rFont val="Tahoma"/>
            <family val="2"/>
          </rPr>
          <t>For Sliding Track System options are;
Top Hung (Original System)
Bottom Wheel (New System)
The Top Hung (Original System) uses 
Top Wheels Mounting.
The Bottom Wheel (New System) uses a 
U Channel at the Top and 
Wheels at the Bottom.
This option cannot have a Floor Guide or 
Track On Board.</t>
        </r>
      </text>
    </comment>
    <comment ref="O18" authorId="0" shapeId="0" xr:uid="{E880ADE0-2D57-4B82-BF81-CC81D330A516}">
      <text>
        <r>
          <rPr>
            <sz val="8"/>
            <color indexed="81"/>
            <rFont val="Tahoma"/>
            <family val="2"/>
          </rPr>
          <t>Please refer to the Shutter Manual 
when selecting Layout Code.
The list provides the most common options, 
which are dependent on Mounting Method.
More complex Layout Codes can still be entered manually.</t>
        </r>
      </text>
    </comment>
    <comment ref="P18" authorId="0" shapeId="0" xr:uid="{E3BDF484-8826-40EE-B398-9E17C5EEB387}">
      <text>
        <r>
          <rPr>
            <sz val="8"/>
            <color indexed="81"/>
            <rFont val="Tahoma"/>
            <family val="2"/>
          </rPr>
          <t>Frame Type is dependent on
 Mounting Method.
If a Flat (unbeaded) Small L Frame 
is selected, a matching Stile &amp; T Post can be 
ordered in the Stile &amp; T Post column.</t>
        </r>
      </text>
    </comment>
    <comment ref="V18" authorId="0" shapeId="0" xr:uid="{25832681-4849-4957-B86A-8225E5435B0B}">
      <text>
        <r>
          <rPr>
            <sz val="8"/>
            <color indexed="81"/>
            <rFont val="Tahoma"/>
            <family val="2"/>
          </rPr>
          <t>This option is dependent on the 
Material &amp; Product 
and will only be available once this 
option is selected.
For Fauxwood Designer Eco
&amp; Fauxwood Designer Eco Plus 
the options are;
Hidden
Centre
Off-Set
Rack &amp; Pinion
These Shapes are not available
with the Rack &amp; Pinion Tiltrod;
Shaped Arch
Shaped Hexagon
Shaped Octagon
Shaped Oval
Shaped Round
Shaped Sunburst
For Fauxwood Designer Eco Night
the options are;
Hidden
For Luvre the options are;
Hidden</t>
        </r>
      </text>
    </comment>
    <comment ref="W18" authorId="0" shapeId="0" xr:uid="{2865D641-0032-426A-BB14-EB2F04643EE1}">
      <text>
        <r>
          <rPr>
            <sz val="8"/>
            <color indexed="81"/>
            <rFont val="Tahoma"/>
            <family val="2"/>
          </rPr>
          <t xml:space="preserve">If no Hinge Colour is selected, 
then the default Hinge Colour and hardware 
will be supplied. 
The Hinge Colour options are;
Default
Stainless Steel
N/A
When Default is selected, the Hinge will be supplied 
as per the matching Hinge Colour list below;
Shutter Colour - </t>
        </r>
        <r>
          <rPr>
            <i/>
            <sz val="8"/>
            <color indexed="81"/>
            <rFont val="Tahoma"/>
            <family val="2"/>
          </rPr>
          <t>Hinge Colour</t>
        </r>
        <r>
          <rPr>
            <sz val="8"/>
            <color indexed="81"/>
            <rFont val="Tahoma"/>
            <family val="2"/>
          </rPr>
          <t xml:space="preserve">
   Bright White - </t>
        </r>
        <r>
          <rPr>
            <i/>
            <sz val="8"/>
            <color indexed="81"/>
            <rFont val="Tahoma"/>
            <family val="2"/>
          </rPr>
          <t>Bright White</t>
        </r>
        <r>
          <rPr>
            <sz val="8"/>
            <color indexed="81"/>
            <rFont val="Tahoma"/>
            <family val="2"/>
          </rPr>
          <t xml:space="preserve">
Classic White - </t>
        </r>
        <r>
          <rPr>
            <i/>
            <sz val="8"/>
            <color indexed="81"/>
            <rFont val="Tahoma"/>
            <family val="2"/>
          </rPr>
          <t>White</t>
        </r>
        <r>
          <rPr>
            <sz val="8"/>
            <color indexed="81"/>
            <rFont val="Tahoma"/>
            <family val="2"/>
          </rPr>
          <t xml:space="preserve">
Snow White - </t>
        </r>
        <r>
          <rPr>
            <i/>
            <sz val="8"/>
            <color indexed="81"/>
            <rFont val="Tahoma"/>
            <family val="2"/>
          </rPr>
          <t>Snow White</t>
        </r>
        <r>
          <rPr>
            <sz val="8"/>
            <color indexed="81"/>
            <rFont val="Tahoma"/>
            <family val="2"/>
          </rPr>
          <t xml:space="preserve">
Super White - </t>
        </r>
        <r>
          <rPr>
            <i/>
            <sz val="8"/>
            <color indexed="81"/>
            <rFont val="Tahoma"/>
            <family val="2"/>
          </rPr>
          <t>Snow White</t>
        </r>
        <r>
          <rPr>
            <sz val="8"/>
            <color indexed="81"/>
            <rFont val="Tahoma"/>
            <family val="2"/>
          </rPr>
          <t xml:space="preserve">
Vanilla - </t>
        </r>
        <r>
          <rPr>
            <i/>
            <sz val="8"/>
            <color indexed="81"/>
            <rFont val="Tahoma"/>
            <family val="2"/>
          </rPr>
          <t xml:space="preserve">Ivory
</t>
        </r>
        <r>
          <rPr>
            <sz val="8"/>
            <color indexed="81"/>
            <rFont val="Tahoma"/>
            <family val="2"/>
          </rPr>
          <t xml:space="preserve">Ceylon - </t>
        </r>
        <r>
          <rPr>
            <i/>
            <sz val="8"/>
            <color indexed="81"/>
            <rFont val="Tahoma"/>
            <family val="2"/>
          </rPr>
          <t>Ceylon</t>
        </r>
        <r>
          <rPr>
            <sz val="8"/>
            <color indexed="81"/>
            <rFont val="Tahoma"/>
            <family val="2"/>
          </rPr>
          <t xml:space="preserve">
Earl Grey - </t>
        </r>
        <r>
          <rPr>
            <i/>
            <sz val="8"/>
            <color indexed="81"/>
            <rFont val="Tahoma"/>
            <family val="2"/>
          </rPr>
          <t>Earl Grey</t>
        </r>
        <r>
          <rPr>
            <sz val="8"/>
            <color indexed="81"/>
            <rFont val="Tahoma"/>
            <family val="2"/>
          </rPr>
          <t xml:space="preserve">
French White - </t>
        </r>
        <r>
          <rPr>
            <i/>
            <sz val="8"/>
            <color indexed="81"/>
            <rFont val="Tahoma"/>
            <family val="2"/>
          </rPr>
          <t>French White</t>
        </r>
        <r>
          <rPr>
            <sz val="8"/>
            <color indexed="81"/>
            <rFont val="Tahoma"/>
            <family val="2"/>
          </rPr>
          <t xml:space="preserve">
Infinite White -</t>
        </r>
        <r>
          <rPr>
            <i/>
            <sz val="8"/>
            <color indexed="81"/>
            <rFont val="Tahoma"/>
            <family val="2"/>
          </rPr>
          <t xml:space="preserve"> Infinite White</t>
        </r>
        <r>
          <rPr>
            <sz val="8"/>
            <color indexed="81"/>
            <rFont val="Tahoma"/>
            <family val="2"/>
          </rPr>
          <t xml:space="preserve">
Polar White - </t>
        </r>
        <r>
          <rPr>
            <i/>
            <sz val="8"/>
            <color indexed="81"/>
            <rFont val="Tahoma"/>
            <family val="2"/>
          </rPr>
          <t>Polar White</t>
        </r>
        <r>
          <rPr>
            <sz val="8"/>
            <color indexed="81"/>
            <rFont val="Tahoma"/>
            <family val="2"/>
          </rPr>
          <t xml:space="preserve">
Quiet White - </t>
        </r>
        <r>
          <rPr>
            <i/>
            <sz val="8"/>
            <color indexed="81"/>
            <rFont val="Tahoma"/>
            <family val="2"/>
          </rPr>
          <t>Quiet White</t>
        </r>
        <r>
          <rPr>
            <sz val="8"/>
            <color indexed="81"/>
            <rFont val="Tahoma"/>
            <family val="2"/>
          </rPr>
          <t xml:space="preserve">
Snow Gum Grey - </t>
        </r>
        <r>
          <rPr>
            <i/>
            <sz val="8"/>
            <color indexed="81"/>
            <rFont val="Tahoma"/>
            <family val="2"/>
          </rPr>
          <t>Snow Gum Grey</t>
        </r>
        <r>
          <rPr>
            <sz val="8"/>
            <color indexed="81"/>
            <rFont val="Tahoma"/>
            <family val="2"/>
          </rPr>
          <t xml:space="preserve">
Snowy Mountains White - </t>
        </r>
        <r>
          <rPr>
            <i/>
            <sz val="8"/>
            <color indexed="81"/>
            <rFont val="Tahoma"/>
            <family val="2"/>
          </rPr>
          <t>Snowy Mountains White</t>
        </r>
        <r>
          <rPr>
            <sz val="8"/>
            <color indexed="81"/>
            <rFont val="Tahoma"/>
            <family val="2"/>
          </rPr>
          <t xml:space="preserve">
For standard Shutters in Fauxwood Designer Eco 
Standard 77mm Hinges will be used.
For standard Shutters in Fauxwood Designer Eco Plus, 
Fauxwood Designer Eco Night &amp; Luvre
Standard 90mm Hinges will be used.
The Pivot Hinged Colour options are;
White
Stainless Steel
Please refer to the Shutter Manual. 
</t>
        </r>
        <r>
          <rPr>
            <i/>
            <sz val="8"/>
            <color indexed="81"/>
            <rFont val="Tahoma"/>
            <family val="2"/>
          </rPr>
          <t>Stainless Steel Surcharge applies.</t>
        </r>
      </text>
    </comment>
    <comment ref="X18" authorId="0" shapeId="0" xr:uid="{551695E5-0815-40CF-9E75-DE76A0C6E594}">
      <text>
        <r>
          <rPr>
            <sz val="8"/>
            <color indexed="81"/>
            <rFont val="Tahoma"/>
            <family val="2"/>
          </rPr>
          <t>Please Note: 
If Closed option is chosen then the blades 
can be damaged if they are left open 
when Sliding the Panel.
Open is not an option for 3 Tracks.</t>
        </r>
      </text>
    </comment>
    <comment ref="Y18" authorId="0" shapeId="0" xr:uid="{DBDE5BF0-1B31-49C7-AC30-0D9FA26B0B75}">
      <text>
        <r>
          <rPr>
            <sz val="8"/>
            <color indexed="81"/>
            <rFont val="Tahoma"/>
            <family val="2"/>
          </rPr>
          <t>If any T Posts are required then the measurements 
must be supplied under the next columns.
Measurements should be made from the left.
A Flat (Unbeaded) T Post can be ordered to match 
the Flat Stile Shutter in the Stile &amp; T Post column.</t>
        </r>
      </text>
    </comment>
    <comment ref="AC18" authorId="0" shapeId="0" xr:uid="{261D0E2D-7B85-4109-982C-4E05334D84F3}">
      <text>
        <r>
          <rPr>
            <sz val="8"/>
            <color indexed="81"/>
            <rFont val="Tahoma"/>
            <family val="2"/>
          </rPr>
          <t>The Stile &amp; T Post 
options are;
Default (Beaded)
Flat Stile &amp; T Post
A Flat (unbeaded) Small L Frame can be ordered 
under the Frame Type.</t>
        </r>
      </text>
    </comment>
    <comment ref="AD18" authorId="0" shapeId="0" xr:uid="{9D0FFA34-0BD5-4288-A62C-B0508A51EBE2}">
      <text>
        <r>
          <rPr>
            <sz val="8"/>
            <color indexed="81"/>
            <rFont val="Tahoma"/>
            <family val="2"/>
          </rPr>
          <t xml:space="preserve">The Designer Eco,  
Designer Eco Plus &amp; Luvre
Fluffy Strip options are;
No
Yes
Fluffy Strip is supplied with the Fauxwood Designer Eco Night Shutter.
</t>
        </r>
        <r>
          <rPr>
            <i/>
            <sz val="8"/>
            <color indexed="81"/>
            <rFont val="Tahoma"/>
            <family val="2"/>
          </rPr>
          <t>Fluffy Strip Surcharge applies.</t>
        </r>
      </text>
    </comment>
    <comment ref="C19" authorId="0" shapeId="0" xr:uid="{4B13B172-F9C3-4FF1-870C-13091417AE34}">
      <text>
        <r>
          <rPr>
            <sz val="8"/>
            <color indexed="81"/>
            <rFont val="Tahoma"/>
            <family val="2"/>
          </rPr>
          <t xml:space="preserve">Minimum Width is 180mm.
Maximum Fauxwood Standard Size 
Width is 650mm.
Maximum Fauxwood Designer Eco Width with 
63mm Blades is 900mm.
Maximum Fauxwood Designer Eco Width with 
89mm Blades is 900mm.
Maximum Fauxwood Designer Eco Plus Width with 
63mm Blades is 950mm.
Maximum Fauxwood Designer Eco Plus Width with 
89mm Blades is 950mm.
Maximum Fauxwood Designer Eco Night 
Width is 650mm.
Maximum Luvre Width is 950mm.
Fauxwood Designer Eco &amp; 
Fauxwood Designer Eco Plus Panels 
with a Width larger than 650mm will require 
Aluminium Inserts.
Conditions apply.
</t>
        </r>
        <r>
          <rPr>
            <i/>
            <sz val="8"/>
            <color indexed="81"/>
            <rFont val="Tahoma"/>
            <family val="2"/>
          </rPr>
          <t>Please note: 
Larger Panels may sometimes require lifting in to the frame.</t>
        </r>
      </text>
    </comment>
    <comment ref="D19" authorId="0" shapeId="0" xr:uid="{D50808AA-0915-4806-8FF2-0DB09830CD6B}">
      <text>
        <r>
          <rPr>
            <sz val="8"/>
            <color indexed="81"/>
            <rFont val="Tahoma"/>
            <family val="2"/>
          </rPr>
          <t>Minimum Height is 350mm.
Maximum Fauxwood Height is 2600mm.</t>
        </r>
      </text>
    </comment>
    <comment ref="E19" authorId="0" shapeId="0" xr:uid="{FBCAB1F4-294D-4C18-9DB6-732A262F8188}">
      <text>
        <r>
          <rPr>
            <sz val="8"/>
            <color indexed="81"/>
            <rFont val="Tahoma"/>
            <family val="2"/>
          </rPr>
          <t xml:space="preserve">In - Inside or Reveal Fit
Out - Outside or Face Fit
Alternative Option:
MS - Make Size
Panel Only Option
</t>
        </r>
        <r>
          <rPr>
            <i/>
            <sz val="8"/>
            <color indexed="81"/>
            <rFont val="Tahoma"/>
            <family val="2"/>
          </rPr>
          <t>(Used for specific requirements only)</t>
        </r>
      </text>
    </comment>
    <comment ref="F19" authorId="0" shapeId="0" xr:uid="{3DFA62E0-2411-44A9-AE81-AF8E171E9E42}">
      <text>
        <r>
          <rPr>
            <sz val="8"/>
            <color indexed="81"/>
            <rFont val="Tahoma"/>
            <family val="2"/>
          </rPr>
          <t>Quantity is the number of Panels 
within the opening. 
If ordering Make Size (MS), 
this will be the number of Panels 
at this size.</t>
        </r>
      </text>
    </comment>
    <comment ref="G19" authorId="0" shapeId="0" xr:uid="{0BEAA25B-828F-4BAC-8862-BC06A3D56B6F}">
      <text>
        <r>
          <rPr>
            <sz val="8"/>
            <color indexed="81"/>
            <rFont val="Tahoma"/>
            <family val="2"/>
          </rPr>
          <t>Fauxwood Designer Eco will be made with the standard profile 
Bottom Rail,  Mid Rail &amp; Top Rail.
Fauxwood Designer Eco Plus will be made with the 
reinforced curved profile Bottom Rail, Mid Rail &amp; Top Rail.
Fauxwood Designer Eco Night will be made with the 
curved grooved profile Bottom Rail, Mid Rail &amp; Top Rail.
Luvre will be made with the reinforced
curved profile Bottom Rail, Mid Rail &amp; Top Rail.
Fauxwood Designer Eco Plus, Fauxwood Designer Eco Night &amp; Luvre 
Surcharge applies.</t>
        </r>
      </text>
    </comment>
    <comment ref="H19" authorId="0" shapeId="0" xr:uid="{F1BA32F3-613B-4CCD-8DB0-CB47D7142033}">
      <text>
        <r>
          <rPr>
            <sz val="8"/>
            <color indexed="81"/>
            <rFont val="Tahoma"/>
            <family val="2"/>
          </rPr>
          <t xml:space="preserve">Fauxwood Designer Colours options available;
Standard Colours;
Bright White
Classic White
Snow White
Super White
Vanilla
Specialty Colours;
Ceylon
Earl Grey
French White
Infinite White
Polar White
Quiet White
Snow Gum Grey
Snowy Mountains White
</t>
        </r>
        <r>
          <rPr>
            <i/>
            <sz val="8"/>
            <color indexed="81"/>
            <rFont val="Tahoma"/>
            <family val="2"/>
          </rPr>
          <t>Specialty Colours Surcharge applies.</t>
        </r>
        <r>
          <rPr>
            <sz val="8"/>
            <color indexed="81"/>
            <rFont val="Tahoma"/>
            <family val="2"/>
          </rPr>
          <t xml:space="preserve">
Luvre with Therme &amp; Scratch Resistant Paint 
Colours options available;
Snow White
Super White
</t>
        </r>
      </text>
    </comment>
    <comment ref="J19" authorId="0" shapeId="0" xr:uid="{6A3ACFDE-AF06-4DAF-96BE-D9E8BF60C55E}">
      <text>
        <r>
          <rPr>
            <sz val="8"/>
            <color indexed="81"/>
            <rFont val="Tahoma"/>
            <family val="2"/>
          </rPr>
          <t>Fauxwood Designer Eco &amp; 
Fauxwood Designer Eco Plus 
Blade sizes options are;
63mm
89mm
Fauxwood Designer Eco Night  
Blade sizes options are;
92mm
Luvre Blade sizes options are;
89mm
114mm</t>
        </r>
      </text>
    </comment>
    <comment ref="K19" authorId="0" shapeId="0" xr:uid="{16008BC7-490A-46AC-9226-AA7A9E5583AE}">
      <text>
        <r>
          <rPr>
            <sz val="8"/>
            <color indexed="81"/>
            <rFont val="Tahoma"/>
            <family val="2"/>
          </rPr>
          <t>Mid Rail is required on Fauxwood Panels over 1500mm.
Cell will highlight yellow when Mid Rail is required.
Only one Critical Mid Rail is allowed.
A Mid Rail that is not marked "Critical" may be moved up or down 
up to 40mm to stop any gaps and increase/decrease the blade quantity.
Fauxwood Designer Eco will be made with the standard profile 
Bottom Rail,  Mid Rail &amp; Top Rail.
Fauxwood Designer Eco Plus will be made with the 
reinforced curved profile Bottom Rail, Mid Rail &amp; Top Rail.
Fauxwood Designer Eco Night will be made with the 
curved grooved profile Bottom Rail, Mid Rail &amp; Top Rail.
Luvre will be made with the reinforced
curved profile Bottom Rail, Mid Rail &amp; Top Rail.
Fauxwood Designer Eco Plus, Fauxwood Designer Eco Night &amp; Luvre Surcharge applies.</t>
        </r>
      </text>
    </comment>
    <comment ref="L19" authorId="0" shapeId="0" xr:uid="{8480080A-A14F-4037-8042-863F0B35BD66}">
      <text>
        <r>
          <rPr>
            <sz val="8"/>
            <color indexed="81"/>
            <rFont val="Tahoma"/>
            <family val="2"/>
          </rPr>
          <t xml:space="preserve">The Fauxwood Designer Eco, 
Fauxwood Designer Eco Plus 
&amp; Luvre Window Type options are;
Standard
Bay Window
Corner Window
Door Cut Out
Shaped Arch
Shaped Hexagon
Shaped Octagon
Shaped Oval
Shaped Parallelogram
Shaped Raked
Shaped Round
Shaped Sunburst
Shaped Triangle
These Shapes are not available
with the Rack &amp; Pinion Tiltrod;
Shaped Arch
Shaped Hexagon
Shaped Octagon
Shaped Oval
Shaped Round
Shaped Sunburst
The Fauxwood Designer Eco Night Window Type 
options are;
Standard
Bay Window
Corner Window
</t>
        </r>
        <r>
          <rPr>
            <i/>
            <sz val="8"/>
            <color indexed="81"/>
            <rFont val="Tahoma"/>
            <family val="2"/>
          </rPr>
          <t xml:space="preserve">
</t>
        </r>
        <r>
          <rPr>
            <sz val="8"/>
            <color indexed="81"/>
            <rFont val="Tahoma"/>
            <family val="2"/>
          </rPr>
          <t>Shaped Shutters will need the Panel Layout to be 
compatible with the Hidden Tiltrod system.</t>
        </r>
      </text>
    </comment>
    <comment ref="M19" authorId="0" shapeId="0" xr:uid="{8467C8E0-DA3A-4689-8B12-A6EAE054B6C7}">
      <text>
        <r>
          <rPr>
            <sz val="8"/>
            <color indexed="81"/>
            <rFont val="Tahoma"/>
            <family val="2"/>
          </rPr>
          <t>Mounting Method is dependent 
on  MS, In Or Out &amp; Product.
For IN &amp; Fauxwood Designer Eco,  
Fauxwood Designer Eco Plus 
&amp; Luvre the options are;
Double Hinged
Fixed
Hinged
Pivot Hinged
Sliding
Track Bi Fold
For OUT &amp; Fauxwood Designer Eco,  
Fauxwood Designer Eco Plus 
&amp; Luvre the options are;
Double Hinged
Hinged
Pivot Hinged
Sliding
Track Bi Fold
For IN &amp; Fauxwood Designer Eco Night 
the options are;
Fixed
Hinged
For OUT &amp; Fauxwood Designer Eco Night 
the options are;
Fixed
Hinged
For MS, the options are;
N/A
Pivot Hinged is not recommended for 
Designer Eco Plus or Luvre.</t>
        </r>
      </text>
    </comment>
    <comment ref="N19" authorId="0" shapeId="0" xr:uid="{6E7CFA3A-996B-4E55-80BB-B49ADA91864D}">
      <text>
        <r>
          <rPr>
            <sz val="8"/>
            <color indexed="81"/>
            <rFont val="Tahoma"/>
            <family val="2"/>
          </rPr>
          <t>For Sliding Track System options are;
Top Hung (Original System)
Bottom Wheel (New System)
The Top Hung (Original System) uses 
Top Wheels Mounting.
The Bottom Wheel (New System) uses a 
U Channel at the Top and 
Wheels at the Bottom.
This option cannot have a Floor Guide or 
Track On Board.</t>
        </r>
      </text>
    </comment>
    <comment ref="O19" authorId="0" shapeId="0" xr:uid="{7ECECD10-92E7-4672-A6EC-6151E8A33AEE}">
      <text>
        <r>
          <rPr>
            <sz val="8"/>
            <color indexed="81"/>
            <rFont val="Tahoma"/>
            <family val="2"/>
          </rPr>
          <t>Please refer to the Shutter Manual 
when selecting Layout Code.
The list provides the most common options, 
which are dependent on Mounting Method.
More complex Layout Codes can still be entered manually.</t>
        </r>
      </text>
    </comment>
    <comment ref="P19" authorId="0" shapeId="0" xr:uid="{C9E0ED8D-2D29-4677-8735-B67CDDDD133E}">
      <text>
        <r>
          <rPr>
            <sz val="8"/>
            <color indexed="81"/>
            <rFont val="Tahoma"/>
            <family val="2"/>
          </rPr>
          <t>Frame Type is dependent on
 Mounting Method.
If a Flat (unbeaded) Small L Frame 
is selected, a matching Stile &amp; T Post can be 
ordered in the Stile &amp; T Post column.</t>
        </r>
      </text>
    </comment>
    <comment ref="V19" authorId="0" shapeId="0" xr:uid="{B8C535B6-9217-4112-AF7B-441945198DEC}">
      <text>
        <r>
          <rPr>
            <sz val="8"/>
            <color indexed="81"/>
            <rFont val="Tahoma"/>
            <family val="2"/>
          </rPr>
          <t>This option is dependent on the 
Material &amp; Product 
and will only be available once this 
option is selected.
For Fauxwood Designer Eco
&amp; Fauxwood Designer Eco Plus 
the options are;
Hidden
Centre
Off-Set
Rack &amp; Pinion
These Shapes are not available
with the Rack &amp; Pinion Tiltrod;
Shaped Arch
Shaped Hexagon
Shaped Octagon
Shaped Oval
Shaped Round
Shaped Sunburst
For Fauxwood Designer Eco Night
the options are;
Hidden
For Luvre the options are;
Hidden</t>
        </r>
      </text>
    </comment>
    <comment ref="W19" authorId="0" shapeId="0" xr:uid="{3A36E0BF-FC37-4165-858B-59AF758AC78B}">
      <text>
        <r>
          <rPr>
            <sz val="8"/>
            <color indexed="81"/>
            <rFont val="Tahoma"/>
            <family val="2"/>
          </rPr>
          <t xml:space="preserve">If no Hinge Colour is selected, 
then the default Hinge Colour and hardware 
will be supplied. 
The Hinge Colour options are;
Default
Stainless Steel
N/A
When Default is selected, the Hinge will be supplied 
as per the matching Hinge Colour list below;
Shutter Colour - </t>
        </r>
        <r>
          <rPr>
            <i/>
            <sz val="8"/>
            <color indexed="81"/>
            <rFont val="Tahoma"/>
            <family val="2"/>
          </rPr>
          <t>Hinge Colour</t>
        </r>
        <r>
          <rPr>
            <sz val="8"/>
            <color indexed="81"/>
            <rFont val="Tahoma"/>
            <family val="2"/>
          </rPr>
          <t xml:space="preserve">
   Bright White - </t>
        </r>
        <r>
          <rPr>
            <i/>
            <sz val="8"/>
            <color indexed="81"/>
            <rFont val="Tahoma"/>
            <family val="2"/>
          </rPr>
          <t>Bright White</t>
        </r>
        <r>
          <rPr>
            <sz val="8"/>
            <color indexed="81"/>
            <rFont val="Tahoma"/>
            <family val="2"/>
          </rPr>
          <t xml:space="preserve">
Classic White - </t>
        </r>
        <r>
          <rPr>
            <i/>
            <sz val="8"/>
            <color indexed="81"/>
            <rFont val="Tahoma"/>
            <family val="2"/>
          </rPr>
          <t>White</t>
        </r>
        <r>
          <rPr>
            <sz val="8"/>
            <color indexed="81"/>
            <rFont val="Tahoma"/>
            <family val="2"/>
          </rPr>
          <t xml:space="preserve">
Snow White - </t>
        </r>
        <r>
          <rPr>
            <i/>
            <sz val="8"/>
            <color indexed="81"/>
            <rFont val="Tahoma"/>
            <family val="2"/>
          </rPr>
          <t>Snow White</t>
        </r>
        <r>
          <rPr>
            <sz val="8"/>
            <color indexed="81"/>
            <rFont val="Tahoma"/>
            <family val="2"/>
          </rPr>
          <t xml:space="preserve">
Super White - </t>
        </r>
        <r>
          <rPr>
            <i/>
            <sz val="8"/>
            <color indexed="81"/>
            <rFont val="Tahoma"/>
            <family val="2"/>
          </rPr>
          <t>Snow White</t>
        </r>
        <r>
          <rPr>
            <sz val="8"/>
            <color indexed="81"/>
            <rFont val="Tahoma"/>
            <family val="2"/>
          </rPr>
          <t xml:space="preserve">
Vanilla - </t>
        </r>
        <r>
          <rPr>
            <i/>
            <sz val="8"/>
            <color indexed="81"/>
            <rFont val="Tahoma"/>
            <family val="2"/>
          </rPr>
          <t xml:space="preserve">Ivory
</t>
        </r>
        <r>
          <rPr>
            <sz val="8"/>
            <color indexed="81"/>
            <rFont val="Tahoma"/>
            <family val="2"/>
          </rPr>
          <t xml:space="preserve">Ceylon - </t>
        </r>
        <r>
          <rPr>
            <i/>
            <sz val="8"/>
            <color indexed="81"/>
            <rFont val="Tahoma"/>
            <family val="2"/>
          </rPr>
          <t>Ceylon</t>
        </r>
        <r>
          <rPr>
            <sz val="8"/>
            <color indexed="81"/>
            <rFont val="Tahoma"/>
            <family val="2"/>
          </rPr>
          <t xml:space="preserve">
Earl Grey - </t>
        </r>
        <r>
          <rPr>
            <i/>
            <sz val="8"/>
            <color indexed="81"/>
            <rFont val="Tahoma"/>
            <family val="2"/>
          </rPr>
          <t>Earl Grey</t>
        </r>
        <r>
          <rPr>
            <sz val="8"/>
            <color indexed="81"/>
            <rFont val="Tahoma"/>
            <family val="2"/>
          </rPr>
          <t xml:space="preserve">
French White - </t>
        </r>
        <r>
          <rPr>
            <i/>
            <sz val="8"/>
            <color indexed="81"/>
            <rFont val="Tahoma"/>
            <family val="2"/>
          </rPr>
          <t>French White</t>
        </r>
        <r>
          <rPr>
            <sz val="8"/>
            <color indexed="81"/>
            <rFont val="Tahoma"/>
            <family val="2"/>
          </rPr>
          <t xml:space="preserve">
Infinite White -</t>
        </r>
        <r>
          <rPr>
            <i/>
            <sz val="8"/>
            <color indexed="81"/>
            <rFont val="Tahoma"/>
            <family val="2"/>
          </rPr>
          <t xml:space="preserve"> Infinite White</t>
        </r>
        <r>
          <rPr>
            <sz val="8"/>
            <color indexed="81"/>
            <rFont val="Tahoma"/>
            <family val="2"/>
          </rPr>
          <t xml:space="preserve">
Polar White - </t>
        </r>
        <r>
          <rPr>
            <i/>
            <sz val="8"/>
            <color indexed="81"/>
            <rFont val="Tahoma"/>
            <family val="2"/>
          </rPr>
          <t>Polar White</t>
        </r>
        <r>
          <rPr>
            <sz val="8"/>
            <color indexed="81"/>
            <rFont val="Tahoma"/>
            <family val="2"/>
          </rPr>
          <t xml:space="preserve">
Quiet White - </t>
        </r>
        <r>
          <rPr>
            <i/>
            <sz val="8"/>
            <color indexed="81"/>
            <rFont val="Tahoma"/>
            <family val="2"/>
          </rPr>
          <t>Quiet White</t>
        </r>
        <r>
          <rPr>
            <sz val="8"/>
            <color indexed="81"/>
            <rFont val="Tahoma"/>
            <family val="2"/>
          </rPr>
          <t xml:space="preserve">
Snow Gum Grey - </t>
        </r>
        <r>
          <rPr>
            <i/>
            <sz val="8"/>
            <color indexed="81"/>
            <rFont val="Tahoma"/>
            <family val="2"/>
          </rPr>
          <t>Snow Gum Grey</t>
        </r>
        <r>
          <rPr>
            <sz val="8"/>
            <color indexed="81"/>
            <rFont val="Tahoma"/>
            <family val="2"/>
          </rPr>
          <t xml:space="preserve">
Snowy Mountains White - </t>
        </r>
        <r>
          <rPr>
            <i/>
            <sz val="8"/>
            <color indexed="81"/>
            <rFont val="Tahoma"/>
            <family val="2"/>
          </rPr>
          <t>Snowy Mountains White</t>
        </r>
        <r>
          <rPr>
            <sz val="8"/>
            <color indexed="81"/>
            <rFont val="Tahoma"/>
            <family val="2"/>
          </rPr>
          <t xml:space="preserve">
For standard Shutters in Fauxwood Designer Eco 
Standard 77mm Hinges will be used.
For standard Shutters in Fauxwood Designer Eco Plus, 
Fauxwood Designer Eco Night &amp; Luvre
Standard 90mm Hinges will be used.
The Pivot Hinged Colour options are;
White
Stainless Steel
Please refer to the Shutter Manual. 
</t>
        </r>
        <r>
          <rPr>
            <i/>
            <sz val="8"/>
            <color indexed="81"/>
            <rFont val="Tahoma"/>
            <family val="2"/>
          </rPr>
          <t>Stainless Steel Surcharge applies.</t>
        </r>
      </text>
    </comment>
    <comment ref="X19" authorId="0" shapeId="0" xr:uid="{C1C6D24E-8D0C-467F-B7E9-6828AAAAC1EE}">
      <text>
        <r>
          <rPr>
            <sz val="8"/>
            <color indexed="81"/>
            <rFont val="Tahoma"/>
            <family val="2"/>
          </rPr>
          <t>Please Note: 
If Closed option is chosen then the blades 
can be damaged if they are left open 
when Sliding the Panel.
Open is not an option for 3 Tracks.</t>
        </r>
      </text>
    </comment>
    <comment ref="Y19" authorId="0" shapeId="0" xr:uid="{CBD6D925-FA85-4417-8952-67DC912E1C93}">
      <text>
        <r>
          <rPr>
            <sz val="8"/>
            <color indexed="81"/>
            <rFont val="Tahoma"/>
            <family val="2"/>
          </rPr>
          <t>If any T Posts are required then the measurements 
must be supplied under the next columns.
Measurements should be made from the left.
A Flat (Unbeaded) T Post can be ordered to match 
the Flat Stile Shutter in the Stile &amp; T Post column.</t>
        </r>
      </text>
    </comment>
    <comment ref="AC19" authorId="0" shapeId="0" xr:uid="{160EC48A-2ADA-433F-BA55-B0438BB61154}">
      <text>
        <r>
          <rPr>
            <sz val="8"/>
            <color indexed="81"/>
            <rFont val="Tahoma"/>
            <family val="2"/>
          </rPr>
          <t>The Stile &amp; T Post 
options are;
Default (Beaded)
Flat Stile &amp; T Post
A Flat (unbeaded) Small L Frame can be ordered 
under the Frame Type.</t>
        </r>
      </text>
    </comment>
    <comment ref="AD19" authorId="0" shapeId="0" xr:uid="{4267BA9D-4507-46DE-AD01-726B3852F5B0}">
      <text>
        <r>
          <rPr>
            <sz val="8"/>
            <color indexed="81"/>
            <rFont val="Tahoma"/>
            <family val="2"/>
          </rPr>
          <t xml:space="preserve">The Designer Eco,  
Designer Eco Plus &amp; Luvre
Fluffy Strip options are;
No
Yes
Fluffy Strip is supplied with the Fauxwood Designer Eco Night Shutter.
</t>
        </r>
        <r>
          <rPr>
            <i/>
            <sz val="8"/>
            <color indexed="81"/>
            <rFont val="Tahoma"/>
            <family val="2"/>
          </rPr>
          <t>Fluffy Strip Surcharge applies.</t>
        </r>
      </text>
    </comment>
    <comment ref="C20" authorId="0" shapeId="0" xr:uid="{F77B50E5-6BAB-4BFF-AE94-69559A18E951}">
      <text>
        <r>
          <rPr>
            <sz val="8"/>
            <color indexed="81"/>
            <rFont val="Tahoma"/>
            <family val="2"/>
          </rPr>
          <t xml:space="preserve">Minimum Width is 180mm.
Maximum Fauxwood Standard Size 
Width is 650mm.
Maximum Fauxwood Designer Eco Width with 
63mm Blades is 900mm.
Maximum Fauxwood Designer Eco Width with 
89mm Blades is 900mm.
Maximum Fauxwood Designer Eco Plus Width with 
63mm Blades is 950mm.
Maximum Fauxwood Designer Eco Plus Width with 
89mm Blades is 950mm.
Maximum Fauxwood Designer Eco Night 
Width is 650mm.
Maximum Luvre Width is 950mm.
Fauxwood Designer Eco &amp; 
Fauxwood Designer Eco Plus Panels 
with a Width larger than 650mm will require 
Aluminium Inserts.
Conditions apply.
</t>
        </r>
        <r>
          <rPr>
            <i/>
            <sz val="8"/>
            <color indexed="81"/>
            <rFont val="Tahoma"/>
            <family val="2"/>
          </rPr>
          <t>Please note: 
Larger Panels may sometimes require lifting in to the frame.</t>
        </r>
      </text>
    </comment>
    <comment ref="D20" authorId="0" shapeId="0" xr:uid="{C94BDF96-FFE3-411B-B6E4-6918E4841D7B}">
      <text>
        <r>
          <rPr>
            <sz val="8"/>
            <color indexed="81"/>
            <rFont val="Tahoma"/>
            <family val="2"/>
          </rPr>
          <t>Minimum Height is 350mm.
Maximum Fauxwood Height is 2600mm.</t>
        </r>
      </text>
    </comment>
    <comment ref="E20" authorId="0" shapeId="0" xr:uid="{5818C70B-4198-4470-8240-C2BCD5852A10}">
      <text>
        <r>
          <rPr>
            <sz val="8"/>
            <color indexed="81"/>
            <rFont val="Tahoma"/>
            <family val="2"/>
          </rPr>
          <t xml:space="preserve">In - Inside or Reveal Fit
Out - Outside or Face Fit
Alternative Option:
MS - Make Size
Panel Only Option
</t>
        </r>
        <r>
          <rPr>
            <i/>
            <sz val="8"/>
            <color indexed="81"/>
            <rFont val="Tahoma"/>
            <family val="2"/>
          </rPr>
          <t>(Used for specific requirements only)</t>
        </r>
      </text>
    </comment>
    <comment ref="F20" authorId="0" shapeId="0" xr:uid="{D9EF7009-2492-4E81-9DE3-86B746647628}">
      <text>
        <r>
          <rPr>
            <sz val="8"/>
            <color indexed="81"/>
            <rFont val="Tahoma"/>
            <family val="2"/>
          </rPr>
          <t>Quantity is the number of Panels 
within the opening. 
If ordering Make Size (MS), 
this will be the number of Panels 
at this size.</t>
        </r>
      </text>
    </comment>
    <comment ref="G20" authorId="0" shapeId="0" xr:uid="{81366657-D58B-445B-A17A-BA65E1ECD767}">
      <text>
        <r>
          <rPr>
            <sz val="8"/>
            <color indexed="81"/>
            <rFont val="Tahoma"/>
            <family val="2"/>
          </rPr>
          <t>Fauxwood Designer Eco will be made with the standard profile 
Bottom Rail,  Mid Rail &amp; Top Rail.
Fauxwood Designer Eco Plus will be made with the 
reinforced curved profile Bottom Rail, Mid Rail &amp; Top Rail.
Fauxwood Designer Eco Night will be made with the 
curved grooved profile Bottom Rail, Mid Rail &amp; Top Rail.
Luvre will be made with the reinforced
curved profile Bottom Rail, Mid Rail &amp; Top Rail.
Fauxwood Designer Eco Plus, Fauxwood Designer Eco Night &amp; Luvre 
Surcharge applies.</t>
        </r>
      </text>
    </comment>
    <comment ref="H20" authorId="0" shapeId="0" xr:uid="{5D58F02A-3D42-462D-877F-36C120C06B19}">
      <text>
        <r>
          <rPr>
            <sz val="8"/>
            <color indexed="81"/>
            <rFont val="Tahoma"/>
            <family val="2"/>
          </rPr>
          <t xml:space="preserve">Fauxwood Designer Colours options available;
Standard Colours;
Bright White
Classic White
Snow White
Super White
Vanilla
Specialty Colours;
Ceylon
Earl Grey
French White
Infinite White
Polar White
Quiet White
Snow Gum Grey
Snowy Mountains White
</t>
        </r>
        <r>
          <rPr>
            <i/>
            <sz val="8"/>
            <color indexed="81"/>
            <rFont val="Tahoma"/>
            <family val="2"/>
          </rPr>
          <t>Specialty Colours Surcharge applies.</t>
        </r>
        <r>
          <rPr>
            <sz val="8"/>
            <color indexed="81"/>
            <rFont val="Tahoma"/>
            <family val="2"/>
          </rPr>
          <t xml:space="preserve">
Luvre with Therme &amp; Scratch Resistant Paint 
Colours options available;
Snow White
Super White
</t>
        </r>
      </text>
    </comment>
    <comment ref="J20" authorId="0" shapeId="0" xr:uid="{1E62E101-2F12-47C1-8B4C-630C78FE088C}">
      <text>
        <r>
          <rPr>
            <sz val="8"/>
            <color indexed="81"/>
            <rFont val="Tahoma"/>
            <family val="2"/>
          </rPr>
          <t>Fauxwood Designer Eco &amp; 
Fauxwood Designer Eco Plus 
Blade sizes options are;
63mm
89mm
Fauxwood Designer Eco Night  
Blade sizes options are;
92mm
Luvre Blade sizes options are;
89mm
114mm</t>
        </r>
      </text>
    </comment>
    <comment ref="K20" authorId="0" shapeId="0" xr:uid="{27AFE0E2-766B-419D-B6C4-6BC4A6678909}">
      <text>
        <r>
          <rPr>
            <sz val="8"/>
            <color indexed="81"/>
            <rFont val="Tahoma"/>
            <family val="2"/>
          </rPr>
          <t>Mid Rail is required on Fauxwood Panels over 1500mm.
Cell will highlight yellow when Mid Rail is required.
Only one Critical Mid Rail is allowed.
A Mid Rail that is not marked "Critical" may be moved up or down 
up to 40mm to stop any gaps and increase/decrease the blade quantity.
Fauxwood Designer Eco will be made with the standard profile 
Bottom Rail,  Mid Rail &amp; Top Rail.
Fauxwood Designer Eco Plus will be made with the 
reinforced curved profile Bottom Rail, Mid Rail &amp; Top Rail.
Fauxwood Designer Eco Night will be made with the 
curved grooved profile Bottom Rail, Mid Rail &amp; Top Rail.
Luvre will be made with the reinforced
curved profile Bottom Rail, Mid Rail &amp; Top Rail.
Fauxwood Designer Eco Plus, Fauxwood Designer Eco Night &amp; Luvre Surcharge applies.</t>
        </r>
      </text>
    </comment>
    <comment ref="L20" authorId="0" shapeId="0" xr:uid="{7DF75D05-D43F-47BF-8F52-FDA39C28DFCA}">
      <text>
        <r>
          <rPr>
            <sz val="8"/>
            <color indexed="81"/>
            <rFont val="Tahoma"/>
            <family val="2"/>
          </rPr>
          <t xml:space="preserve">The Fauxwood Designer Eco, 
Fauxwood Designer Eco Plus 
&amp; Luvre Window Type options are;
Standard
Bay Window
Corner Window
Door Cut Out
Shaped Arch
Shaped Hexagon
Shaped Octagon
Shaped Oval
Shaped Parallelogram
Shaped Raked
Shaped Round
Shaped Sunburst
Shaped Triangle
These Shapes are not available
with the Rack &amp; Pinion Tiltrod;
Shaped Arch
Shaped Hexagon
Shaped Octagon
Shaped Oval
Shaped Round
Shaped Sunburst
The Fauxwood Designer Eco Night Window Type 
options are;
Standard
Bay Window
Corner Window
</t>
        </r>
        <r>
          <rPr>
            <i/>
            <sz val="8"/>
            <color indexed="81"/>
            <rFont val="Tahoma"/>
            <family val="2"/>
          </rPr>
          <t xml:space="preserve">
</t>
        </r>
        <r>
          <rPr>
            <sz val="8"/>
            <color indexed="81"/>
            <rFont val="Tahoma"/>
            <family val="2"/>
          </rPr>
          <t>Shaped Shutters will need the Panel Layout to be 
compatible with the Hidden Tiltrod system.</t>
        </r>
      </text>
    </comment>
    <comment ref="M20" authorId="0" shapeId="0" xr:uid="{BAC257E8-D5DF-4040-9EED-7CCB51C948C2}">
      <text>
        <r>
          <rPr>
            <sz val="8"/>
            <color indexed="81"/>
            <rFont val="Tahoma"/>
            <family val="2"/>
          </rPr>
          <t>Mounting Method is dependent 
on  MS, In Or Out &amp; Product.
For IN &amp; Fauxwood Designer Eco,  
Fauxwood Designer Eco Plus 
&amp; Luvre the options are;
Double Hinged
Fixed
Hinged
Pivot Hinged
Sliding
Track Bi Fold
For OUT &amp; Fauxwood Designer Eco,  
Fauxwood Designer Eco Plus 
&amp; Luvre the options are;
Double Hinged
Hinged
Pivot Hinged
Sliding
Track Bi Fold
For IN &amp; Fauxwood Designer Eco Night 
the options are;
Fixed
Hinged
For OUT &amp; Fauxwood Designer Eco Night 
the options are;
Fixed
Hinged
For MS, the options are;
N/A
Pivot Hinged is not recommended for 
Designer Eco Plus or Luvre.</t>
        </r>
      </text>
    </comment>
    <comment ref="N20" authorId="0" shapeId="0" xr:uid="{E073B134-8B13-49A5-9113-C1E915E9503F}">
      <text>
        <r>
          <rPr>
            <sz val="8"/>
            <color indexed="81"/>
            <rFont val="Tahoma"/>
            <family val="2"/>
          </rPr>
          <t>For Sliding Track System options are;
Top Hung (Original System)
Bottom Wheel (New System)
The Top Hung (Original System) uses 
Top Wheels Mounting.
The Bottom Wheel (New System) uses a 
U Channel at the Top and 
Wheels at the Bottom.
This option cannot have a Floor Guide or 
Track On Board.</t>
        </r>
      </text>
    </comment>
    <comment ref="O20" authorId="0" shapeId="0" xr:uid="{F4C4FB52-1004-44E4-962F-FE639709BE4A}">
      <text>
        <r>
          <rPr>
            <sz val="8"/>
            <color indexed="81"/>
            <rFont val="Tahoma"/>
            <family val="2"/>
          </rPr>
          <t>Please refer to the Shutter Manual 
when selecting Layout Code.
The list provides the most common options, 
which are dependent on Mounting Method.
More complex Layout Codes can still be entered manually.</t>
        </r>
      </text>
    </comment>
    <comment ref="P20" authorId="0" shapeId="0" xr:uid="{B09492F1-03DF-49DE-886A-1FA92B53E9DB}">
      <text>
        <r>
          <rPr>
            <sz val="8"/>
            <color indexed="81"/>
            <rFont val="Tahoma"/>
            <family val="2"/>
          </rPr>
          <t>Frame Type is dependent on
 Mounting Method.
If a Flat (unbeaded) Small L Frame 
is selected, a matching Stile &amp; T Post can be 
ordered in the Stile &amp; T Post column.</t>
        </r>
      </text>
    </comment>
    <comment ref="V20" authorId="0" shapeId="0" xr:uid="{BD54A501-9E91-4E28-9456-A6FC0E42E9B6}">
      <text>
        <r>
          <rPr>
            <sz val="8"/>
            <color indexed="81"/>
            <rFont val="Tahoma"/>
            <family val="2"/>
          </rPr>
          <t>This option is dependent on the 
Material &amp; Product 
and will only be available once this 
option is selected.
For Fauxwood Designer Eco
&amp; Fauxwood Designer Eco Plus 
the options are;
Hidden
Centre
Off-Set
Rack &amp; Pinion
These Shapes are not available
with the Rack &amp; Pinion Tiltrod;
Shaped Arch
Shaped Hexagon
Shaped Octagon
Shaped Oval
Shaped Round
Shaped Sunburst
For Fauxwood Designer Eco Night
the options are;
Hidden
For Luvre the options are;
Hidden</t>
        </r>
      </text>
    </comment>
    <comment ref="W20" authorId="0" shapeId="0" xr:uid="{1F621CF9-E198-4103-B5D1-9FA6CF090343}">
      <text>
        <r>
          <rPr>
            <sz val="8"/>
            <color indexed="81"/>
            <rFont val="Tahoma"/>
            <family val="2"/>
          </rPr>
          <t xml:space="preserve">If no Hinge Colour is selected, 
then the default Hinge Colour and hardware 
will be supplied. 
The Hinge Colour options are;
Default
Stainless Steel
N/A
When Default is selected, the Hinge will be supplied 
as per the matching Hinge Colour list below;
Shutter Colour - </t>
        </r>
        <r>
          <rPr>
            <i/>
            <sz val="8"/>
            <color indexed="81"/>
            <rFont val="Tahoma"/>
            <family val="2"/>
          </rPr>
          <t>Hinge Colour</t>
        </r>
        <r>
          <rPr>
            <sz val="8"/>
            <color indexed="81"/>
            <rFont val="Tahoma"/>
            <family val="2"/>
          </rPr>
          <t xml:space="preserve">
   Bright White - </t>
        </r>
        <r>
          <rPr>
            <i/>
            <sz val="8"/>
            <color indexed="81"/>
            <rFont val="Tahoma"/>
            <family val="2"/>
          </rPr>
          <t>Bright White</t>
        </r>
        <r>
          <rPr>
            <sz val="8"/>
            <color indexed="81"/>
            <rFont val="Tahoma"/>
            <family val="2"/>
          </rPr>
          <t xml:space="preserve">
Classic White - </t>
        </r>
        <r>
          <rPr>
            <i/>
            <sz val="8"/>
            <color indexed="81"/>
            <rFont val="Tahoma"/>
            <family val="2"/>
          </rPr>
          <t>White</t>
        </r>
        <r>
          <rPr>
            <sz val="8"/>
            <color indexed="81"/>
            <rFont val="Tahoma"/>
            <family val="2"/>
          </rPr>
          <t xml:space="preserve">
Snow White - </t>
        </r>
        <r>
          <rPr>
            <i/>
            <sz val="8"/>
            <color indexed="81"/>
            <rFont val="Tahoma"/>
            <family val="2"/>
          </rPr>
          <t>Snow White</t>
        </r>
        <r>
          <rPr>
            <sz val="8"/>
            <color indexed="81"/>
            <rFont val="Tahoma"/>
            <family val="2"/>
          </rPr>
          <t xml:space="preserve">
Super White - </t>
        </r>
        <r>
          <rPr>
            <i/>
            <sz val="8"/>
            <color indexed="81"/>
            <rFont val="Tahoma"/>
            <family val="2"/>
          </rPr>
          <t>Snow White</t>
        </r>
        <r>
          <rPr>
            <sz val="8"/>
            <color indexed="81"/>
            <rFont val="Tahoma"/>
            <family val="2"/>
          </rPr>
          <t xml:space="preserve">
Vanilla - </t>
        </r>
        <r>
          <rPr>
            <i/>
            <sz val="8"/>
            <color indexed="81"/>
            <rFont val="Tahoma"/>
            <family val="2"/>
          </rPr>
          <t xml:space="preserve">Ivory
</t>
        </r>
        <r>
          <rPr>
            <sz val="8"/>
            <color indexed="81"/>
            <rFont val="Tahoma"/>
            <family val="2"/>
          </rPr>
          <t xml:space="preserve">Ceylon - </t>
        </r>
        <r>
          <rPr>
            <i/>
            <sz val="8"/>
            <color indexed="81"/>
            <rFont val="Tahoma"/>
            <family val="2"/>
          </rPr>
          <t>Ceylon</t>
        </r>
        <r>
          <rPr>
            <sz val="8"/>
            <color indexed="81"/>
            <rFont val="Tahoma"/>
            <family val="2"/>
          </rPr>
          <t xml:space="preserve">
Earl Grey - </t>
        </r>
        <r>
          <rPr>
            <i/>
            <sz val="8"/>
            <color indexed="81"/>
            <rFont val="Tahoma"/>
            <family val="2"/>
          </rPr>
          <t>Earl Grey</t>
        </r>
        <r>
          <rPr>
            <sz val="8"/>
            <color indexed="81"/>
            <rFont val="Tahoma"/>
            <family val="2"/>
          </rPr>
          <t xml:space="preserve">
French White - </t>
        </r>
        <r>
          <rPr>
            <i/>
            <sz val="8"/>
            <color indexed="81"/>
            <rFont val="Tahoma"/>
            <family val="2"/>
          </rPr>
          <t>French White</t>
        </r>
        <r>
          <rPr>
            <sz val="8"/>
            <color indexed="81"/>
            <rFont val="Tahoma"/>
            <family val="2"/>
          </rPr>
          <t xml:space="preserve">
Infinite White -</t>
        </r>
        <r>
          <rPr>
            <i/>
            <sz val="8"/>
            <color indexed="81"/>
            <rFont val="Tahoma"/>
            <family val="2"/>
          </rPr>
          <t xml:space="preserve"> Infinite White</t>
        </r>
        <r>
          <rPr>
            <sz val="8"/>
            <color indexed="81"/>
            <rFont val="Tahoma"/>
            <family val="2"/>
          </rPr>
          <t xml:space="preserve">
Polar White - </t>
        </r>
        <r>
          <rPr>
            <i/>
            <sz val="8"/>
            <color indexed="81"/>
            <rFont val="Tahoma"/>
            <family val="2"/>
          </rPr>
          <t>Polar White</t>
        </r>
        <r>
          <rPr>
            <sz val="8"/>
            <color indexed="81"/>
            <rFont val="Tahoma"/>
            <family val="2"/>
          </rPr>
          <t xml:space="preserve">
Quiet White - </t>
        </r>
        <r>
          <rPr>
            <i/>
            <sz val="8"/>
            <color indexed="81"/>
            <rFont val="Tahoma"/>
            <family val="2"/>
          </rPr>
          <t>Quiet White</t>
        </r>
        <r>
          <rPr>
            <sz val="8"/>
            <color indexed="81"/>
            <rFont val="Tahoma"/>
            <family val="2"/>
          </rPr>
          <t xml:space="preserve">
Snow Gum Grey - </t>
        </r>
        <r>
          <rPr>
            <i/>
            <sz val="8"/>
            <color indexed="81"/>
            <rFont val="Tahoma"/>
            <family val="2"/>
          </rPr>
          <t>Snow Gum Grey</t>
        </r>
        <r>
          <rPr>
            <sz val="8"/>
            <color indexed="81"/>
            <rFont val="Tahoma"/>
            <family val="2"/>
          </rPr>
          <t xml:space="preserve">
Snowy Mountains White - </t>
        </r>
        <r>
          <rPr>
            <i/>
            <sz val="8"/>
            <color indexed="81"/>
            <rFont val="Tahoma"/>
            <family val="2"/>
          </rPr>
          <t>Snowy Mountains White</t>
        </r>
        <r>
          <rPr>
            <sz val="8"/>
            <color indexed="81"/>
            <rFont val="Tahoma"/>
            <family val="2"/>
          </rPr>
          <t xml:space="preserve">
For standard Shutters in Fauxwood Designer Eco 
Standard 77mm Hinges will be used.
For standard Shutters in Fauxwood Designer Eco Plus, 
Fauxwood Designer Eco Night &amp; Luvre
Standard 90mm Hinges will be used.
The Pivot Hinged Colour options are;
White
Stainless Steel
Please refer to the Shutter Manual. 
</t>
        </r>
        <r>
          <rPr>
            <i/>
            <sz val="8"/>
            <color indexed="81"/>
            <rFont val="Tahoma"/>
            <family val="2"/>
          </rPr>
          <t>Stainless Steel Surcharge applies.</t>
        </r>
      </text>
    </comment>
    <comment ref="X20" authorId="0" shapeId="0" xr:uid="{122547CF-29F8-461D-9186-1C13C9539565}">
      <text>
        <r>
          <rPr>
            <sz val="8"/>
            <color indexed="81"/>
            <rFont val="Tahoma"/>
            <family val="2"/>
          </rPr>
          <t>Please Note: 
If Closed option is chosen then the blades 
can be damaged if they are left open 
when Sliding the Panel.
Open is not an option for 3 Tracks.</t>
        </r>
      </text>
    </comment>
    <comment ref="Y20" authorId="0" shapeId="0" xr:uid="{62618ACB-4267-460B-A64C-D4736A45A9F1}">
      <text>
        <r>
          <rPr>
            <sz val="8"/>
            <color indexed="81"/>
            <rFont val="Tahoma"/>
            <family val="2"/>
          </rPr>
          <t>If any T Posts are required then the measurements 
must be supplied under the next columns.
Measurements should be made from the left.
A Flat (Unbeaded) T Post can be ordered to match 
the Flat Stile Shutter in the Stile &amp; T Post column.</t>
        </r>
      </text>
    </comment>
    <comment ref="AC20" authorId="0" shapeId="0" xr:uid="{F1E23EC6-593E-4923-993C-93D451FA9E7B}">
      <text>
        <r>
          <rPr>
            <sz val="8"/>
            <color indexed="81"/>
            <rFont val="Tahoma"/>
            <family val="2"/>
          </rPr>
          <t>The Stile &amp; T Post 
options are;
Default (Beaded)
Flat Stile &amp; T Post
A Flat (unbeaded) Small L Frame can be ordered 
under the Frame Type.</t>
        </r>
      </text>
    </comment>
    <comment ref="AD20" authorId="0" shapeId="0" xr:uid="{B996A342-C2B7-47F4-9A85-1B677087877B}">
      <text>
        <r>
          <rPr>
            <sz val="8"/>
            <color indexed="81"/>
            <rFont val="Tahoma"/>
            <family val="2"/>
          </rPr>
          <t xml:space="preserve">The Designer Eco,  
Designer Eco Plus &amp; Luvre
Fluffy Strip options are;
No
Yes
Fluffy Strip is supplied with the Fauxwood Designer Eco Night Shutter.
</t>
        </r>
        <r>
          <rPr>
            <i/>
            <sz val="8"/>
            <color indexed="81"/>
            <rFont val="Tahoma"/>
            <family val="2"/>
          </rPr>
          <t>Fluffy Strip Surcharge applies.</t>
        </r>
      </text>
    </comment>
    <comment ref="C21" authorId="0" shapeId="0" xr:uid="{0C9371D3-B0FA-4642-84FA-7849E71CDEB1}">
      <text>
        <r>
          <rPr>
            <sz val="8"/>
            <color indexed="81"/>
            <rFont val="Tahoma"/>
            <family val="2"/>
          </rPr>
          <t xml:space="preserve">Minimum Width is 180mm.
Maximum Fauxwood Standard Size 
Width is 650mm.
Maximum Fauxwood Designer Eco Width with 
63mm Blades is 900mm.
Maximum Fauxwood Designer Eco Width with 
89mm Blades is 900mm.
Maximum Fauxwood Designer Eco Plus Width with 
63mm Blades is 950mm.
Maximum Fauxwood Designer Eco Plus Width with 
89mm Blades is 950mm.
Maximum Fauxwood Designer Eco Night 
Width is 650mm.
Maximum Luvre Width is 950mm.
Fauxwood Designer Eco &amp; 
Fauxwood Designer Eco Plus Panels 
with a Width larger than 650mm will require 
Aluminium Inserts.
Conditions apply.
</t>
        </r>
        <r>
          <rPr>
            <i/>
            <sz val="8"/>
            <color indexed="81"/>
            <rFont val="Tahoma"/>
            <family val="2"/>
          </rPr>
          <t>Please note: 
Larger Panels may sometimes require lifting in to the frame.</t>
        </r>
      </text>
    </comment>
    <comment ref="D21" authorId="0" shapeId="0" xr:uid="{20F1AC83-8F63-4581-8367-C27E4FA60530}">
      <text>
        <r>
          <rPr>
            <sz val="8"/>
            <color indexed="81"/>
            <rFont val="Tahoma"/>
            <family val="2"/>
          </rPr>
          <t>Minimum Height is 350mm.
Maximum Fauxwood Height is 2600mm.</t>
        </r>
      </text>
    </comment>
    <comment ref="E21" authorId="0" shapeId="0" xr:uid="{D3578683-18A8-4BEF-BEBA-AFA24B4E1C1D}">
      <text>
        <r>
          <rPr>
            <sz val="8"/>
            <color indexed="81"/>
            <rFont val="Tahoma"/>
            <family val="2"/>
          </rPr>
          <t xml:space="preserve">In - Inside or Reveal Fit
Out - Outside or Face Fit
Alternative Option:
MS - Make Size
Panel Only Option
</t>
        </r>
        <r>
          <rPr>
            <i/>
            <sz val="8"/>
            <color indexed="81"/>
            <rFont val="Tahoma"/>
            <family val="2"/>
          </rPr>
          <t>(Used for specific requirements only)</t>
        </r>
      </text>
    </comment>
    <comment ref="F21" authorId="0" shapeId="0" xr:uid="{695F91B0-3289-4125-98E0-8E8FB652E94E}">
      <text>
        <r>
          <rPr>
            <sz val="8"/>
            <color indexed="81"/>
            <rFont val="Tahoma"/>
            <family val="2"/>
          </rPr>
          <t>Quantity is the number of Panels 
within the opening. 
If ordering Make Size (MS), 
this will be the number of Panels 
at this size.</t>
        </r>
      </text>
    </comment>
    <comment ref="G21" authorId="0" shapeId="0" xr:uid="{026E9D6B-5DD0-4941-9480-9C0BB93B1F5C}">
      <text>
        <r>
          <rPr>
            <sz val="8"/>
            <color indexed="81"/>
            <rFont val="Tahoma"/>
            <family val="2"/>
          </rPr>
          <t>Fauxwood Designer Eco will be made with the standard profile 
Bottom Rail,  Mid Rail &amp; Top Rail.
Fauxwood Designer Eco Plus will be made with the 
reinforced curved profile Bottom Rail, Mid Rail &amp; Top Rail.
Fauxwood Designer Eco Night will be made with the 
curved grooved profile Bottom Rail, Mid Rail &amp; Top Rail.
Luvre will be made with the reinforced
curved profile Bottom Rail, Mid Rail &amp; Top Rail.
Fauxwood Designer Eco Plus, Fauxwood Designer Eco Night &amp; Luvre 
Surcharge applies.</t>
        </r>
      </text>
    </comment>
    <comment ref="H21" authorId="0" shapeId="0" xr:uid="{724AA77A-B69A-49E7-B03A-75FFECD7ECA5}">
      <text>
        <r>
          <rPr>
            <sz val="8"/>
            <color indexed="81"/>
            <rFont val="Tahoma"/>
            <family val="2"/>
          </rPr>
          <t xml:space="preserve">Fauxwood Designer Colours options available;
Standard Colours;
Bright White
Classic White
Snow White
Super White
Vanilla
Specialty Colours;
Ceylon
Earl Grey
French White
Infinite White
Polar White
Quiet White
Snow Gum Grey
Snowy Mountains White
</t>
        </r>
        <r>
          <rPr>
            <i/>
            <sz val="8"/>
            <color indexed="81"/>
            <rFont val="Tahoma"/>
            <family val="2"/>
          </rPr>
          <t>Specialty Colours Surcharge applies.</t>
        </r>
        <r>
          <rPr>
            <sz val="8"/>
            <color indexed="81"/>
            <rFont val="Tahoma"/>
            <family val="2"/>
          </rPr>
          <t xml:space="preserve">
Luvre with Therme &amp; Scratch Resistant Paint 
Colours options available;
Snow White
Super White
</t>
        </r>
      </text>
    </comment>
    <comment ref="J21" authorId="0" shapeId="0" xr:uid="{3BE829A1-E433-4773-916A-201E299DDAFB}">
      <text>
        <r>
          <rPr>
            <sz val="8"/>
            <color indexed="81"/>
            <rFont val="Tahoma"/>
            <family val="2"/>
          </rPr>
          <t>Fauxwood Designer Eco &amp; 
Fauxwood Designer Eco Plus 
Blade sizes options are;
63mm
89mm
Fauxwood Designer Eco Night  
Blade sizes options are;
92mm
Luvre Blade sizes options are;
89mm
114mm</t>
        </r>
      </text>
    </comment>
    <comment ref="K21" authorId="0" shapeId="0" xr:uid="{50CB032D-C42E-48D6-A558-2627DEE0B759}">
      <text>
        <r>
          <rPr>
            <sz val="8"/>
            <color indexed="81"/>
            <rFont val="Tahoma"/>
            <family val="2"/>
          </rPr>
          <t>Mid Rail is required on Fauxwood Panels over 1500mm.
Cell will highlight yellow when Mid Rail is required.
Only one Critical Mid Rail is allowed.
A Mid Rail that is not marked "Critical" may be moved up or down 
up to 40mm to stop any gaps and increase/decrease the blade quantity.
Fauxwood Designer Eco will be made with the standard profile 
Bottom Rail,  Mid Rail &amp; Top Rail.
Fauxwood Designer Eco Plus will be made with the 
reinforced curved profile Bottom Rail, Mid Rail &amp; Top Rail.
Fauxwood Designer Eco Night will be made with the 
curved grooved profile Bottom Rail, Mid Rail &amp; Top Rail.
Luvre will be made with the reinforced
curved profile Bottom Rail, Mid Rail &amp; Top Rail.
Fauxwood Designer Eco Plus, Fauxwood Designer Eco Night &amp; Luvre Surcharge applies.</t>
        </r>
      </text>
    </comment>
    <comment ref="L21" authorId="0" shapeId="0" xr:uid="{653C1872-2FDA-4E82-8391-87A8BAC6F014}">
      <text>
        <r>
          <rPr>
            <sz val="8"/>
            <color indexed="81"/>
            <rFont val="Tahoma"/>
            <family val="2"/>
          </rPr>
          <t xml:space="preserve">The Fauxwood Designer Eco, 
Fauxwood Designer Eco Plus 
&amp; Luvre Window Type options are;
Standard
Bay Window
Corner Window
Door Cut Out
Shaped Arch
Shaped Hexagon
Shaped Octagon
Shaped Oval
Shaped Parallelogram
Shaped Raked
Shaped Round
Shaped Sunburst
Shaped Triangle
These Shapes are not available
with the Rack &amp; Pinion Tiltrod;
Shaped Arch
Shaped Hexagon
Shaped Octagon
Shaped Oval
Shaped Round
Shaped Sunburst
The Fauxwood Designer Eco Night Window Type 
options are;
Standard
Bay Window
Corner Window
</t>
        </r>
        <r>
          <rPr>
            <i/>
            <sz val="8"/>
            <color indexed="81"/>
            <rFont val="Tahoma"/>
            <family val="2"/>
          </rPr>
          <t xml:space="preserve">
</t>
        </r>
        <r>
          <rPr>
            <sz val="8"/>
            <color indexed="81"/>
            <rFont val="Tahoma"/>
            <family val="2"/>
          </rPr>
          <t>Shaped Shutters will need the Panel Layout to be 
compatible with the Hidden Tiltrod system.</t>
        </r>
      </text>
    </comment>
    <comment ref="M21" authorId="0" shapeId="0" xr:uid="{477BBD8B-78B7-4E15-99A9-9CCA6CE4E4A9}">
      <text>
        <r>
          <rPr>
            <sz val="8"/>
            <color indexed="81"/>
            <rFont val="Tahoma"/>
            <family val="2"/>
          </rPr>
          <t>Mounting Method is dependent 
on  MS, In Or Out &amp; Product.
For IN &amp; Fauxwood Designer Eco,  
Fauxwood Designer Eco Plus 
&amp; Luvre the options are;
Double Hinged
Fixed
Hinged
Pivot Hinged
Sliding
Track Bi Fold
For OUT &amp; Fauxwood Designer Eco,  
Fauxwood Designer Eco Plus 
&amp; Luvre the options are;
Double Hinged
Hinged
Pivot Hinged
Sliding
Track Bi Fold
For IN &amp; Fauxwood Designer Eco Night 
the options are;
Fixed
Hinged
For OUT &amp; Fauxwood Designer Eco Night 
the options are;
Fixed
Hinged
For MS, the options are;
N/A
Pivot Hinged is not recommended for 
Designer Eco Plus or Luvre.</t>
        </r>
      </text>
    </comment>
    <comment ref="N21" authorId="0" shapeId="0" xr:uid="{E49E6ED7-B25C-45B6-B54B-FFB350120976}">
      <text>
        <r>
          <rPr>
            <sz val="8"/>
            <color indexed="81"/>
            <rFont val="Tahoma"/>
            <family val="2"/>
          </rPr>
          <t>For Sliding Track System options are;
Top Hung (Original System)
Bottom Wheel (New System)
The Top Hung (Original System) uses 
Top Wheels Mounting.
The Bottom Wheel (New System) uses a 
U Channel at the Top and 
Wheels at the Bottom.
This option cannot have a Floor Guide or 
Track On Board.</t>
        </r>
      </text>
    </comment>
    <comment ref="O21" authorId="0" shapeId="0" xr:uid="{11803CED-8FA6-4FBA-A05D-2E7CF0F530EB}">
      <text>
        <r>
          <rPr>
            <sz val="8"/>
            <color indexed="81"/>
            <rFont val="Tahoma"/>
            <family val="2"/>
          </rPr>
          <t>Please refer to the Shutter Manual 
when selecting Layout Code.
The list provides the most common options, 
which are dependent on Mounting Method.
More complex Layout Codes can still be entered manually.</t>
        </r>
      </text>
    </comment>
    <comment ref="P21" authorId="0" shapeId="0" xr:uid="{2ED06A47-50ED-4A12-BC30-AD247F002BBB}">
      <text>
        <r>
          <rPr>
            <sz val="8"/>
            <color indexed="81"/>
            <rFont val="Tahoma"/>
            <family val="2"/>
          </rPr>
          <t>Frame Type is dependent on
 Mounting Method.
If a Flat (unbeaded) Small L Frame 
is selected, a matching Stile &amp; T Post can be 
ordered in the Stile &amp; T Post column.</t>
        </r>
      </text>
    </comment>
    <comment ref="V21" authorId="0" shapeId="0" xr:uid="{FD93E85B-1A0B-4088-8F11-084D867782B1}">
      <text>
        <r>
          <rPr>
            <sz val="8"/>
            <color indexed="81"/>
            <rFont val="Tahoma"/>
            <family val="2"/>
          </rPr>
          <t>This option is dependent on the 
Material &amp; Product 
and will only be available once this 
option is selected.
For Fauxwood Designer Eco
&amp; Fauxwood Designer Eco Plus 
the options are;
Hidden
Centre
Off-Set
Rack &amp; Pinion
These Shapes are not available
with the Rack &amp; Pinion Tiltrod;
Shaped Arch
Shaped Hexagon
Shaped Octagon
Shaped Oval
Shaped Round
Shaped Sunburst
For Fauxwood Designer Eco Night
the options are;
Hidden
For Luvre the options are;
Hidden</t>
        </r>
      </text>
    </comment>
    <comment ref="W21" authorId="0" shapeId="0" xr:uid="{D918F2B8-0125-4E0D-B5C1-F799DAD034AC}">
      <text>
        <r>
          <rPr>
            <sz val="8"/>
            <color indexed="81"/>
            <rFont val="Tahoma"/>
            <family val="2"/>
          </rPr>
          <t xml:space="preserve">If no Hinge Colour is selected, 
then the default Hinge Colour and hardware 
will be supplied. 
The Hinge Colour options are;
Default
Stainless Steel
N/A
When Default is selected, the Hinge will be supplied 
as per the matching Hinge Colour list below;
Shutter Colour - </t>
        </r>
        <r>
          <rPr>
            <i/>
            <sz val="8"/>
            <color indexed="81"/>
            <rFont val="Tahoma"/>
            <family val="2"/>
          </rPr>
          <t>Hinge Colour</t>
        </r>
        <r>
          <rPr>
            <sz val="8"/>
            <color indexed="81"/>
            <rFont val="Tahoma"/>
            <family val="2"/>
          </rPr>
          <t xml:space="preserve">
   Bright White - </t>
        </r>
        <r>
          <rPr>
            <i/>
            <sz val="8"/>
            <color indexed="81"/>
            <rFont val="Tahoma"/>
            <family val="2"/>
          </rPr>
          <t>Bright White</t>
        </r>
        <r>
          <rPr>
            <sz val="8"/>
            <color indexed="81"/>
            <rFont val="Tahoma"/>
            <family val="2"/>
          </rPr>
          <t xml:space="preserve">
Classic White - </t>
        </r>
        <r>
          <rPr>
            <i/>
            <sz val="8"/>
            <color indexed="81"/>
            <rFont val="Tahoma"/>
            <family val="2"/>
          </rPr>
          <t>White</t>
        </r>
        <r>
          <rPr>
            <sz val="8"/>
            <color indexed="81"/>
            <rFont val="Tahoma"/>
            <family val="2"/>
          </rPr>
          <t xml:space="preserve">
Snow White - </t>
        </r>
        <r>
          <rPr>
            <i/>
            <sz val="8"/>
            <color indexed="81"/>
            <rFont val="Tahoma"/>
            <family val="2"/>
          </rPr>
          <t>Snow White</t>
        </r>
        <r>
          <rPr>
            <sz val="8"/>
            <color indexed="81"/>
            <rFont val="Tahoma"/>
            <family val="2"/>
          </rPr>
          <t xml:space="preserve">
Super White - </t>
        </r>
        <r>
          <rPr>
            <i/>
            <sz val="8"/>
            <color indexed="81"/>
            <rFont val="Tahoma"/>
            <family val="2"/>
          </rPr>
          <t>Snow White</t>
        </r>
        <r>
          <rPr>
            <sz val="8"/>
            <color indexed="81"/>
            <rFont val="Tahoma"/>
            <family val="2"/>
          </rPr>
          <t xml:space="preserve">
Vanilla - </t>
        </r>
        <r>
          <rPr>
            <i/>
            <sz val="8"/>
            <color indexed="81"/>
            <rFont val="Tahoma"/>
            <family val="2"/>
          </rPr>
          <t xml:space="preserve">Ivory
</t>
        </r>
        <r>
          <rPr>
            <sz val="8"/>
            <color indexed="81"/>
            <rFont val="Tahoma"/>
            <family val="2"/>
          </rPr>
          <t xml:space="preserve">Ceylon - </t>
        </r>
        <r>
          <rPr>
            <i/>
            <sz val="8"/>
            <color indexed="81"/>
            <rFont val="Tahoma"/>
            <family val="2"/>
          </rPr>
          <t>Ceylon</t>
        </r>
        <r>
          <rPr>
            <sz val="8"/>
            <color indexed="81"/>
            <rFont val="Tahoma"/>
            <family val="2"/>
          </rPr>
          <t xml:space="preserve">
Earl Grey - </t>
        </r>
        <r>
          <rPr>
            <i/>
            <sz val="8"/>
            <color indexed="81"/>
            <rFont val="Tahoma"/>
            <family val="2"/>
          </rPr>
          <t>Earl Grey</t>
        </r>
        <r>
          <rPr>
            <sz val="8"/>
            <color indexed="81"/>
            <rFont val="Tahoma"/>
            <family val="2"/>
          </rPr>
          <t xml:space="preserve">
French White - </t>
        </r>
        <r>
          <rPr>
            <i/>
            <sz val="8"/>
            <color indexed="81"/>
            <rFont val="Tahoma"/>
            <family val="2"/>
          </rPr>
          <t>French White</t>
        </r>
        <r>
          <rPr>
            <sz val="8"/>
            <color indexed="81"/>
            <rFont val="Tahoma"/>
            <family val="2"/>
          </rPr>
          <t xml:space="preserve">
Infinite White -</t>
        </r>
        <r>
          <rPr>
            <i/>
            <sz val="8"/>
            <color indexed="81"/>
            <rFont val="Tahoma"/>
            <family val="2"/>
          </rPr>
          <t xml:space="preserve"> Infinite White</t>
        </r>
        <r>
          <rPr>
            <sz val="8"/>
            <color indexed="81"/>
            <rFont val="Tahoma"/>
            <family val="2"/>
          </rPr>
          <t xml:space="preserve">
Polar White - </t>
        </r>
        <r>
          <rPr>
            <i/>
            <sz val="8"/>
            <color indexed="81"/>
            <rFont val="Tahoma"/>
            <family val="2"/>
          </rPr>
          <t>Polar White</t>
        </r>
        <r>
          <rPr>
            <sz val="8"/>
            <color indexed="81"/>
            <rFont val="Tahoma"/>
            <family val="2"/>
          </rPr>
          <t xml:space="preserve">
Quiet White - </t>
        </r>
        <r>
          <rPr>
            <i/>
            <sz val="8"/>
            <color indexed="81"/>
            <rFont val="Tahoma"/>
            <family val="2"/>
          </rPr>
          <t>Quiet White</t>
        </r>
        <r>
          <rPr>
            <sz val="8"/>
            <color indexed="81"/>
            <rFont val="Tahoma"/>
            <family val="2"/>
          </rPr>
          <t xml:space="preserve">
Snow Gum Grey - </t>
        </r>
        <r>
          <rPr>
            <i/>
            <sz val="8"/>
            <color indexed="81"/>
            <rFont val="Tahoma"/>
            <family val="2"/>
          </rPr>
          <t>Snow Gum Grey</t>
        </r>
        <r>
          <rPr>
            <sz val="8"/>
            <color indexed="81"/>
            <rFont val="Tahoma"/>
            <family val="2"/>
          </rPr>
          <t xml:space="preserve">
Snowy Mountains White - </t>
        </r>
        <r>
          <rPr>
            <i/>
            <sz val="8"/>
            <color indexed="81"/>
            <rFont val="Tahoma"/>
            <family val="2"/>
          </rPr>
          <t>Snowy Mountains White</t>
        </r>
        <r>
          <rPr>
            <sz val="8"/>
            <color indexed="81"/>
            <rFont val="Tahoma"/>
            <family val="2"/>
          </rPr>
          <t xml:space="preserve">
For standard Shutters in Fauxwood Designer Eco 
Standard 77mm Hinges will be used.
For standard Shutters in Fauxwood Designer Eco Plus, 
Fauxwood Designer Eco Night &amp; Luvre
Standard 90mm Hinges will be used.
The Pivot Hinged Colour options are;
White
Stainless Steel
Please refer to the Shutter Manual. 
</t>
        </r>
        <r>
          <rPr>
            <i/>
            <sz val="8"/>
            <color indexed="81"/>
            <rFont val="Tahoma"/>
            <family val="2"/>
          </rPr>
          <t>Stainless Steel Surcharge applies.</t>
        </r>
      </text>
    </comment>
    <comment ref="X21" authorId="0" shapeId="0" xr:uid="{A90E8ED2-7B30-446B-B875-39476EA90064}">
      <text>
        <r>
          <rPr>
            <sz val="8"/>
            <color indexed="81"/>
            <rFont val="Tahoma"/>
            <family val="2"/>
          </rPr>
          <t>Please Note: 
If Closed option is chosen then the blades 
can be damaged if they are left open 
when Sliding the Panel.
Open is not an option for 3 Tracks.</t>
        </r>
      </text>
    </comment>
    <comment ref="Y21" authorId="0" shapeId="0" xr:uid="{CC57FAD3-898F-414F-8071-804F002AB376}">
      <text>
        <r>
          <rPr>
            <sz val="8"/>
            <color indexed="81"/>
            <rFont val="Tahoma"/>
            <family val="2"/>
          </rPr>
          <t>If any T Posts are required then the measurements 
must be supplied under the next columns.
Measurements should be made from the left.
A Flat (Unbeaded) T Post can be ordered to match 
the Flat Stile Shutter in the Stile &amp; T Post column.</t>
        </r>
      </text>
    </comment>
    <comment ref="AC21" authorId="0" shapeId="0" xr:uid="{29B70509-E812-4800-8B06-136979C5A06D}">
      <text>
        <r>
          <rPr>
            <sz val="8"/>
            <color indexed="81"/>
            <rFont val="Tahoma"/>
            <family val="2"/>
          </rPr>
          <t>The Stile &amp; T Post 
options are;
Default (Beaded)
Flat Stile &amp; T Post
A Flat (unbeaded) Small L Frame can be ordered 
under the Frame Type.</t>
        </r>
      </text>
    </comment>
    <comment ref="AD21" authorId="0" shapeId="0" xr:uid="{3F50337F-1D05-4F17-928F-EF843101FE52}">
      <text>
        <r>
          <rPr>
            <sz val="8"/>
            <color indexed="81"/>
            <rFont val="Tahoma"/>
            <family val="2"/>
          </rPr>
          <t xml:space="preserve">The Designer Eco,  
Designer Eco Plus &amp; Luvre
Fluffy Strip options are;
No
Yes
Fluffy Strip is supplied with the Fauxwood Designer Eco Night Shutter.
</t>
        </r>
        <r>
          <rPr>
            <i/>
            <sz val="8"/>
            <color indexed="81"/>
            <rFont val="Tahoma"/>
            <family val="2"/>
          </rPr>
          <t>Fluffy Strip Surcharge applies.</t>
        </r>
      </text>
    </comment>
    <comment ref="C22" authorId="0" shapeId="0" xr:uid="{E9ED1CF8-F799-4E39-BA95-A1AE552FA295}">
      <text>
        <r>
          <rPr>
            <sz val="8"/>
            <color indexed="81"/>
            <rFont val="Tahoma"/>
            <family val="2"/>
          </rPr>
          <t xml:space="preserve">Minimum Width is 180mm.
Maximum Fauxwood Standard Size 
Width is 650mm.
Maximum Fauxwood Designer Eco Width with 
63mm Blades is 900mm.
Maximum Fauxwood Designer Eco Width with 
89mm Blades is 900mm.
Maximum Fauxwood Designer Eco Plus Width with 
63mm Blades is 950mm.
Maximum Fauxwood Designer Eco Plus Width with 
89mm Blades is 950mm.
Maximum Fauxwood Designer Eco Night 
Width is 650mm.
Maximum Luvre Width is 950mm.
Fauxwood Designer Eco &amp; 
Fauxwood Designer Eco Plus Panels 
with a Width larger than 650mm will require 
Aluminium Inserts.
Conditions apply.
</t>
        </r>
        <r>
          <rPr>
            <i/>
            <sz val="8"/>
            <color indexed="81"/>
            <rFont val="Tahoma"/>
            <family val="2"/>
          </rPr>
          <t>Please note: 
Larger Panels may sometimes require lifting in to the frame.</t>
        </r>
      </text>
    </comment>
    <comment ref="D22" authorId="0" shapeId="0" xr:uid="{A8BAFA82-3B64-41BF-88D5-A0B7E2CBF46B}">
      <text>
        <r>
          <rPr>
            <sz val="8"/>
            <color indexed="81"/>
            <rFont val="Tahoma"/>
            <family val="2"/>
          </rPr>
          <t>Minimum Height is 350mm.
Maximum Fauxwood Height is 2600mm.</t>
        </r>
      </text>
    </comment>
    <comment ref="E22" authorId="0" shapeId="0" xr:uid="{1D8F93E5-C895-4C66-B841-46D2F5613374}">
      <text>
        <r>
          <rPr>
            <sz val="8"/>
            <color indexed="81"/>
            <rFont val="Tahoma"/>
            <family val="2"/>
          </rPr>
          <t xml:space="preserve">In - Inside or Reveal Fit
Out - Outside or Face Fit
Alternative Option:
MS - Make Size
Panel Only Option
</t>
        </r>
        <r>
          <rPr>
            <i/>
            <sz val="8"/>
            <color indexed="81"/>
            <rFont val="Tahoma"/>
            <family val="2"/>
          </rPr>
          <t>(Used for specific requirements only)</t>
        </r>
      </text>
    </comment>
    <comment ref="F22" authorId="0" shapeId="0" xr:uid="{98907140-5B70-4FE2-BCB4-3B634C06B2B8}">
      <text>
        <r>
          <rPr>
            <sz val="8"/>
            <color indexed="81"/>
            <rFont val="Tahoma"/>
            <family val="2"/>
          </rPr>
          <t>Quantity is the number of Panels 
within the opening. 
If ordering Make Size (MS), 
this will be the number of Panels 
at this size.</t>
        </r>
      </text>
    </comment>
    <comment ref="G22" authorId="0" shapeId="0" xr:uid="{0AA9C42B-ABD0-4CFA-A11D-4F7B3D68E9A7}">
      <text>
        <r>
          <rPr>
            <sz val="8"/>
            <color indexed="81"/>
            <rFont val="Tahoma"/>
            <family val="2"/>
          </rPr>
          <t>Fauxwood Designer Eco will be made with the standard profile 
Bottom Rail,  Mid Rail &amp; Top Rail.
Fauxwood Designer Eco Plus will be made with the 
reinforced curved profile Bottom Rail, Mid Rail &amp; Top Rail.
Fauxwood Designer Eco Night will be made with the 
curved grooved profile Bottom Rail, Mid Rail &amp; Top Rail.
Luvre will be made with the reinforced
curved profile Bottom Rail, Mid Rail &amp; Top Rail.
Fauxwood Designer Eco Plus, Fauxwood Designer Eco Night &amp; Luvre 
Surcharge applies.</t>
        </r>
      </text>
    </comment>
    <comment ref="H22" authorId="0" shapeId="0" xr:uid="{2F17B15F-218B-4888-A98C-827A3059E7C9}">
      <text>
        <r>
          <rPr>
            <sz val="8"/>
            <color indexed="81"/>
            <rFont val="Tahoma"/>
            <family val="2"/>
          </rPr>
          <t xml:space="preserve">Fauxwood Designer Colours options available;
Standard Colours;
Bright White
Classic White
Snow White
Super White
Vanilla
Specialty Colours;
Ceylon
Earl Grey
French White
Infinite White
Polar White
Quiet White
Snow Gum Grey
Snowy Mountains White
</t>
        </r>
        <r>
          <rPr>
            <i/>
            <sz val="8"/>
            <color indexed="81"/>
            <rFont val="Tahoma"/>
            <family val="2"/>
          </rPr>
          <t>Specialty Colours Surcharge applies.</t>
        </r>
        <r>
          <rPr>
            <sz val="8"/>
            <color indexed="81"/>
            <rFont val="Tahoma"/>
            <family val="2"/>
          </rPr>
          <t xml:space="preserve">
Luvre with Therme &amp; Scratch Resistant Paint 
Colours options available;
Snow White
Super White
</t>
        </r>
      </text>
    </comment>
    <comment ref="J22" authorId="0" shapeId="0" xr:uid="{B0FF2E7A-F6D8-48C2-B5AF-3109AB6BAB3E}">
      <text>
        <r>
          <rPr>
            <sz val="8"/>
            <color indexed="81"/>
            <rFont val="Tahoma"/>
            <family val="2"/>
          </rPr>
          <t>Fauxwood Designer Eco &amp; 
Fauxwood Designer Eco Plus 
Blade sizes options are;
63mm
89mm
Fauxwood Designer Eco Night  
Blade sizes options are;
92mm
Luvre Blade sizes options are;
89mm
114mm</t>
        </r>
      </text>
    </comment>
    <comment ref="K22" authorId="0" shapeId="0" xr:uid="{3576E982-BC37-4C14-91DA-C73DD0A8B833}">
      <text>
        <r>
          <rPr>
            <sz val="8"/>
            <color indexed="81"/>
            <rFont val="Tahoma"/>
            <family val="2"/>
          </rPr>
          <t>Mid Rail is required on Fauxwood Panels over 1500mm.
Cell will highlight yellow when Mid Rail is required.
Only one Critical Mid Rail is allowed.
A Mid Rail that is not marked "Critical" may be moved up or down 
up to 40mm to stop any gaps and increase/decrease the blade quantity.
Fauxwood Designer Eco will be made with the standard profile 
Bottom Rail,  Mid Rail &amp; Top Rail.
Fauxwood Designer Eco Plus will be made with the 
reinforced curved profile Bottom Rail, Mid Rail &amp; Top Rail.
Fauxwood Designer Eco Night will be made with the 
curved grooved profile Bottom Rail, Mid Rail &amp; Top Rail.
Luvre will be made with the reinforced
curved profile Bottom Rail, Mid Rail &amp; Top Rail.
Fauxwood Designer Eco Plus, Fauxwood Designer Eco Night &amp; Luvre Surcharge applies.</t>
        </r>
      </text>
    </comment>
    <comment ref="L22" authorId="0" shapeId="0" xr:uid="{40E0B663-842C-4A0D-B274-33D02595188E}">
      <text>
        <r>
          <rPr>
            <sz val="8"/>
            <color indexed="81"/>
            <rFont val="Tahoma"/>
            <family val="2"/>
          </rPr>
          <t xml:space="preserve">The Fauxwood Designer Eco, 
Fauxwood Designer Eco Plus 
&amp; Luvre Window Type options are;
Standard
Bay Window
Corner Window
Door Cut Out
Shaped Arch
Shaped Hexagon
Shaped Octagon
Shaped Oval
Shaped Parallelogram
Shaped Raked
Shaped Round
Shaped Sunburst
Shaped Triangle
These Shapes are not available
with the Rack &amp; Pinion Tiltrod;
Shaped Arch
Shaped Hexagon
Shaped Octagon
Shaped Oval
Shaped Round
Shaped Sunburst
The Fauxwood Designer Eco Night Window Type 
options are;
Standard
Bay Window
Corner Window
</t>
        </r>
        <r>
          <rPr>
            <i/>
            <sz val="8"/>
            <color indexed="81"/>
            <rFont val="Tahoma"/>
            <family val="2"/>
          </rPr>
          <t xml:space="preserve">
</t>
        </r>
        <r>
          <rPr>
            <sz val="8"/>
            <color indexed="81"/>
            <rFont val="Tahoma"/>
            <family val="2"/>
          </rPr>
          <t>Shaped Shutters will need the Panel Layout to be 
compatible with the Hidden Tiltrod system.</t>
        </r>
      </text>
    </comment>
    <comment ref="M22" authorId="0" shapeId="0" xr:uid="{82BA3927-51B8-43AB-AF83-723A95E6076A}">
      <text>
        <r>
          <rPr>
            <sz val="8"/>
            <color indexed="81"/>
            <rFont val="Tahoma"/>
            <family val="2"/>
          </rPr>
          <t>Mounting Method is dependent 
on  MS, In Or Out &amp; Product.
For IN &amp; Fauxwood Designer Eco,  
Fauxwood Designer Eco Plus 
&amp; Luvre the options are;
Double Hinged
Fixed
Hinged
Pivot Hinged
Sliding
Track Bi Fold
For OUT &amp; Fauxwood Designer Eco,  
Fauxwood Designer Eco Plus 
&amp; Luvre the options are;
Double Hinged
Hinged
Pivot Hinged
Sliding
Track Bi Fold
For IN &amp; Fauxwood Designer Eco Night 
the options are;
Fixed
Hinged
For OUT &amp; Fauxwood Designer Eco Night 
the options are;
Fixed
Hinged
For MS, the options are;
N/A
Pivot Hinged is not recommended for 
Designer Eco Plus or Luvre.</t>
        </r>
      </text>
    </comment>
    <comment ref="N22" authorId="0" shapeId="0" xr:uid="{1914B5A4-5553-4916-B39F-0ED02A23AEF3}">
      <text>
        <r>
          <rPr>
            <sz val="8"/>
            <color indexed="81"/>
            <rFont val="Tahoma"/>
            <family val="2"/>
          </rPr>
          <t>For Sliding Track System options are;
Top Hung (Original System)
Bottom Wheel (New System)
The Top Hung (Original System) uses 
Top Wheels Mounting.
The Bottom Wheel (New System) uses a 
U Channel at the Top and 
Wheels at the Bottom.
This option cannot have a Floor Guide or 
Track On Board.</t>
        </r>
      </text>
    </comment>
    <comment ref="O22" authorId="0" shapeId="0" xr:uid="{5BC940D9-D7FE-4E19-B67C-B047FAA4FEF2}">
      <text>
        <r>
          <rPr>
            <sz val="8"/>
            <color indexed="81"/>
            <rFont val="Tahoma"/>
            <family val="2"/>
          </rPr>
          <t>Please refer to the Shutter Manual 
when selecting Layout Code.
The list provides the most common options, 
which are dependent on Mounting Method.
More complex Layout Codes can still be entered manually.</t>
        </r>
      </text>
    </comment>
    <comment ref="P22" authorId="0" shapeId="0" xr:uid="{23401275-8C15-40D3-BDF3-06D94C412B80}">
      <text>
        <r>
          <rPr>
            <sz val="8"/>
            <color indexed="81"/>
            <rFont val="Tahoma"/>
            <family val="2"/>
          </rPr>
          <t>Frame Type is dependent on
 Mounting Method.
If a Flat (unbeaded) Small L Frame 
is selected, a matching Stile &amp; T Post can be 
ordered in the Stile &amp; T Post column.</t>
        </r>
      </text>
    </comment>
    <comment ref="V22" authorId="0" shapeId="0" xr:uid="{ABD1FBFB-9939-48D3-9C43-65EB3F0455BD}">
      <text>
        <r>
          <rPr>
            <sz val="8"/>
            <color indexed="81"/>
            <rFont val="Tahoma"/>
            <family val="2"/>
          </rPr>
          <t>This option is dependent on the 
Material &amp; Product 
and will only be available once this 
option is selected.
For Fauxwood Designer Eco
&amp; Fauxwood Designer Eco Plus 
the options are;
Hidden
Centre
Off-Set
Rack &amp; Pinion
These Shapes are not available
with the Rack &amp; Pinion Tiltrod;
Shaped Arch
Shaped Hexagon
Shaped Octagon
Shaped Oval
Shaped Round
Shaped Sunburst
For Fauxwood Designer Eco Night
the options are;
Hidden
For Luvre the options are;
Hidden</t>
        </r>
      </text>
    </comment>
    <comment ref="W22" authorId="0" shapeId="0" xr:uid="{888F54BE-C5E5-4D51-9A15-B1EA3DBB3A15}">
      <text>
        <r>
          <rPr>
            <sz val="8"/>
            <color indexed="81"/>
            <rFont val="Tahoma"/>
            <family val="2"/>
          </rPr>
          <t xml:space="preserve">If no Hinge Colour is selected, 
then the default Hinge Colour and hardware 
will be supplied. 
The Hinge Colour options are;
Default
Stainless Steel
N/A
When Default is selected, the Hinge will be supplied 
as per the matching Hinge Colour list below;
Shutter Colour - </t>
        </r>
        <r>
          <rPr>
            <i/>
            <sz val="8"/>
            <color indexed="81"/>
            <rFont val="Tahoma"/>
            <family val="2"/>
          </rPr>
          <t>Hinge Colour</t>
        </r>
        <r>
          <rPr>
            <sz val="8"/>
            <color indexed="81"/>
            <rFont val="Tahoma"/>
            <family val="2"/>
          </rPr>
          <t xml:space="preserve">
   Bright White - </t>
        </r>
        <r>
          <rPr>
            <i/>
            <sz val="8"/>
            <color indexed="81"/>
            <rFont val="Tahoma"/>
            <family val="2"/>
          </rPr>
          <t>Bright White</t>
        </r>
        <r>
          <rPr>
            <sz val="8"/>
            <color indexed="81"/>
            <rFont val="Tahoma"/>
            <family val="2"/>
          </rPr>
          <t xml:space="preserve">
Classic White - </t>
        </r>
        <r>
          <rPr>
            <i/>
            <sz val="8"/>
            <color indexed="81"/>
            <rFont val="Tahoma"/>
            <family val="2"/>
          </rPr>
          <t>White</t>
        </r>
        <r>
          <rPr>
            <sz val="8"/>
            <color indexed="81"/>
            <rFont val="Tahoma"/>
            <family val="2"/>
          </rPr>
          <t xml:space="preserve">
Snow White - </t>
        </r>
        <r>
          <rPr>
            <i/>
            <sz val="8"/>
            <color indexed="81"/>
            <rFont val="Tahoma"/>
            <family val="2"/>
          </rPr>
          <t>Snow White</t>
        </r>
        <r>
          <rPr>
            <sz val="8"/>
            <color indexed="81"/>
            <rFont val="Tahoma"/>
            <family val="2"/>
          </rPr>
          <t xml:space="preserve">
Super White - </t>
        </r>
        <r>
          <rPr>
            <i/>
            <sz val="8"/>
            <color indexed="81"/>
            <rFont val="Tahoma"/>
            <family val="2"/>
          </rPr>
          <t>Snow White</t>
        </r>
        <r>
          <rPr>
            <sz val="8"/>
            <color indexed="81"/>
            <rFont val="Tahoma"/>
            <family val="2"/>
          </rPr>
          <t xml:space="preserve">
Vanilla - </t>
        </r>
        <r>
          <rPr>
            <i/>
            <sz val="8"/>
            <color indexed="81"/>
            <rFont val="Tahoma"/>
            <family val="2"/>
          </rPr>
          <t xml:space="preserve">Ivory
</t>
        </r>
        <r>
          <rPr>
            <sz val="8"/>
            <color indexed="81"/>
            <rFont val="Tahoma"/>
            <family val="2"/>
          </rPr>
          <t xml:space="preserve">Ceylon - </t>
        </r>
        <r>
          <rPr>
            <i/>
            <sz val="8"/>
            <color indexed="81"/>
            <rFont val="Tahoma"/>
            <family val="2"/>
          </rPr>
          <t>Ceylon</t>
        </r>
        <r>
          <rPr>
            <sz val="8"/>
            <color indexed="81"/>
            <rFont val="Tahoma"/>
            <family val="2"/>
          </rPr>
          <t xml:space="preserve">
Earl Grey - </t>
        </r>
        <r>
          <rPr>
            <i/>
            <sz val="8"/>
            <color indexed="81"/>
            <rFont val="Tahoma"/>
            <family val="2"/>
          </rPr>
          <t>Earl Grey</t>
        </r>
        <r>
          <rPr>
            <sz val="8"/>
            <color indexed="81"/>
            <rFont val="Tahoma"/>
            <family val="2"/>
          </rPr>
          <t xml:space="preserve">
French White - </t>
        </r>
        <r>
          <rPr>
            <i/>
            <sz val="8"/>
            <color indexed="81"/>
            <rFont val="Tahoma"/>
            <family val="2"/>
          </rPr>
          <t>French White</t>
        </r>
        <r>
          <rPr>
            <sz val="8"/>
            <color indexed="81"/>
            <rFont val="Tahoma"/>
            <family val="2"/>
          </rPr>
          <t xml:space="preserve">
Infinite White -</t>
        </r>
        <r>
          <rPr>
            <i/>
            <sz val="8"/>
            <color indexed="81"/>
            <rFont val="Tahoma"/>
            <family val="2"/>
          </rPr>
          <t xml:space="preserve"> Infinite White</t>
        </r>
        <r>
          <rPr>
            <sz val="8"/>
            <color indexed="81"/>
            <rFont val="Tahoma"/>
            <family val="2"/>
          </rPr>
          <t xml:space="preserve">
Polar White - </t>
        </r>
        <r>
          <rPr>
            <i/>
            <sz val="8"/>
            <color indexed="81"/>
            <rFont val="Tahoma"/>
            <family val="2"/>
          </rPr>
          <t>Polar White</t>
        </r>
        <r>
          <rPr>
            <sz val="8"/>
            <color indexed="81"/>
            <rFont val="Tahoma"/>
            <family val="2"/>
          </rPr>
          <t xml:space="preserve">
Quiet White - </t>
        </r>
        <r>
          <rPr>
            <i/>
            <sz val="8"/>
            <color indexed="81"/>
            <rFont val="Tahoma"/>
            <family val="2"/>
          </rPr>
          <t>Quiet White</t>
        </r>
        <r>
          <rPr>
            <sz val="8"/>
            <color indexed="81"/>
            <rFont val="Tahoma"/>
            <family val="2"/>
          </rPr>
          <t xml:space="preserve">
Snow Gum Grey - </t>
        </r>
        <r>
          <rPr>
            <i/>
            <sz val="8"/>
            <color indexed="81"/>
            <rFont val="Tahoma"/>
            <family val="2"/>
          </rPr>
          <t>Snow Gum Grey</t>
        </r>
        <r>
          <rPr>
            <sz val="8"/>
            <color indexed="81"/>
            <rFont val="Tahoma"/>
            <family val="2"/>
          </rPr>
          <t xml:space="preserve">
Snowy Mountains White - </t>
        </r>
        <r>
          <rPr>
            <i/>
            <sz val="8"/>
            <color indexed="81"/>
            <rFont val="Tahoma"/>
            <family val="2"/>
          </rPr>
          <t>Snowy Mountains White</t>
        </r>
        <r>
          <rPr>
            <sz val="8"/>
            <color indexed="81"/>
            <rFont val="Tahoma"/>
            <family val="2"/>
          </rPr>
          <t xml:space="preserve">
For standard Shutters in Fauxwood Designer Eco 
Standard 77mm Hinges will be used.
For standard Shutters in Fauxwood Designer Eco Plus, 
Fauxwood Designer Eco Night &amp; Luvre
Standard 90mm Hinges will be used.
The Pivot Hinged Colour options are;
White
Stainless Steel
Please refer to the Shutter Manual. 
</t>
        </r>
        <r>
          <rPr>
            <i/>
            <sz val="8"/>
            <color indexed="81"/>
            <rFont val="Tahoma"/>
            <family val="2"/>
          </rPr>
          <t>Stainless Steel Surcharge applies.</t>
        </r>
      </text>
    </comment>
    <comment ref="X22" authorId="0" shapeId="0" xr:uid="{636FFF7E-A717-4390-B27F-9D1FF0EDBE02}">
      <text>
        <r>
          <rPr>
            <sz val="8"/>
            <color indexed="81"/>
            <rFont val="Tahoma"/>
            <family val="2"/>
          </rPr>
          <t>Please Note: 
If Closed option is chosen then the blades 
can be damaged if they are left open 
when Sliding the Panel.
Open is not an option for 3 Tracks.</t>
        </r>
      </text>
    </comment>
    <comment ref="Y22" authorId="0" shapeId="0" xr:uid="{3D9C5BC4-F000-477B-A29D-BE4801726A40}">
      <text>
        <r>
          <rPr>
            <sz val="8"/>
            <color indexed="81"/>
            <rFont val="Tahoma"/>
            <family val="2"/>
          </rPr>
          <t>If any T Posts are required then the measurements 
must be supplied under the next columns.
Measurements should be made from the left.
A Flat (Unbeaded) T Post can be ordered to match 
the Flat Stile Shutter in the Stile &amp; T Post column.</t>
        </r>
      </text>
    </comment>
    <comment ref="AC22" authorId="0" shapeId="0" xr:uid="{2A339FEF-B786-4849-9392-3C7B6FF55A2F}">
      <text>
        <r>
          <rPr>
            <sz val="8"/>
            <color indexed="81"/>
            <rFont val="Tahoma"/>
            <family val="2"/>
          </rPr>
          <t>The Stile &amp; T Post 
options are;
Default (Beaded)
Flat Stile &amp; T Post
A Flat (unbeaded) Small L Frame can be ordered 
under the Frame Type.</t>
        </r>
      </text>
    </comment>
    <comment ref="AD22" authorId="0" shapeId="0" xr:uid="{78512225-8C8E-4B6C-8AD2-AEE572013B8D}">
      <text>
        <r>
          <rPr>
            <sz val="8"/>
            <color indexed="81"/>
            <rFont val="Tahoma"/>
            <family val="2"/>
          </rPr>
          <t xml:space="preserve">The Designer Eco,  
Designer Eco Plus &amp; Luvre
Fluffy Strip options are;
No
Yes
Fluffy Strip is supplied with the Fauxwood Designer Eco Night Shutter.
</t>
        </r>
        <r>
          <rPr>
            <i/>
            <sz val="8"/>
            <color indexed="81"/>
            <rFont val="Tahoma"/>
            <family val="2"/>
          </rPr>
          <t>Fluffy Strip Surcharge applies.</t>
        </r>
      </text>
    </comment>
    <comment ref="C23" authorId="0" shapeId="0" xr:uid="{7436EA9A-194E-4A4C-9887-51B90F18BF05}">
      <text>
        <r>
          <rPr>
            <sz val="8"/>
            <color indexed="81"/>
            <rFont val="Tahoma"/>
            <family val="2"/>
          </rPr>
          <t xml:space="preserve">Minimum Width is 180mm.
Maximum Fauxwood Standard Size 
Width is 650mm.
Maximum Fauxwood Designer Eco Width with 
63mm Blades is 900mm.
Maximum Fauxwood Designer Eco Width with 
89mm Blades is 900mm.
Maximum Fauxwood Designer Eco Plus Width with 
63mm Blades is 950mm.
Maximum Fauxwood Designer Eco Plus Width with 
89mm Blades is 950mm.
Maximum Fauxwood Designer Eco Night 
Width is 650mm.
Maximum Luvre Width is 950mm.
Fauxwood Designer Eco &amp; 
Fauxwood Designer Eco Plus Panels 
with a Width larger than 650mm will require 
Aluminium Inserts.
Conditions apply.
</t>
        </r>
        <r>
          <rPr>
            <i/>
            <sz val="8"/>
            <color indexed="81"/>
            <rFont val="Tahoma"/>
            <family val="2"/>
          </rPr>
          <t>Please note: 
Larger Panels may sometimes require lifting in to the frame.</t>
        </r>
      </text>
    </comment>
    <comment ref="D23" authorId="0" shapeId="0" xr:uid="{C7FB7326-A2D3-4B08-BDDA-90A9A35E7282}">
      <text>
        <r>
          <rPr>
            <sz val="8"/>
            <color indexed="81"/>
            <rFont val="Tahoma"/>
            <family val="2"/>
          </rPr>
          <t>Minimum Height is 350mm.
Maximum Fauxwood Height is 2600mm.</t>
        </r>
      </text>
    </comment>
    <comment ref="E23" authorId="0" shapeId="0" xr:uid="{07AF4C90-3491-4666-8BB0-D1659608105C}">
      <text>
        <r>
          <rPr>
            <sz val="8"/>
            <color indexed="81"/>
            <rFont val="Tahoma"/>
            <family val="2"/>
          </rPr>
          <t xml:space="preserve">In - Inside or Reveal Fit
Out - Outside or Face Fit
Alternative Option:
MS - Make Size
Panel Only Option
</t>
        </r>
        <r>
          <rPr>
            <i/>
            <sz val="8"/>
            <color indexed="81"/>
            <rFont val="Tahoma"/>
            <family val="2"/>
          </rPr>
          <t>(Used for specific requirements only)</t>
        </r>
      </text>
    </comment>
    <comment ref="F23" authorId="0" shapeId="0" xr:uid="{622E396E-5345-44F1-8C26-ABED387EEB41}">
      <text>
        <r>
          <rPr>
            <sz val="8"/>
            <color indexed="81"/>
            <rFont val="Tahoma"/>
            <family val="2"/>
          </rPr>
          <t>Quantity is the number of Panels 
within the opening. 
If ordering Make Size (MS), 
this will be the number of Panels 
at this size.</t>
        </r>
      </text>
    </comment>
    <comment ref="G23" authorId="0" shapeId="0" xr:uid="{A42E4A6C-6E87-4A30-B51D-1B007ABB0B60}">
      <text>
        <r>
          <rPr>
            <sz val="8"/>
            <color indexed="81"/>
            <rFont val="Tahoma"/>
            <family val="2"/>
          </rPr>
          <t>Fauxwood Designer Eco will be made with the standard profile 
Bottom Rail,  Mid Rail &amp; Top Rail.
Fauxwood Designer Eco Plus will be made with the 
reinforced curved profile Bottom Rail, Mid Rail &amp; Top Rail.
Fauxwood Designer Eco Night will be made with the 
curved grooved profile Bottom Rail, Mid Rail &amp; Top Rail.
Luvre will be made with the reinforced
curved profile Bottom Rail, Mid Rail &amp; Top Rail.
Fauxwood Designer Eco Plus, Fauxwood Designer Eco Night &amp; Luvre 
Surcharge applies.</t>
        </r>
      </text>
    </comment>
    <comment ref="H23" authorId="0" shapeId="0" xr:uid="{5FF30B35-C238-4F3D-B671-FBF52F335EE1}">
      <text>
        <r>
          <rPr>
            <sz val="8"/>
            <color indexed="81"/>
            <rFont val="Tahoma"/>
            <family val="2"/>
          </rPr>
          <t xml:space="preserve">Fauxwood Designer Colours options available;
Standard Colours;
Bright White
Classic White
Snow White
Super White
Vanilla
Specialty Colours;
Ceylon
Earl Grey
French White
Infinite White
Polar White
Quiet White
Snow Gum Grey
Snowy Mountains White
</t>
        </r>
        <r>
          <rPr>
            <i/>
            <sz val="8"/>
            <color indexed="81"/>
            <rFont val="Tahoma"/>
            <family val="2"/>
          </rPr>
          <t>Specialty Colours Surcharge applies.</t>
        </r>
        <r>
          <rPr>
            <sz val="8"/>
            <color indexed="81"/>
            <rFont val="Tahoma"/>
            <family val="2"/>
          </rPr>
          <t xml:space="preserve">
Luvre with Therme &amp; Scratch Resistant Paint 
Colours options available;
Snow White
Super White
</t>
        </r>
      </text>
    </comment>
    <comment ref="J23" authorId="0" shapeId="0" xr:uid="{3AF729E2-C454-462F-8445-90D2EDF0FF54}">
      <text>
        <r>
          <rPr>
            <sz val="8"/>
            <color indexed="81"/>
            <rFont val="Tahoma"/>
            <family val="2"/>
          </rPr>
          <t>Fauxwood Designer Eco &amp; 
Fauxwood Designer Eco Plus 
Blade sizes options are;
63mm
89mm
Fauxwood Designer Eco Night  
Blade sizes options are;
92mm
Luvre Blade sizes options are;
89mm
114mm</t>
        </r>
      </text>
    </comment>
    <comment ref="K23" authorId="0" shapeId="0" xr:uid="{863AF227-9905-46B9-B29F-D2A746B8DB94}">
      <text>
        <r>
          <rPr>
            <sz val="8"/>
            <color indexed="81"/>
            <rFont val="Tahoma"/>
            <family val="2"/>
          </rPr>
          <t>Mid Rail is required on Fauxwood Panels over 1500mm.
Cell will highlight yellow when Mid Rail is required.
Only one Critical Mid Rail is allowed.
A Mid Rail that is not marked "Critical" may be moved up or down 
up to 40mm to stop any gaps and increase/decrease the blade quantity.
Fauxwood Designer Eco will be made with the standard profile 
Bottom Rail,  Mid Rail &amp; Top Rail.
Fauxwood Designer Eco Plus will be made with the 
reinforced curved profile Bottom Rail, Mid Rail &amp; Top Rail.
Fauxwood Designer Eco Night will be made with the 
curved grooved profile Bottom Rail, Mid Rail &amp; Top Rail.
Luvre will be made with the reinforced
curved profile Bottom Rail, Mid Rail &amp; Top Rail.
Fauxwood Designer Eco Plus, Fauxwood Designer Eco Night &amp; Luvre Surcharge applies.</t>
        </r>
      </text>
    </comment>
    <comment ref="L23" authorId="0" shapeId="0" xr:uid="{1120A502-8BF3-4479-A34D-3DCD4D33A25B}">
      <text>
        <r>
          <rPr>
            <sz val="8"/>
            <color indexed="81"/>
            <rFont val="Tahoma"/>
            <family val="2"/>
          </rPr>
          <t xml:space="preserve">The Fauxwood Designer Eco, 
Fauxwood Designer Eco Plus 
&amp; Luvre Window Type options are;
Standard
Bay Window
Corner Window
Door Cut Out
Shaped Arch
Shaped Hexagon
Shaped Octagon
Shaped Oval
Shaped Parallelogram
Shaped Raked
Shaped Round
Shaped Sunburst
Shaped Triangle
These Shapes are not available
with the Rack &amp; Pinion Tiltrod;
Shaped Arch
Shaped Hexagon
Shaped Octagon
Shaped Oval
Shaped Round
Shaped Sunburst
The Fauxwood Designer Eco Night Window Type 
options are;
Standard
Bay Window
Corner Window
</t>
        </r>
        <r>
          <rPr>
            <i/>
            <sz val="8"/>
            <color indexed="81"/>
            <rFont val="Tahoma"/>
            <family val="2"/>
          </rPr>
          <t xml:space="preserve">
</t>
        </r>
        <r>
          <rPr>
            <sz val="8"/>
            <color indexed="81"/>
            <rFont val="Tahoma"/>
            <family val="2"/>
          </rPr>
          <t>Shaped Shutters will need the Panel Layout to be 
compatible with the Hidden Tiltrod system.</t>
        </r>
      </text>
    </comment>
    <comment ref="M23" authorId="0" shapeId="0" xr:uid="{C7C29C27-5EAE-45EF-82C7-3D935AF32817}">
      <text>
        <r>
          <rPr>
            <sz val="8"/>
            <color indexed="81"/>
            <rFont val="Tahoma"/>
            <family val="2"/>
          </rPr>
          <t>Mounting Method is dependent 
on  MS, In Or Out &amp; Product.
For IN &amp; Fauxwood Designer Eco,  
Fauxwood Designer Eco Plus 
&amp; Luvre the options are;
Double Hinged
Fixed
Hinged
Pivot Hinged
Sliding
Track Bi Fold
For OUT &amp; Fauxwood Designer Eco,  
Fauxwood Designer Eco Plus 
&amp; Luvre the options are;
Double Hinged
Hinged
Pivot Hinged
Sliding
Track Bi Fold
For IN &amp; Fauxwood Designer Eco Night 
the options are;
Fixed
Hinged
For OUT &amp; Fauxwood Designer Eco Night 
the options are;
Fixed
Hinged
For MS, the options are;
N/A
Pivot Hinged is not recommended for 
Designer Eco Plus or Luvre.</t>
        </r>
      </text>
    </comment>
    <comment ref="N23" authorId="0" shapeId="0" xr:uid="{214FC4E9-78B7-4847-87D9-BD0C2DE13D60}">
      <text>
        <r>
          <rPr>
            <sz val="8"/>
            <color indexed="81"/>
            <rFont val="Tahoma"/>
            <family val="2"/>
          </rPr>
          <t>For Sliding Track System options are;
Top Hung (Original System)
Bottom Wheel (New System)
The Top Hung (Original System) uses 
Top Wheels Mounting.
The Bottom Wheel (New System) uses a 
U Channel at the Top and 
Wheels at the Bottom.
This option cannot have a Floor Guide or 
Track On Board.</t>
        </r>
      </text>
    </comment>
    <comment ref="O23" authorId="0" shapeId="0" xr:uid="{0E70D2F9-1FEE-4AF6-B556-B8C85E9ADF51}">
      <text>
        <r>
          <rPr>
            <sz val="8"/>
            <color indexed="81"/>
            <rFont val="Tahoma"/>
            <family val="2"/>
          </rPr>
          <t>Please refer to the Shutter Manual 
when selecting Layout Code.
The list provides the most common options, 
which are dependent on Mounting Method.
More complex Layout Codes can still be entered manually.</t>
        </r>
      </text>
    </comment>
    <comment ref="P23" authorId="0" shapeId="0" xr:uid="{774E7BF3-947A-48CC-8541-7FD34D201DE0}">
      <text>
        <r>
          <rPr>
            <sz val="8"/>
            <color indexed="81"/>
            <rFont val="Tahoma"/>
            <family val="2"/>
          </rPr>
          <t>Frame Type is dependent on
 Mounting Method.
If a Flat (unbeaded) Small L Frame 
is selected, a matching Stile &amp; T Post can be 
ordered in the Stile &amp; T Post column.</t>
        </r>
      </text>
    </comment>
    <comment ref="V23" authorId="0" shapeId="0" xr:uid="{6080C6D5-1AB3-4334-ACDD-48772CDA3F86}">
      <text>
        <r>
          <rPr>
            <sz val="8"/>
            <color indexed="81"/>
            <rFont val="Tahoma"/>
            <family val="2"/>
          </rPr>
          <t>This option is dependent on the 
Material &amp; Product 
and will only be available once this 
option is selected.
For Fauxwood Designer Eco
&amp; Fauxwood Designer Eco Plus 
the options are;
Hidden
Centre
Off-Set
Rack &amp; Pinion
These Shapes are not available
with the Rack &amp; Pinion Tiltrod;
Shaped Arch
Shaped Hexagon
Shaped Octagon
Shaped Oval
Shaped Round
Shaped Sunburst
For Fauxwood Designer Eco Night
the options are;
Hidden
For Luvre the options are;
Hidden</t>
        </r>
      </text>
    </comment>
    <comment ref="W23" authorId="0" shapeId="0" xr:uid="{CA097624-D607-475A-9972-E89E1FDCB2FE}">
      <text>
        <r>
          <rPr>
            <sz val="8"/>
            <color indexed="81"/>
            <rFont val="Tahoma"/>
            <family val="2"/>
          </rPr>
          <t xml:space="preserve">If no Hinge Colour is selected, 
then the default Hinge Colour and hardware 
will be supplied. 
The Hinge Colour options are;
Default
Stainless Steel
N/A
When Default is selected, the Hinge will be supplied 
as per the matching Hinge Colour list below;
Shutter Colour - </t>
        </r>
        <r>
          <rPr>
            <i/>
            <sz val="8"/>
            <color indexed="81"/>
            <rFont val="Tahoma"/>
            <family val="2"/>
          </rPr>
          <t>Hinge Colour</t>
        </r>
        <r>
          <rPr>
            <sz val="8"/>
            <color indexed="81"/>
            <rFont val="Tahoma"/>
            <family val="2"/>
          </rPr>
          <t xml:space="preserve">
   Bright White - </t>
        </r>
        <r>
          <rPr>
            <i/>
            <sz val="8"/>
            <color indexed="81"/>
            <rFont val="Tahoma"/>
            <family val="2"/>
          </rPr>
          <t>Bright White</t>
        </r>
        <r>
          <rPr>
            <sz val="8"/>
            <color indexed="81"/>
            <rFont val="Tahoma"/>
            <family val="2"/>
          </rPr>
          <t xml:space="preserve">
Classic White - </t>
        </r>
        <r>
          <rPr>
            <i/>
            <sz val="8"/>
            <color indexed="81"/>
            <rFont val="Tahoma"/>
            <family val="2"/>
          </rPr>
          <t>White</t>
        </r>
        <r>
          <rPr>
            <sz val="8"/>
            <color indexed="81"/>
            <rFont val="Tahoma"/>
            <family val="2"/>
          </rPr>
          <t xml:space="preserve">
Snow White - </t>
        </r>
        <r>
          <rPr>
            <i/>
            <sz val="8"/>
            <color indexed="81"/>
            <rFont val="Tahoma"/>
            <family val="2"/>
          </rPr>
          <t>Snow White</t>
        </r>
        <r>
          <rPr>
            <sz val="8"/>
            <color indexed="81"/>
            <rFont val="Tahoma"/>
            <family val="2"/>
          </rPr>
          <t xml:space="preserve">
Super White - </t>
        </r>
        <r>
          <rPr>
            <i/>
            <sz val="8"/>
            <color indexed="81"/>
            <rFont val="Tahoma"/>
            <family val="2"/>
          </rPr>
          <t>Snow White</t>
        </r>
        <r>
          <rPr>
            <sz val="8"/>
            <color indexed="81"/>
            <rFont val="Tahoma"/>
            <family val="2"/>
          </rPr>
          <t xml:space="preserve">
Vanilla - </t>
        </r>
        <r>
          <rPr>
            <i/>
            <sz val="8"/>
            <color indexed="81"/>
            <rFont val="Tahoma"/>
            <family val="2"/>
          </rPr>
          <t xml:space="preserve">Ivory
</t>
        </r>
        <r>
          <rPr>
            <sz val="8"/>
            <color indexed="81"/>
            <rFont val="Tahoma"/>
            <family val="2"/>
          </rPr>
          <t xml:space="preserve">Ceylon - </t>
        </r>
        <r>
          <rPr>
            <i/>
            <sz val="8"/>
            <color indexed="81"/>
            <rFont val="Tahoma"/>
            <family val="2"/>
          </rPr>
          <t>Ceylon</t>
        </r>
        <r>
          <rPr>
            <sz val="8"/>
            <color indexed="81"/>
            <rFont val="Tahoma"/>
            <family val="2"/>
          </rPr>
          <t xml:space="preserve">
Earl Grey - </t>
        </r>
        <r>
          <rPr>
            <i/>
            <sz val="8"/>
            <color indexed="81"/>
            <rFont val="Tahoma"/>
            <family val="2"/>
          </rPr>
          <t>Earl Grey</t>
        </r>
        <r>
          <rPr>
            <sz val="8"/>
            <color indexed="81"/>
            <rFont val="Tahoma"/>
            <family val="2"/>
          </rPr>
          <t xml:space="preserve">
French White - </t>
        </r>
        <r>
          <rPr>
            <i/>
            <sz val="8"/>
            <color indexed="81"/>
            <rFont val="Tahoma"/>
            <family val="2"/>
          </rPr>
          <t>French White</t>
        </r>
        <r>
          <rPr>
            <sz val="8"/>
            <color indexed="81"/>
            <rFont val="Tahoma"/>
            <family val="2"/>
          </rPr>
          <t xml:space="preserve">
Infinite White -</t>
        </r>
        <r>
          <rPr>
            <i/>
            <sz val="8"/>
            <color indexed="81"/>
            <rFont val="Tahoma"/>
            <family val="2"/>
          </rPr>
          <t xml:space="preserve"> Infinite White</t>
        </r>
        <r>
          <rPr>
            <sz val="8"/>
            <color indexed="81"/>
            <rFont val="Tahoma"/>
            <family val="2"/>
          </rPr>
          <t xml:space="preserve">
Polar White - </t>
        </r>
        <r>
          <rPr>
            <i/>
            <sz val="8"/>
            <color indexed="81"/>
            <rFont val="Tahoma"/>
            <family val="2"/>
          </rPr>
          <t>Polar White</t>
        </r>
        <r>
          <rPr>
            <sz val="8"/>
            <color indexed="81"/>
            <rFont val="Tahoma"/>
            <family val="2"/>
          </rPr>
          <t xml:space="preserve">
Quiet White - </t>
        </r>
        <r>
          <rPr>
            <i/>
            <sz val="8"/>
            <color indexed="81"/>
            <rFont val="Tahoma"/>
            <family val="2"/>
          </rPr>
          <t>Quiet White</t>
        </r>
        <r>
          <rPr>
            <sz val="8"/>
            <color indexed="81"/>
            <rFont val="Tahoma"/>
            <family val="2"/>
          </rPr>
          <t xml:space="preserve">
Snow Gum Grey - </t>
        </r>
        <r>
          <rPr>
            <i/>
            <sz val="8"/>
            <color indexed="81"/>
            <rFont val="Tahoma"/>
            <family val="2"/>
          </rPr>
          <t>Snow Gum Grey</t>
        </r>
        <r>
          <rPr>
            <sz val="8"/>
            <color indexed="81"/>
            <rFont val="Tahoma"/>
            <family val="2"/>
          </rPr>
          <t xml:space="preserve">
Snowy Mountains White - </t>
        </r>
        <r>
          <rPr>
            <i/>
            <sz val="8"/>
            <color indexed="81"/>
            <rFont val="Tahoma"/>
            <family val="2"/>
          </rPr>
          <t>Snowy Mountains White</t>
        </r>
        <r>
          <rPr>
            <sz val="8"/>
            <color indexed="81"/>
            <rFont val="Tahoma"/>
            <family val="2"/>
          </rPr>
          <t xml:space="preserve">
For standard Shutters in Fauxwood Designer Eco 
Standard 77mm Hinges will be used.
For standard Shutters in Fauxwood Designer Eco Plus, 
Fauxwood Designer Eco Night &amp; Luvre
Standard 90mm Hinges will be used.
The Pivot Hinged Colour options are;
White
Stainless Steel
Please refer to the Shutter Manual. 
</t>
        </r>
        <r>
          <rPr>
            <i/>
            <sz val="8"/>
            <color indexed="81"/>
            <rFont val="Tahoma"/>
            <family val="2"/>
          </rPr>
          <t>Stainless Steel Surcharge applies.</t>
        </r>
      </text>
    </comment>
    <comment ref="X23" authorId="0" shapeId="0" xr:uid="{D9130544-F06E-45F6-9229-AC0A1D66756C}">
      <text>
        <r>
          <rPr>
            <sz val="8"/>
            <color indexed="81"/>
            <rFont val="Tahoma"/>
            <family val="2"/>
          </rPr>
          <t>Please Note: 
If Closed option is chosen then the blades 
can be damaged if they are left open 
when Sliding the Panel.
Open is not an option for 3 Tracks.</t>
        </r>
      </text>
    </comment>
    <comment ref="Y23" authorId="0" shapeId="0" xr:uid="{1BBC278D-3F0C-47F7-818C-4365A243CDCB}">
      <text>
        <r>
          <rPr>
            <sz val="8"/>
            <color indexed="81"/>
            <rFont val="Tahoma"/>
            <family val="2"/>
          </rPr>
          <t>If any T Posts are required then the measurements 
must be supplied under the next columns.
Measurements should be made from the left.
A Flat (Unbeaded) T Post can be ordered to match 
the Flat Stile Shutter in the Stile &amp; T Post column.</t>
        </r>
      </text>
    </comment>
    <comment ref="AC23" authorId="0" shapeId="0" xr:uid="{7A0B7A79-CA58-4AD7-8026-DA1BF8E05540}">
      <text>
        <r>
          <rPr>
            <sz val="8"/>
            <color indexed="81"/>
            <rFont val="Tahoma"/>
            <family val="2"/>
          </rPr>
          <t>The Stile &amp; T Post 
options are;
Default (Beaded)
Flat Stile &amp; T Post
A Flat (unbeaded) Small L Frame can be ordered 
under the Frame Type.</t>
        </r>
      </text>
    </comment>
    <comment ref="AD23" authorId="0" shapeId="0" xr:uid="{0A1859C2-2FF7-4194-BC1E-50E3376D2BBA}">
      <text>
        <r>
          <rPr>
            <sz val="8"/>
            <color indexed="81"/>
            <rFont val="Tahoma"/>
            <family val="2"/>
          </rPr>
          <t xml:space="preserve">The Designer Eco,  
Designer Eco Plus &amp; Luvre
Fluffy Strip options are;
No
Yes
Fluffy Strip is supplied with the Fauxwood Designer Eco Night Shutter.
</t>
        </r>
        <r>
          <rPr>
            <i/>
            <sz val="8"/>
            <color indexed="81"/>
            <rFont val="Tahoma"/>
            <family val="2"/>
          </rPr>
          <t>Fluffy Strip Surcharge applies.</t>
        </r>
      </text>
    </comment>
  </commentList>
</comments>
</file>

<file path=xl/sharedStrings.xml><?xml version="1.0" encoding="utf-8"?>
<sst xmlns="http://schemas.openxmlformats.org/spreadsheetml/2006/main" count="3544" uniqueCount="885">
  <si>
    <t>Blade Size</t>
  </si>
  <si>
    <t>114mm Colour Check</t>
  </si>
  <si>
    <t>FauxwoodDesignerExtras</t>
  </si>
  <si>
    <t>FauxwoodDesignerExtrasMaterial</t>
  </si>
  <si>
    <t>FauxwoodDesignerExtrasColour</t>
  </si>
  <si>
    <t>Hinged_Frame_Type</t>
  </si>
  <si>
    <t>Double_Hinged_Frame_Type</t>
  </si>
  <si>
    <t>Track_Bi_Fold_Frame_Type</t>
  </si>
  <si>
    <t>Sliding_Frame_Type</t>
  </si>
  <si>
    <t>Fixed_Frame_Type</t>
  </si>
  <si>
    <t>Bi Fold Bracket</t>
  </si>
  <si>
    <t>Additional Fascia 100mm x 9.5mm Material</t>
  </si>
  <si>
    <t>Additional Fascia 140mm x 9.5mm Material</t>
  </si>
  <si>
    <t>Additional Fascia 60mm x 9.5mm Material</t>
  </si>
  <si>
    <t>Additional Headboard 100mm x 19mm Material</t>
  </si>
  <si>
    <t>Additional Headboard 180mm x 19mm Material</t>
  </si>
  <si>
    <t>Additional Headboard 220mm x 19mm Material</t>
  </si>
  <si>
    <t>Bi Fold Frame 60mm x 9.5mm Material</t>
  </si>
  <si>
    <t>Bullnose Z Frame Material</t>
  </si>
  <si>
    <t>Hanging Strip 35mm x 28.6mm Material</t>
  </si>
  <si>
    <t>Large Face Fit L Frame Material</t>
  </si>
  <si>
    <t>Large Z Frame Material</t>
  </si>
  <si>
    <t>Light Stop 19mm x 19mm Material</t>
  </si>
  <si>
    <t>Light Stop 19mm x 30mm Material</t>
  </si>
  <si>
    <t>Light Stop 19mm x 9.5mm Material</t>
  </si>
  <si>
    <t>Light Stop 20mm x 5mm Material</t>
  </si>
  <si>
    <t>Light Stop 31.8mm x 9.5mm Material</t>
  </si>
  <si>
    <t>Light Stop 40mm x 30mm Material</t>
  </si>
  <si>
    <t>Light Stop 50mm x 30mm Material</t>
  </si>
  <si>
    <t>Medium Face Fit L Frame Material</t>
  </si>
  <si>
    <t>Medium L Frame Material</t>
  </si>
  <si>
    <t>Mounting Block 18mm x 18mm Material</t>
  </si>
  <si>
    <t>Mounting Block 30mm x 30mm Material</t>
  </si>
  <si>
    <t>Sliding Frame 108mm x 35mm Bi Pass Frame Material</t>
  </si>
  <si>
    <t>Small Face Fit L Frame Material</t>
  </si>
  <si>
    <t>Small L Frame Material</t>
  </si>
  <si>
    <t>T Post Material</t>
  </si>
  <si>
    <t>Top Bottom Rail 137.5mm x 21mm Material</t>
  </si>
  <si>
    <t>Tracking For Bi Fold Sliding Shutters Material</t>
  </si>
  <si>
    <t>U Channel 40mm x 15mm Material</t>
  </si>
  <si>
    <t>U Channel 40mm x 25mm Material</t>
  </si>
  <si>
    <t>Z Sill Frame Material</t>
  </si>
  <si>
    <t>Divider Rail Mid Rail Centre Rail 79.5mm x 21mm</t>
  </si>
  <si>
    <t>Cover Strip To Fit Face Fit Frame 12.5mm x 5mm</t>
  </si>
  <si>
    <t>Cover Strip To Fit Face Fit Frame 17mm x 5mm</t>
  </si>
  <si>
    <t>FauxwoodDesignerHardware</t>
  </si>
  <si>
    <t>Frame Types For Options</t>
  </si>
  <si>
    <t>Left &amp; Right Frame</t>
  </si>
  <si>
    <t>FauxwoodDesignerCheckLayoutCode</t>
  </si>
  <si>
    <t>DesignerShutterMaterial</t>
  </si>
  <si>
    <t>FauxwoodDesignerColour</t>
  </si>
  <si>
    <t>FauxwoodDesignerBladeSize</t>
  </si>
  <si>
    <t>FauxwoodDesignerMountingMethod</t>
  </si>
  <si>
    <t>FauxwoodDesignerFrameType</t>
  </si>
  <si>
    <t>FauxwoodDesignerHingeColour</t>
  </si>
  <si>
    <t>Fauxwood</t>
  </si>
  <si>
    <t>BasswoodN</t>
  </si>
  <si>
    <t>FauxwoodY</t>
  </si>
  <si>
    <t>FauxwoodBlockoutN</t>
  </si>
  <si>
    <t>FauxwoodDesignerTiltrod</t>
  </si>
  <si>
    <t>BottomFrameTrack</t>
  </si>
  <si>
    <t>BasswoodT</t>
  </si>
  <si>
    <t>FauxwoodT</t>
  </si>
  <si>
    <t>FauxwoodBlockoutT</t>
  </si>
  <si>
    <t>FauxwoodRP</t>
  </si>
  <si>
    <t>FauxwoodRPNo</t>
  </si>
  <si>
    <t>Layout Code Check</t>
  </si>
  <si>
    <t>FauxwoodAI</t>
  </si>
  <si>
    <t>FauxwoodAINo</t>
  </si>
  <si>
    <t>Top Frame</t>
  </si>
  <si>
    <t>FauxwoodDesignerWindowType</t>
  </si>
  <si>
    <t>FauxwoodDesignerSpecialComments1</t>
  </si>
  <si>
    <t>FauxwoodDesignerSpecialComments2</t>
  </si>
  <si>
    <t>FauxwoodDesignerSpecialComments3</t>
  </si>
  <si>
    <t>Fluffy_Strip_Fauxwood_Blockout</t>
  </si>
  <si>
    <t>Fluffy_Strip_Fauxwood</t>
  </si>
  <si>
    <t>Fluffy_Strip_Basswood</t>
  </si>
  <si>
    <t>Basswood</t>
  </si>
  <si>
    <t>Basswood_Blade</t>
  </si>
  <si>
    <t>Fauxwood_Blade</t>
  </si>
  <si>
    <t>Fauxwood_Blockout_Blade</t>
  </si>
  <si>
    <t>White (W105)</t>
  </si>
  <si>
    <t>OK</t>
  </si>
  <si>
    <t>No Frame</t>
  </si>
  <si>
    <t>No</t>
  </si>
  <si>
    <t>Additional Fascia 100mm x 9.5mm</t>
  </si>
  <si>
    <t>Bright White</t>
  </si>
  <si>
    <t>100mm</t>
  </si>
  <si>
    <t>Small L Frame</t>
  </si>
  <si>
    <t>Bumper Stops</t>
  </si>
  <si>
    <t>WhiteW105</t>
  </si>
  <si>
    <t>EggshellW405</t>
  </si>
  <si>
    <t>AntiqueWhiteW140</t>
  </si>
  <si>
    <t>JasperW498</t>
  </si>
  <si>
    <t>MochaW811</t>
  </si>
  <si>
    <t>CedarImageMediumPT032</t>
  </si>
  <si>
    <t>DarkChestnutPT067</t>
  </si>
  <si>
    <t>CoffeeW890</t>
  </si>
  <si>
    <t>WalnutW891</t>
  </si>
  <si>
    <t>MapleW893</t>
  </si>
  <si>
    <t>DarkCherryW894</t>
  </si>
  <si>
    <t>MahoganyW306</t>
  </si>
  <si>
    <t>BlackWalnutW920</t>
  </si>
  <si>
    <t>WhiteF186</t>
  </si>
  <si>
    <t>OffWhiteF286</t>
  </si>
  <si>
    <t>AntiqueWhiteF140</t>
  </si>
  <si>
    <t>FBOWhiteF186</t>
  </si>
  <si>
    <t>FBOOffWhiteF286</t>
  </si>
  <si>
    <t>FBOAntiqueWhiteF140</t>
  </si>
  <si>
    <t>Bumper Stop</t>
  </si>
  <si>
    <t>FauxwoodDesignerBumperStop</t>
  </si>
  <si>
    <t>FauxwoodDesignerHermanJoints</t>
  </si>
  <si>
    <t>FauxwoodDesignerHiddenTiltrod63mm</t>
  </si>
  <si>
    <t>FauxwoodDesignerHiddenTiltrod89mm</t>
  </si>
  <si>
    <t>FauxwoodDesignerHingePacker</t>
  </si>
  <si>
    <t>FauxwoodDesignerHingePin</t>
  </si>
  <si>
    <t>FauxwoodDesignerMagnetAndCatch</t>
  </si>
  <si>
    <t>FauxwoodDesignerScrew</t>
  </si>
  <si>
    <t>FauxwoodDesignerSpringPin</t>
  </si>
  <si>
    <t>FauxwoodDesignerStandardHinge</t>
  </si>
  <si>
    <t>BasswoodExtrasOptions</t>
  </si>
  <si>
    <t>FauxwoodExtrasOptions</t>
  </si>
  <si>
    <t xml:space="preserve">Surcharge </t>
  </si>
  <si>
    <t>FauxwoodDesignerLeftRightFrameNoFrame</t>
  </si>
  <si>
    <t>FauxwoodDesignerLeftRightFrameAngledDecoZFrame</t>
  </si>
  <si>
    <t>FauxwoodDesignerLeftRightFrameBullnoseLargeZFrame</t>
  </si>
  <si>
    <t>FauxwoodDesignerLeftRightFrameBullnoseZFrame</t>
  </si>
  <si>
    <t>FauxwoodDesignerLeftRightFrameCaseFrame</t>
  </si>
  <si>
    <t>FauxwoodDesignerLeftRightFrameClassicDecoZFrame</t>
  </si>
  <si>
    <t>FauxwoodDesignerLeftRightFrameMediumDecoZFrame</t>
  </si>
  <si>
    <t>FauxwoodDesignerLeftRightFrameRevealLFrame</t>
  </si>
  <si>
    <t>FauxwoodDesignerLeftRightFrameSillFrame</t>
  </si>
  <si>
    <t>FauxwoodDesignerLeftRightFrameSmallDecoZFrame</t>
  </si>
  <si>
    <t>FauxwoodDesignerLeftRightFrameSquareZFrame</t>
  </si>
  <si>
    <t>MS</t>
  </si>
  <si>
    <t>IN</t>
  </si>
  <si>
    <t>OUT</t>
  </si>
  <si>
    <t>Deductions</t>
  </si>
  <si>
    <t>FauxwoodDesignerMS</t>
  </si>
  <si>
    <t>FauxwoodDesignerIN</t>
  </si>
  <si>
    <t>FauxwoodDesignerOUT</t>
  </si>
  <si>
    <t>FauxwoodDesignerLRFHangingStrip</t>
  </si>
  <si>
    <t>LRFSmallLFrame</t>
  </si>
  <si>
    <t>LRFSmallFFLFrame</t>
  </si>
  <si>
    <t>LRFMediumLFrame</t>
  </si>
  <si>
    <t>LRFMediumFFLFrame</t>
  </si>
  <si>
    <t>LRFLargeLFrame</t>
  </si>
  <si>
    <t>LRFLargeFFLFrame</t>
  </si>
  <si>
    <t>LRFStandardZFrame</t>
  </si>
  <si>
    <t>LRFLargeZFrame</t>
  </si>
  <si>
    <t>LRFBullnoseZFrame</t>
  </si>
  <si>
    <t>LRFUChannel</t>
  </si>
  <si>
    <t>LRF100mm</t>
  </si>
  <si>
    <t>LRF140mm</t>
  </si>
  <si>
    <t>LRF180mm</t>
  </si>
  <si>
    <t>LRF220mm</t>
  </si>
  <si>
    <t>Layout Code &amp; T Post Quantity Issue</t>
  </si>
  <si>
    <t>BasswoodExtrasOptionsPainted</t>
  </si>
  <si>
    <t>BasswoodExtraOptionsStd</t>
  </si>
  <si>
    <t>FauxwoodExtraOptionsStd</t>
  </si>
  <si>
    <t>WindowCheck</t>
  </si>
  <si>
    <t>L</t>
  </si>
  <si>
    <t>63mm</t>
  </si>
  <si>
    <t>Hinged</t>
  </si>
  <si>
    <t>Angled Deco Z Frame</t>
  </si>
  <si>
    <t>N/A</t>
  </si>
  <si>
    <t>Centre</t>
  </si>
  <si>
    <t>Yes</t>
  </si>
  <si>
    <t>Hidden</t>
  </si>
  <si>
    <t>Hinged_BFT</t>
  </si>
  <si>
    <t>Double_Hinged_BFT</t>
  </si>
  <si>
    <t>Track_Bi_Fold_BFT</t>
  </si>
  <si>
    <t>Sliding_BFT</t>
  </si>
  <si>
    <t>Fixed_BFT</t>
  </si>
  <si>
    <t>Pivot_Hinged_BFT</t>
  </si>
  <si>
    <t>Hinged_TF</t>
  </si>
  <si>
    <t>Double_Hinged_TF</t>
  </si>
  <si>
    <t>Track_Bi_Fold_TF</t>
  </si>
  <si>
    <t>Sliding_TF</t>
  </si>
  <si>
    <t>Fixed_TF</t>
  </si>
  <si>
    <t>Pivot_Hinged_TF</t>
  </si>
  <si>
    <t>Standard</t>
  </si>
  <si>
    <t>All Even Panels</t>
  </si>
  <si>
    <t>89mm</t>
  </si>
  <si>
    <t>Eggshell (W405)</t>
  </si>
  <si>
    <t>Hanging Strip</t>
  </si>
  <si>
    <t>Additional Fascia 140mm x 9.5mm</t>
  </si>
  <si>
    <t>Classic White</t>
  </si>
  <si>
    <t>140mm</t>
  </si>
  <si>
    <t>Small F/F L Frame</t>
  </si>
  <si>
    <t>D Mold</t>
  </si>
  <si>
    <t>Herman Joints</t>
  </si>
  <si>
    <t>White</t>
  </si>
  <si>
    <t>Bright Silver</t>
  </si>
  <si>
    <t>White (F186)</t>
  </si>
  <si>
    <t>Open</t>
  </si>
  <si>
    <t>y</t>
  </si>
  <si>
    <t>n</t>
  </si>
  <si>
    <t>Case Frame</t>
  </si>
  <si>
    <t>Corner A Butt</t>
  </si>
  <si>
    <t>Corner Window Diagram Must Be Supplied</t>
  </si>
  <si>
    <t>R</t>
  </si>
  <si>
    <t>Bullnose Large Z Frame</t>
  </si>
  <si>
    <t>Track Only</t>
  </si>
  <si>
    <t>Floor Guide</t>
  </si>
  <si>
    <t>Bay Window</t>
  </si>
  <si>
    <t>Bay Window Diagram Must Be Supplied</t>
  </si>
  <si>
    <t>Combo Panels</t>
  </si>
  <si>
    <t>Fauxwood Blockout</t>
  </si>
  <si>
    <t>Antique White (W140)</t>
  </si>
  <si>
    <t>Additional Fascia 60mm x 9.5mm</t>
  </si>
  <si>
    <t>Vanilla</t>
  </si>
  <si>
    <t>180mm</t>
  </si>
  <si>
    <t>Medium L Frame</t>
  </si>
  <si>
    <t>Divider Rail/Mid Rail (Centre Rail), 79mm x 20.5mm</t>
  </si>
  <si>
    <t>Hidden Tiltrod, 63mm</t>
  </si>
  <si>
    <t>Stainless Steel</t>
  </si>
  <si>
    <t>Off White (F286)</t>
  </si>
  <si>
    <t>Closed</t>
  </si>
  <si>
    <t>Light Stop</t>
  </si>
  <si>
    <t>Face Fit L Frame</t>
  </si>
  <si>
    <t>Corner A Thru</t>
  </si>
  <si>
    <t>LR</t>
  </si>
  <si>
    <t>Bullnose Z Frame</t>
  </si>
  <si>
    <t>Off-Set</t>
  </si>
  <si>
    <t>Track On Board</t>
  </si>
  <si>
    <t>Corner Window</t>
  </si>
  <si>
    <t>114mm</t>
  </si>
  <si>
    <t>Jasper (W498)</t>
  </si>
  <si>
    <t>Angled Deco Z Frame 47.6mm</t>
  </si>
  <si>
    <t>220mm</t>
  </si>
  <si>
    <t>Medium F/F L Frame</t>
  </si>
  <si>
    <t>Hidden Tiltrod, 89mm</t>
  </si>
  <si>
    <t>Antique White (F140)</t>
  </si>
  <si>
    <t>Corner B Butt</t>
  </si>
  <si>
    <t>LTR</t>
  </si>
  <si>
    <t>Rack &amp; Pinion</t>
  </si>
  <si>
    <t>Track In Board</t>
  </si>
  <si>
    <t>Drawing/Diagram Must Be Supplied</t>
  </si>
  <si>
    <t>Left Panel Open First</t>
  </si>
  <si>
    <t>Mocha (W811)</t>
  </si>
  <si>
    <t>Bullnose Large Z Frame 50mm</t>
  </si>
  <si>
    <t>Large L Frame</t>
  </si>
  <si>
    <t>Fluffy Strips</t>
  </si>
  <si>
    <t>Hinge Packer</t>
  </si>
  <si>
    <t>Z Sill Frame</t>
  </si>
  <si>
    <t>Classic Deco Z Frame</t>
  </si>
  <si>
    <t>Corner B Thru</t>
  </si>
  <si>
    <t>Corner</t>
  </si>
  <si>
    <t>Door Cut Out</t>
  </si>
  <si>
    <t>Maximum Blades Possible</t>
  </si>
  <si>
    <t>Cedar Image Medium (PT-03-2)</t>
  </si>
  <si>
    <t>Bullnose Z Frame 47.6mm</t>
  </si>
  <si>
    <t>Large F/F L Frame</t>
  </si>
  <si>
    <t>Hinge Pin</t>
  </si>
  <si>
    <t>Medium Deco Z Frame</t>
  </si>
  <si>
    <t>Bay A</t>
  </si>
  <si>
    <t>Bay</t>
  </si>
  <si>
    <t>French Door</t>
  </si>
  <si>
    <t>Cut-Out Template Must Be Supplied</t>
  </si>
  <si>
    <t>Panels Fixed With Magnets &amp; Catches</t>
  </si>
  <si>
    <t>Dark Chestnut (PT-06-7)</t>
  </si>
  <si>
    <t>Case Frame 41.28mm</t>
  </si>
  <si>
    <t>Standard Z Frame</t>
  </si>
  <si>
    <t>Hidden Tiltrod, 114mm</t>
  </si>
  <si>
    <t>Magnet &amp; Catch</t>
  </si>
  <si>
    <t>Bay B</t>
  </si>
  <si>
    <t>Shaped Arch</t>
  </si>
  <si>
    <t>Smallest Possible Top &amp; Bottom Rails</t>
  </si>
  <si>
    <t>Coffee (W890)</t>
  </si>
  <si>
    <t>Classic Deco Z Frame 44.46mm</t>
  </si>
  <si>
    <t>Large Z Frame</t>
  </si>
  <si>
    <t>Screw</t>
  </si>
  <si>
    <t>Reveal L Frame</t>
  </si>
  <si>
    <t>Bay C</t>
  </si>
  <si>
    <t>Double Hinged</t>
  </si>
  <si>
    <t>Shaped Hexagon</t>
  </si>
  <si>
    <t>Split Tiltrod In Half</t>
  </si>
  <si>
    <t>Walnut (W891)</t>
  </si>
  <si>
    <t>Spring Pin</t>
  </si>
  <si>
    <t>Sill Frame</t>
  </si>
  <si>
    <t>Track Bi Fold</t>
  </si>
  <si>
    <t>Shaped Octagon</t>
  </si>
  <si>
    <t>Maple (W893)</t>
  </si>
  <si>
    <t>U Channel</t>
  </si>
  <si>
    <t>Hinge Packers</t>
  </si>
  <si>
    <t>Standard Hinge</t>
  </si>
  <si>
    <t>Small Deco Z Frame</t>
  </si>
  <si>
    <t>Sliding</t>
  </si>
  <si>
    <t>Shaped Round</t>
  </si>
  <si>
    <t>Dark Cherry (W894)</t>
  </si>
  <si>
    <t>Face Fit L Frame 63.5mm</t>
  </si>
  <si>
    <t>Square Z Frame</t>
  </si>
  <si>
    <t>Fixed</t>
  </si>
  <si>
    <t>LTLTL</t>
  </si>
  <si>
    <t>Shaped Sunburst</t>
  </si>
  <si>
    <t>Mahogany (W306)</t>
  </si>
  <si>
    <t>Light Stop 19mm x 19mm</t>
  </si>
  <si>
    <t>Magnet Sets Round</t>
  </si>
  <si>
    <t>RTRTR</t>
  </si>
  <si>
    <t>Shaped Triangle</t>
  </si>
  <si>
    <t>Black Walnut (W920)</t>
  </si>
  <si>
    <t>Light Stop 19mm x 30mm</t>
  </si>
  <si>
    <t>Magnets &amp; Catches</t>
  </si>
  <si>
    <t>LTLTR</t>
  </si>
  <si>
    <t>Light Stop 20mm x 5mm</t>
  </si>
  <si>
    <t>Patented Pinion Rack 89mm, 30cm</t>
  </si>
  <si>
    <t>LTRTR</t>
  </si>
  <si>
    <t>Centre Stiles</t>
  </si>
  <si>
    <t>Light Stop 31.8mm x 9.5mm</t>
  </si>
  <si>
    <t>Pinion, Pin &amp; Washer</t>
  </si>
  <si>
    <t>Off White</t>
  </si>
  <si>
    <t>Light Stop 40mm x 30mm</t>
  </si>
  <si>
    <t>Pivot Hinges, Left &amp; Right Sides</t>
  </si>
  <si>
    <t>Eggshell</t>
  </si>
  <si>
    <t>Light Stop 50mm x 30mm</t>
  </si>
  <si>
    <t>Pivots</t>
  </si>
  <si>
    <t>Antique White</t>
  </si>
  <si>
    <t>Medium Deco Z Frame 44.46mm</t>
  </si>
  <si>
    <t>Plugs</t>
  </si>
  <si>
    <t>Jasper</t>
  </si>
  <si>
    <t>Mounting Block 18mm x 18mm</t>
  </si>
  <si>
    <t>Mocha</t>
  </si>
  <si>
    <t>Mounting Block 30mm x 30mm</t>
  </si>
  <si>
    <t>Ramp Cap</t>
  </si>
  <si>
    <t>Black</t>
  </si>
  <si>
    <t>Reveal L Frame 47.63mm</t>
  </si>
  <si>
    <t>Sill Frame 50.8mm</t>
  </si>
  <si>
    <t>Shutter Tiltrod</t>
  </si>
  <si>
    <t>Brass</t>
  </si>
  <si>
    <t>Slider Bracket, White</t>
  </si>
  <si>
    <t>Stepped Rabbet Hinge</t>
  </si>
  <si>
    <t>Antique Brass</t>
  </si>
  <si>
    <t>Square Z Frame 44.46mm</t>
  </si>
  <si>
    <t>Slider Wheels</t>
  </si>
  <si>
    <t>L Drop Hinge</t>
  </si>
  <si>
    <t>FauxwoodDesignerTopFrameNoFrame</t>
  </si>
  <si>
    <t>FauxwoodDesignerTopFrameAngledDecoZFrame</t>
  </si>
  <si>
    <t>FauxwoodDesignerTopFrameBullnoseLargeZFrame</t>
  </si>
  <si>
    <t>FauxwoodDesignerTopFrameBullnoseZFrame</t>
  </si>
  <si>
    <t>FauxwoodDesignerTopFrameCaseFrame</t>
  </si>
  <si>
    <t>FauxwoodDesignerTopFrameClassicDecoZFrame</t>
  </si>
  <si>
    <t>FauxwoodDesignerTopFrameMediumDecoZFrame</t>
  </si>
  <si>
    <t>FauxwoodDesignerTopFrameRevealLFrame</t>
  </si>
  <si>
    <t>FauxwoodDesignerTopFrameSillFrame</t>
  </si>
  <si>
    <t>FauxwoodDesignerTopFrameSmallDecoZFrame</t>
  </si>
  <si>
    <t>FauxwoodDesignerTopFrameSquareZFrame</t>
  </si>
  <si>
    <t>Nickel</t>
  </si>
  <si>
    <t>T Post</t>
  </si>
  <si>
    <t>Spanner</t>
  </si>
  <si>
    <t>Flat Hinge</t>
  </si>
  <si>
    <t>Spring Pins</t>
  </si>
  <si>
    <t>Bi Fold Bottom Fixed Pivot Bracket &amp; Pin</t>
  </si>
  <si>
    <t>Hidden Tiltrod 114mm</t>
  </si>
  <si>
    <t>Hidden Tiltrod 63mm</t>
  </si>
  <si>
    <t>Hidden Tiltrod 89mm</t>
  </si>
  <si>
    <t>Magnet Catch</t>
  </si>
  <si>
    <t>Pivot Hinges Left Right Sides</t>
  </si>
  <si>
    <t>Slider L Bracket</t>
  </si>
  <si>
    <t>Top Fixed Pivot Bracket</t>
  </si>
  <si>
    <t>Top Track Stopper Block</t>
  </si>
  <si>
    <t>Top Wheel</t>
  </si>
  <si>
    <t>Stainless Steel Hinges</t>
  </si>
  <si>
    <t>Bottom Pivot Pin For Bi Fold/Sliding Panel</t>
  </si>
  <si>
    <t>Caramel</t>
  </si>
  <si>
    <t>Standard Hinges</t>
  </si>
  <si>
    <t>Stepped Hinges</t>
  </si>
  <si>
    <t>Carrier Bracket For Bi Fold/Sliding Panel</t>
  </si>
  <si>
    <t>Stile</t>
  </si>
  <si>
    <t>Divider Rail/Mid Rail (Centre Rail), 79.5mm x 21mm</t>
  </si>
  <si>
    <t>Stile With Rebate &amp; Insert, 50.8mm x 27mm</t>
  </si>
  <si>
    <t>Stile With Rebate &amp; Rabbet</t>
  </si>
  <si>
    <t>Top Bracket</t>
  </si>
  <si>
    <t>Additional Headboard 100mm x 19mm</t>
  </si>
  <si>
    <t>Additional Headboard 180mm x 19mm</t>
  </si>
  <si>
    <t>Additional Headboard 220mm x 19mm</t>
  </si>
  <si>
    <t>Bi Fold Frame, 60mm x 9.5mm</t>
  </si>
  <si>
    <t>Bottom Frame</t>
  </si>
  <si>
    <t>FauxwoodDesignerBottomFrameNoFrame</t>
  </si>
  <si>
    <t>FauxwoodDesignerBottomFrameAngledDecoZFrame</t>
  </si>
  <si>
    <t>FauxwoodDesignerBottomFrameBullnoseLargeZFrame</t>
  </si>
  <si>
    <t>FauxwoodDesignerBottomFrameBullnoseZFrame</t>
  </si>
  <si>
    <t>FauxwoodDesignerBottomFrameCaseFrame</t>
  </si>
  <si>
    <t>FauxwoodDesignerBottomFrameClassicDecoZFrame</t>
  </si>
  <si>
    <t>FauxwoodDesignerBottomFrameMediumDecoZFrame</t>
  </si>
  <si>
    <t>FauxwoodDesignerBottomFrameRevealLFrame</t>
  </si>
  <si>
    <t>FauxwoodDesignerBottomFrameSillFrame</t>
  </si>
  <si>
    <t>FauxwoodDesignerBottomFrameSmallDecoZFrame</t>
  </si>
  <si>
    <t>FauxwoodDesignerBottomFrameSquareZFrame</t>
  </si>
  <si>
    <t>Light Stop 19mm x 9.5mm</t>
  </si>
  <si>
    <t>Medium Face Fit L Frame</t>
  </si>
  <si>
    <t>Small Face Fit L Frame</t>
  </si>
  <si>
    <t>Top &amp; Bottom Rail, 137.5mm x 21mm</t>
  </si>
  <si>
    <t>Tracking For Bi Fold &amp; Sliding Shutters</t>
  </si>
  <si>
    <t>U Channel 40mm x 15mm</t>
  </si>
  <si>
    <t>U Channel 40mm x 25mm</t>
  </si>
  <si>
    <t>STORE NAME:</t>
  </si>
  <si>
    <t>CUSTOMER NAME:</t>
  </si>
  <si>
    <t>DELIVERY ADDRESS:</t>
  </si>
  <si>
    <t>M2</t>
  </si>
  <si>
    <t>SALES ORDER NO.:</t>
  </si>
  <si>
    <t>WORKSHEET # / PO #:</t>
  </si>
  <si>
    <t>Panels</t>
  </si>
  <si>
    <t>DATE:</t>
  </si>
  <si>
    <t>Order Requirements Alert</t>
  </si>
  <si>
    <t>Mandatory Fields</t>
  </si>
  <si>
    <t>Calculation</t>
  </si>
  <si>
    <t>Error</t>
  </si>
  <si>
    <t>Item #</t>
  </si>
  <si>
    <t>Room
Location</t>
  </si>
  <si>
    <t>Gross Open Width</t>
  </si>
  <si>
    <t>Gross Open Height</t>
  </si>
  <si>
    <t>MS,  In Or Out</t>
  </si>
  <si>
    <t>Material</t>
  </si>
  <si>
    <t>Colour</t>
  </si>
  <si>
    <t>Mid Rail
Height</t>
  </si>
  <si>
    <t>Layout Code</t>
  </si>
  <si>
    <t>Window Type</t>
  </si>
  <si>
    <t>Mounting Method</t>
  </si>
  <si>
    <t>Frame Type</t>
  </si>
  <si>
    <t>1st     
 T Post</t>
  </si>
  <si>
    <t>2nd 
T Post</t>
  </si>
  <si>
    <t>3rd    
 T Post</t>
  </si>
  <si>
    <t>Tiltrod Type</t>
  </si>
  <si>
    <t>m2</t>
  </si>
  <si>
    <t>Hinge Quantity</t>
  </si>
  <si>
    <t>Material Aluminium Insert</t>
  </si>
  <si>
    <t>Midrail</t>
  </si>
  <si>
    <t>Panel Width</t>
  </si>
  <si>
    <t>Panel Width Check</t>
  </si>
  <si>
    <t>Fauxwood Panel With Check</t>
  </si>
  <si>
    <t>Panel Height Check</t>
  </si>
  <si>
    <t>Tiltrod Required</t>
  </si>
  <si>
    <t>Aluminium Inserts Highlight</t>
  </si>
  <si>
    <t>Sliding Open Or Closed</t>
  </si>
  <si>
    <t>Check T Post &amp; Layout Code</t>
  </si>
  <si>
    <t>Check 1st T Post</t>
  </si>
  <si>
    <t>Check 2nd T Post</t>
  </si>
  <si>
    <t>Check 3rd T Post</t>
  </si>
  <si>
    <t>Aluminium Insert Blade Size Check</t>
  </si>
  <si>
    <t>Check Combo Panels</t>
  </si>
  <si>
    <t>Check T &amp; Layout Code</t>
  </si>
  <si>
    <t>Check C Or B Layout Code</t>
  </si>
  <si>
    <t>Hinge Quantity Fauxwood</t>
  </si>
  <si>
    <t>Bottom Fame/Track</t>
  </si>
  <si>
    <t>Hinge Quantity Basswood</t>
  </si>
  <si>
    <t>Double Hinged Check</t>
  </si>
  <si>
    <t>Width Check</t>
  </si>
  <si>
    <t>Fluffy Strip</t>
  </si>
  <si>
    <t>Special Window</t>
  </si>
  <si>
    <t>Colour Check</t>
  </si>
  <si>
    <t>Blade Size Check</t>
  </si>
  <si>
    <t>Frame Entry Check</t>
  </si>
  <si>
    <t>Z Frame Check</t>
  </si>
  <si>
    <t>Highlight Out &amp; Z Frame</t>
  </si>
  <si>
    <t>Layout Code Count</t>
  </si>
  <si>
    <t>Layout Code Check Count</t>
  </si>
  <si>
    <t>Error Layout Code</t>
  </si>
  <si>
    <t>Check Special Window For Alert</t>
  </si>
  <si>
    <t>Check Frame Deduction</t>
  </si>
  <si>
    <t>Frame Deduction</t>
  </si>
  <si>
    <t>Check In/Out MS</t>
  </si>
  <si>
    <t>Multiplier</t>
  </si>
  <si>
    <t>Basswood Blade Options &amp; Colour</t>
  </si>
  <si>
    <t>Fauxwood Blade Options &amp; Colour</t>
  </si>
  <si>
    <t>Fauxwood Blockout Blade Options &amp; Colour</t>
  </si>
  <si>
    <t>Blade Option Setting</t>
  </si>
  <si>
    <t>Critical Mid Rail Highlight</t>
  </si>
  <si>
    <t>Rack &amp; Pinion Surcharge Check</t>
  </si>
  <si>
    <t>Fauxwood Oversize Check</t>
  </si>
  <si>
    <t>Shaped Check</t>
  </si>
  <si>
    <t>Track Check</t>
  </si>
  <si>
    <t>Check Layout Code T Post Quantity</t>
  </si>
  <si>
    <t xml:space="preserve">Check T Post &amp; Layout Code </t>
  </si>
  <si>
    <t>Check Layout Code &amp; Panel Quantity</t>
  </si>
  <si>
    <t>Left &amp; Right Frame Options</t>
  </si>
  <si>
    <t>Top Frame Options</t>
  </si>
  <si>
    <t>Bottom Frame Options</t>
  </si>
  <si>
    <t>Check T Post &amp; T Post Entries</t>
  </si>
  <si>
    <t>Check T Post &amp; Layout Code Highlight</t>
  </si>
  <si>
    <t>1st T Post Hightlight Entered</t>
  </si>
  <si>
    <t>1st T Post Hightlight Entered Issue</t>
  </si>
  <si>
    <t>2nd T Post Hightlight Entered Issue</t>
  </si>
  <si>
    <t>3rd T Post Hightlight Entered Issue</t>
  </si>
  <si>
    <t>IN, OUT, MS &amp; Frame Type Dependency</t>
  </si>
  <si>
    <t>Bay Check</t>
  </si>
  <si>
    <t>Corner Check</t>
  </si>
  <si>
    <t>Shape Check</t>
  </si>
  <si>
    <t>Template Check</t>
  </si>
  <si>
    <t>Standard Special Comments # 1</t>
  </si>
  <si>
    <t>Standard Special Comments # 2</t>
  </si>
  <si>
    <t>Standard Special Comments # 3</t>
  </si>
  <si>
    <t>User Specific Line Item Notes/Special Comments</t>
  </si>
  <si>
    <t>General Notes</t>
  </si>
  <si>
    <t>Quantity</t>
  </si>
  <si>
    <t>Length</t>
  </si>
  <si>
    <t>Extra's</t>
  </si>
  <si>
    <t>Hardware</t>
  </si>
  <si>
    <t>Additional Item Notes</t>
  </si>
  <si>
    <t>Hardware Colour Options</t>
  </si>
  <si>
    <t>LD-R</t>
  </si>
  <si>
    <t>L-DR</t>
  </si>
  <si>
    <t>LD-RTL</t>
  </si>
  <si>
    <t>L-DRTL</t>
  </si>
  <si>
    <t>LD-RTR</t>
  </si>
  <si>
    <t>L-DRTR</t>
  </si>
  <si>
    <t>LTLD-R</t>
  </si>
  <si>
    <t>LTL-DR</t>
  </si>
  <si>
    <t>RTLD-R</t>
  </si>
  <si>
    <t>RTL-DR</t>
  </si>
  <si>
    <t>LD-RTLD-R</t>
  </si>
  <si>
    <t>L-DRTL-DR</t>
  </si>
  <si>
    <t>LTLD-RTR</t>
  </si>
  <si>
    <t>LTL-DRTR</t>
  </si>
  <si>
    <t>RTLD-RTL</t>
  </si>
  <si>
    <t>RTL-DRTL</t>
  </si>
  <si>
    <t>LD-RTLD-RTL</t>
  </si>
  <si>
    <t>LD-RTLD-RTR</t>
  </si>
  <si>
    <t>L-DRTL-DRTR</t>
  </si>
  <si>
    <t>LTLD-RTLD-R</t>
  </si>
  <si>
    <t>LTL-DRTL-DR</t>
  </si>
  <si>
    <t>LD-RTLD-RTLD-R</t>
  </si>
  <si>
    <t>L-DRTL-DRTL-DR</t>
  </si>
  <si>
    <t>LTLD-RTLD-RTR</t>
  </si>
  <si>
    <t>LTL-DRTL-DRTR</t>
  </si>
  <si>
    <t>LTLD-RTRTLTLD-RTR</t>
  </si>
  <si>
    <t>LTL-DRTRTLTL-DRTR</t>
  </si>
  <si>
    <t>T Post Count</t>
  </si>
  <si>
    <t>FauxwoodDesignerLeftRightFrameSmallFaceFitLFrame</t>
  </si>
  <si>
    <t>FauxwoodDesignerTopFrameSmallFaceFitLFrame</t>
  </si>
  <si>
    <t>FauxwoodDesignerBottomFrameSmallFaceFitLFrame</t>
  </si>
  <si>
    <t>FauxwoodDesignerLeftRightFrameMediumFaceFitLFrame</t>
  </si>
  <si>
    <t>FauxwoodDesignerTopFrameMediumFaceFitLFrame</t>
  </si>
  <si>
    <t>FauxwoodDesignerBottomFrameMediumFaceFitLFrame</t>
  </si>
  <si>
    <t>RTR</t>
  </si>
  <si>
    <t>LTL</t>
  </si>
  <si>
    <t>RTL</t>
  </si>
  <si>
    <t>RTRTL</t>
  </si>
  <si>
    <t>RTLTL</t>
  </si>
  <si>
    <t>FauxwoodDesignerSlidingOpenOrClosedHinged</t>
  </si>
  <si>
    <t>FauxwoodDesignerSlidingOpenOrClosedSliding</t>
  </si>
  <si>
    <t>FauxwoodDesignerSlidingOpenOrClosedTrackBiFold</t>
  </si>
  <si>
    <t>FauxwoodDesignerTrackBiFoldFrameType</t>
  </si>
  <si>
    <t>FauxwoodDesignerSlidingFrameType</t>
  </si>
  <si>
    <t>INDEX</t>
  </si>
  <si>
    <t>MATCH Check MS</t>
  </si>
  <si>
    <t>MATCH Check Frame</t>
  </si>
  <si>
    <t>FauxwoodDesignerMoutingMethodMS</t>
  </si>
  <si>
    <t>FauxwoodDesignerMoutingMethodIN</t>
  </si>
  <si>
    <t>FauxwoodDesignerMoutingMethodOUT</t>
  </si>
  <si>
    <t>FauxwoodDesignerMountingMethodNA</t>
  </si>
  <si>
    <t>FauxwoodDesignerWindowTypeNA</t>
  </si>
  <si>
    <t>FauxwoodDesignerBottomFrameTrackBiFold</t>
  </si>
  <si>
    <t>FauxwoodDesignerLeftRightFrame100mm</t>
  </si>
  <si>
    <t>FauxwoodDesignerLeftRightFrame140mm</t>
  </si>
  <si>
    <t>FauxwoodDesignerLeftRightFrame180mm</t>
  </si>
  <si>
    <t>FauxwoodDesignerLeftRightFrame220mm</t>
  </si>
  <si>
    <t>FauxwoodDesignerTopFrame100mm</t>
  </si>
  <si>
    <t>FauxwoodDesignerTopFrame140mm</t>
  </si>
  <si>
    <t>FauxwoodDesignerTopFrame180mm</t>
  </si>
  <si>
    <t>FauxwoodDesignerTopFrame220mm</t>
  </si>
  <si>
    <t>FauxwoodDesignerBottomFrameSliding</t>
  </si>
  <si>
    <t>Bottom Frame Check</t>
  </si>
  <si>
    <t>FauxwoodDesignerFrameNA</t>
  </si>
  <si>
    <t>FauxwoodDesignerSlidingOpenOrClosedNA</t>
  </si>
  <si>
    <t>Make Size Alert</t>
  </si>
  <si>
    <t>Please Note: Make Size (MS) Panels Are For Panels Only With No Other Options Available</t>
  </si>
  <si>
    <t>Layout Codes</t>
  </si>
  <si>
    <t>Panel Quantity</t>
  </si>
  <si>
    <t>LL</t>
  </si>
  <si>
    <t>Bi-Fold</t>
  </si>
  <si>
    <t>RR</t>
  </si>
  <si>
    <t>LLRR</t>
  </si>
  <si>
    <t>LLLL</t>
  </si>
  <si>
    <t>RRRR</t>
  </si>
  <si>
    <t>LLLLLL</t>
  </si>
  <si>
    <t>RRRRRR</t>
  </si>
  <si>
    <t>LLLLLLLL</t>
  </si>
  <si>
    <t>LLLLRR</t>
  </si>
  <si>
    <t>LLLLRRRR</t>
  </si>
  <si>
    <t>LLLLLLRR</t>
  </si>
  <si>
    <t>LLRRRR</t>
  </si>
  <si>
    <t>LLRRRRRR</t>
  </si>
  <si>
    <t>F</t>
  </si>
  <si>
    <t>FB</t>
  </si>
  <si>
    <t>BF</t>
  </si>
  <si>
    <t>FF</t>
  </si>
  <si>
    <t>BB</t>
  </si>
  <si>
    <t>FFF</t>
  </si>
  <si>
    <t>FBF</t>
  </si>
  <si>
    <t>BFB</t>
  </si>
  <si>
    <t>BMF</t>
  </si>
  <si>
    <t>FMB</t>
  </si>
  <si>
    <t>BBFF</t>
  </si>
  <si>
    <t>BFFB</t>
  </si>
  <si>
    <t>FBBF</t>
  </si>
  <si>
    <t>FBFB</t>
  </si>
  <si>
    <t>FFBB</t>
  </si>
  <si>
    <t>FMMB</t>
  </si>
  <si>
    <t>BMMF</t>
  </si>
  <si>
    <t>BBFFFFBB</t>
  </si>
  <si>
    <t>BBMMFF</t>
  </si>
  <si>
    <t>BMFFMB</t>
  </si>
  <si>
    <t>FFBBBBFF</t>
  </si>
  <si>
    <t>FFMMBB</t>
  </si>
  <si>
    <t>FMBBMF</t>
  </si>
  <si>
    <t>FauxwoodDesignerTrackBiFoldLayoutCode</t>
  </si>
  <si>
    <t>FauxwoodDesignerHingedLayoutCode</t>
  </si>
  <si>
    <t>FauxwoodDesignerSlidingLayoutCode</t>
  </si>
  <si>
    <t>FauxwoodDesignerMSLayoutCode</t>
  </si>
  <si>
    <t>Layout Code Options List</t>
  </si>
  <si>
    <t>Left 
Frame</t>
  </si>
  <si>
    <t>Right 
Frame</t>
  </si>
  <si>
    <t>Top 
Frame</t>
  </si>
  <si>
    <t>Layout Code &amp; Panel Quantity</t>
  </si>
  <si>
    <t>FauxwoodDesignerBiFoldBottomFixedPivotBracketPin</t>
  </si>
  <si>
    <t>FauxwoodDesignerBottomPivotPinForBiFoldSlidingPanel</t>
  </si>
  <si>
    <t>FauxwoodDesignerCarrierBracketForBiFoldSlidingPanel</t>
  </si>
  <si>
    <t>FauxwoodDesignerFloorGuide</t>
  </si>
  <si>
    <t>FauxwoodDesignerSliderLBracket</t>
  </si>
  <si>
    <t>T Post Quantity</t>
  </si>
  <si>
    <t>T Post Alert</t>
  </si>
  <si>
    <t>Hinge 
Colour</t>
  </si>
  <si>
    <t>Bottom Frame/
Track</t>
  </si>
  <si>
    <t>Item
#</t>
  </si>
  <si>
    <t>This is designed to begin at the left and work towards the right as the options will change based on the selections.</t>
  </si>
  <si>
    <t>FauxwoodDesignerFixedLayoutCode</t>
  </si>
  <si>
    <t>FauxwoodDesignerFixedFrameType</t>
  </si>
  <si>
    <t>FauxwoodDesignerLeftRightFrameUChannel</t>
  </si>
  <si>
    <t>FauxwoodDesignerTopFrameUChannel</t>
  </si>
  <si>
    <t>FauxwoodDesignerBottomFrameUChannel</t>
  </si>
  <si>
    <t>FauxwoodDesignerHingeColourNA</t>
  </si>
  <si>
    <t>Hinge Colour</t>
  </si>
  <si>
    <t>Hinge Colour Lookup</t>
  </si>
  <si>
    <t>FauxwoodDesignerBottomFrame100mm</t>
  </si>
  <si>
    <t>FauxwoodDesignerBottomFrame140mm</t>
  </si>
  <si>
    <t>FauxwoodDesignerBottomFrame180mm</t>
  </si>
  <si>
    <t>FauxwoodDesignerBottomFrame220mm</t>
  </si>
  <si>
    <t>FauxwoodDesignerSlidingOpenOrClosedFixed</t>
  </si>
  <si>
    <t>TPostQuantity</t>
  </si>
  <si>
    <t>TPostQtyNA</t>
  </si>
  <si>
    <t>Size Check</t>
  </si>
  <si>
    <t>FauxwoodDesignerLeftRightFrameHangingStrip</t>
  </si>
  <si>
    <t>FauxwoodDesignerTopFrameHangingStrip</t>
  </si>
  <si>
    <t>FauxwoodDesignerBottomFrameHangingStrip</t>
  </si>
  <si>
    <t>Check Hinge Highlight</t>
  </si>
  <si>
    <t>Hinge Highlight</t>
  </si>
  <si>
    <t>FauxwoodDesignerSlidingOpenOrClosedDoubleHinged</t>
  </si>
  <si>
    <t>FauxwoodDesignerDoubleHingedLayoutCode</t>
  </si>
  <si>
    <t>LLR</t>
  </si>
  <si>
    <t>LRR</t>
  </si>
  <si>
    <t>LTLR</t>
  </si>
  <si>
    <t>LRTR</t>
  </si>
  <si>
    <t>LRTL</t>
  </si>
  <si>
    <t>LRTLR</t>
  </si>
  <si>
    <t>LRTLRTLR</t>
  </si>
  <si>
    <t>LTLRTR</t>
  </si>
  <si>
    <t>LTLRTLRTR</t>
  </si>
  <si>
    <t>LTLRTRTLTLRTR</t>
  </si>
  <si>
    <t>R-DR</t>
  </si>
  <si>
    <t>FD-F</t>
  </si>
  <si>
    <t>F-DF</t>
  </si>
  <si>
    <t>FD-FD-F</t>
  </si>
  <si>
    <t>F-DF-DF</t>
  </si>
  <si>
    <t>BBFD-F</t>
  </si>
  <si>
    <t>BBF-DF</t>
  </si>
  <si>
    <t>BFD-FB</t>
  </si>
  <si>
    <t>BF-DFB</t>
  </si>
  <si>
    <t>FD-FBB</t>
  </si>
  <si>
    <t>F-DFBB</t>
  </si>
  <si>
    <t>BBFD-FD-FD-FBB</t>
  </si>
  <si>
    <t>BBF-DF-DF-DFBB</t>
  </si>
  <si>
    <t>BBMMFD-F</t>
  </si>
  <si>
    <t>BBMMF-DF</t>
  </si>
  <si>
    <t>BMFD-FMB</t>
  </si>
  <si>
    <t>BMF-DFMB</t>
  </si>
  <si>
    <t>FD-FBBBBFD-F</t>
  </si>
  <si>
    <t>F-DFBBBBF-DF</t>
  </si>
  <si>
    <t>FD-FMMBB</t>
  </si>
  <si>
    <t>F-DFMMBB</t>
  </si>
  <si>
    <t>Non Standard Layout Code Lookup</t>
  </si>
  <si>
    <t>Check</t>
  </si>
  <si>
    <t>Check Highlight</t>
  </si>
  <si>
    <t>LLD-RR</t>
  </si>
  <si>
    <t>No Frame/Hanging Strip Type</t>
  </si>
  <si>
    <t>Match Frame Type</t>
  </si>
  <si>
    <t>Index</t>
  </si>
  <si>
    <t>Match Mounting Method</t>
  </si>
  <si>
    <t>Version</t>
  </si>
  <si>
    <t>LD-RR</t>
  </si>
  <si>
    <t>L-DRR</t>
  </si>
  <si>
    <t>LLD-R</t>
  </si>
  <si>
    <t>LL-DR</t>
  </si>
  <si>
    <t>LL-DRR</t>
  </si>
  <si>
    <t>Light Stop 19mm x 25mm</t>
  </si>
  <si>
    <t>Light Stop 40mm x 25mm</t>
  </si>
  <si>
    <t>Light Stop 50mm x 20mm</t>
  </si>
  <si>
    <t>Mounting Block 30mm x 25mm</t>
  </si>
  <si>
    <t>Additional Headboard 140mm x 19mm</t>
  </si>
  <si>
    <t>LLBLL</t>
  </si>
  <si>
    <t>LLBLRBRR</t>
  </si>
  <si>
    <t>LLBRR</t>
  </si>
  <si>
    <t>LRBLLRRBLR</t>
  </si>
  <si>
    <t>RRBLL</t>
  </si>
  <si>
    <t>RRBRR</t>
  </si>
  <si>
    <t>LBLBL</t>
  </si>
  <si>
    <t>LBLR</t>
  </si>
  <si>
    <t>LBLRBR</t>
  </si>
  <si>
    <t>LBLRTLRBR</t>
  </si>
  <si>
    <t>LBLTRBR</t>
  </si>
  <si>
    <t>LBR</t>
  </si>
  <si>
    <t>LBRBR</t>
  </si>
  <si>
    <t>LRBL</t>
  </si>
  <si>
    <t>LRBLR</t>
  </si>
  <si>
    <t>LRBLRBLR</t>
  </si>
  <si>
    <t>LRBLRTLRBLR</t>
  </si>
  <si>
    <t>LRBLTLTRBLR</t>
  </si>
  <si>
    <t>LRBR</t>
  </si>
  <si>
    <t>LTRBLTR</t>
  </si>
  <si>
    <t>RBL</t>
  </si>
  <si>
    <t>RBLBR</t>
  </si>
  <si>
    <t>RBLR</t>
  </si>
  <si>
    <t>RBRBL</t>
  </si>
  <si>
    <t>RBRBR</t>
  </si>
  <si>
    <t>Snow White</t>
  </si>
  <si>
    <t>LLCLL</t>
  </si>
  <si>
    <t>LLCLRCRR</t>
  </si>
  <si>
    <t>LLCRR</t>
  </si>
  <si>
    <t>LRCLLRRCLR</t>
  </si>
  <si>
    <t>RRCLL</t>
  </si>
  <si>
    <t>RRCRR</t>
  </si>
  <si>
    <t>LCLCL</t>
  </si>
  <si>
    <t>LCLR</t>
  </si>
  <si>
    <t>LCLRCR</t>
  </si>
  <si>
    <t xml:space="preserve">LCLRTLRCR </t>
  </si>
  <si>
    <t>LCLTLTR</t>
  </si>
  <si>
    <t xml:space="preserve">LCLTR </t>
  </si>
  <si>
    <t>LCLTRCR</t>
  </si>
  <si>
    <t>LCR</t>
  </si>
  <si>
    <t>LCRCR</t>
  </si>
  <si>
    <t>LCRTR</t>
  </si>
  <si>
    <t>LRCL</t>
  </si>
  <si>
    <t>LRCLR</t>
  </si>
  <si>
    <t>LRCLRCLR</t>
  </si>
  <si>
    <t>LRCLRTLRCLR</t>
  </si>
  <si>
    <t>LRCLTLTRCLR</t>
  </si>
  <si>
    <t>LRCR</t>
  </si>
  <si>
    <t xml:space="preserve">LTRCL </t>
  </si>
  <si>
    <t>LTRCLTR</t>
  </si>
  <si>
    <t>RCL</t>
  </si>
  <si>
    <t>RCLCR</t>
  </si>
  <si>
    <t>RCLR</t>
  </si>
  <si>
    <t>RCRCL</t>
  </si>
  <si>
    <t>RCRCR</t>
  </si>
  <si>
    <t>Pure White (F190)</t>
  </si>
  <si>
    <t>Designer Shutters</t>
  </si>
  <si>
    <t>DESTINATION PORT:</t>
  </si>
  <si>
    <t>White Magnet Catches</t>
  </si>
  <si>
    <t>Port</t>
  </si>
  <si>
    <t>BNE</t>
  </si>
  <si>
    <t>MEL</t>
  </si>
  <si>
    <t>SYD</t>
  </si>
  <si>
    <t>Horizontal T Post</t>
  </si>
  <si>
    <t>Horizontal T Post Filler Board Above</t>
  </si>
  <si>
    <t>Horizontal T Post Filler Board Below</t>
  </si>
  <si>
    <t>Customer Rework</t>
  </si>
  <si>
    <t>Warranty Remake</t>
  </si>
  <si>
    <t>Total M2</t>
  </si>
  <si>
    <t>Panels Fixed With Light Stop Beading</t>
  </si>
  <si>
    <t>Panels Fixed With Light Stop Beading, Front &amp; Back</t>
  </si>
  <si>
    <t xml:space="preserve">Of </t>
  </si>
  <si>
    <t>ORDERS EMAIL ADDRESS:</t>
  </si>
  <si>
    <t>L-DRTLD-R</t>
  </si>
  <si>
    <t>Side By Side</t>
  </si>
  <si>
    <t>Page</t>
  </si>
  <si>
    <t>Count</t>
  </si>
  <si>
    <t>Page 1</t>
  </si>
  <si>
    <t>Page 2</t>
  </si>
  <si>
    <t>Page 3</t>
  </si>
  <si>
    <t>Elite Options; Curved Rails, Patented Brackets, Large Hinges</t>
  </si>
  <si>
    <t>support@pacificwholesale.com.au</t>
  </si>
  <si>
    <t>Motorised With Remote</t>
  </si>
  <si>
    <t>Motorised No Remote</t>
  </si>
  <si>
    <t>Super White</t>
  </si>
  <si>
    <t>Alexandra Wacher</t>
  </si>
  <si>
    <t>Beth Anderson</t>
  </si>
  <si>
    <t>Emma Blakeney</t>
  </si>
  <si>
    <t>Stacey Carsburg</t>
  </si>
  <si>
    <t>Samantha Doak</t>
  </si>
  <si>
    <t>ShutterEmail</t>
  </si>
  <si>
    <t>ShutterPhone</t>
  </si>
  <si>
    <t>service@pacificwholesale.com.au</t>
  </si>
  <si>
    <t>Tel. +61 2 8850 9306</t>
  </si>
  <si>
    <t>shutterorders@pacificwholesale.com.au</t>
  </si>
  <si>
    <t>Tel. +61 2 8850 9305</t>
  </si>
  <si>
    <t>Tel. +61 2 8850 9312</t>
  </si>
  <si>
    <t>Pacific Sales Coordinator</t>
  </si>
  <si>
    <t>Ivory</t>
  </si>
  <si>
    <t>Do Not Split Tiltrod</t>
  </si>
  <si>
    <t>Fauxwood Designer Eco</t>
  </si>
  <si>
    <t>Fauxwood Designer Eco Plus</t>
  </si>
  <si>
    <t>Shaped Oval</t>
  </si>
  <si>
    <t>Infinite White</t>
  </si>
  <si>
    <t>Snowy Mountains White</t>
  </si>
  <si>
    <t>Polar White</t>
  </si>
  <si>
    <t>Quiet White</t>
  </si>
  <si>
    <t>French White</t>
  </si>
  <si>
    <t>Ceylon</t>
  </si>
  <si>
    <t>Snow Gum Grey</t>
  </si>
  <si>
    <t>Earl Grey</t>
  </si>
  <si>
    <t>Standard Hinge Large 90mm</t>
  </si>
  <si>
    <t>Shaped Parallelogram</t>
  </si>
  <si>
    <t>Shaped Raked</t>
  </si>
  <si>
    <t>Default</t>
  </si>
  <si>
    <t>Frame Packer 20mm x 12.7mm</t>
  </si>
  <si>
    <t>Hanging Strip 35mm x 25.5mm</t>
  </si>
  <si>
    <t>Small Deco Z Frame 46mm</t>
  </si>
  <si>
    <t>Mounting Block 19mm x 19mm</t>
  </si>
  <si>
    <t>Cover Strip To Fit Face Fit Frame 12.2mm x 7mm</t>
  </si>
  <si>
    <t>AKL</t>
  </si>
  <si>
    <t/>
  </si>
  <si>
    <t>Stile &amp; 
T Post</t>
  </si>
  <si>
    <t>Default (Beaded)</t>
  </si>
  <si>
    <t>Flat Stile &amp; T Post</t>
  </si>
  <si>
    <t>Stile T Post</t>
  </si>
  <si>
    <t>Fluffy Strip Option</t>
  </si>
  <si>
    <t>Fluffy_Stripe_NA</t>
  </si>
  <si>
    <t>Small L Frame (Flat)</t>
  </si>
  <si>
    <t>FauxwoodDesignerNightBladeSize</t>
  </si>
  <si>
    <t>92mm</t>
  </si>
  <si>
    <t>FauxwoodDesignerNightWindowType</t>
  </si>
  <si>
    <t>StandardStile</t>
  </si>
  <si>
    <t>NightFluffyStrip</t>
  </si>
  <si>
    <t>DefaultFluffyStrip</t>
  </si>
  <si>
    <t>Match Product</t>
  </si>
  <si>
    <t>Match Stile</t>
  </si>
  <si>
    <t>Fauxwood Designer Eco Night</t>
  </si>
  <si>
    <t>FauxwoodDesignerEcoNightTiltrod</t>
  </si>
  <si>
    <t>Tiltrod</t>
  </si>
  <si>
    <t>Mid Rail May Be Up To 40mm Higher/Lower, Unless "Critical Mid Rail"</t>
  </si>
  <si>
    <t>Critical Mid Rail</t>
  </si>
  <si>
    <t>Split Tiltrod In Half Above Mid Rail</t>
  </si>
  <si>
    <t>Split Tiltrod In Half Below Mid Rail</t>
  </si>
  <si>
    <t>FRE</t>
  </si>
  <si>
    <t xml:space="preserve">Total Track </t>
  </si>
  <si>
    <t>Track Bi Fold Calculations</t>
  </si>
  <si>
    <t>Sliding Track Calculations</t>
  </si>
  <si>
    <t>Sliding Lookup</t>
  </si>
  <si>
    <t>Track Multiplier</t>
  </si>
  <si>
    <t>FauxwoodDesignerNightMoutingMethodIN</t>
  </si>
  <si>
    <t>FauxwoodDesignerNightMoutingMethodOUT</t>
  </si>
  <si>
    <t>Product</t>
  </si>
  <si>
    <t>Pivot Hinged</t>
  </si>
  <si>
    <t>FauxwoodDesignePivotHingedLayoutCodes</t>
  </si>
  <si>
    <t>PivotHingedTopBottomFrame</t>
  </si>
  <si>
    <t>FauxwoodDesignerPivotHingedInOut</t>
  </si>
  <si>
    <t>FauxwoodDesignerPivotHingeColour</t>
  </si>
  <si>
    <t>FauxwoodDesignerSlidingOpenOrClosedPivotHinged</t>
  </si>
  <si>
    <t>FauxwoodDesignerPivotHinges</t>
  </si>
  <si>
    <t>Pivot Hinge</t>
  </si>
  <si>
    <t>Medium Reveal L Frame</t>
  </si>
  <si>
    <t>FauxwoodDesignerTiltrodShapesNA</t>
  </si>
  <si>
    <t>Rack &amp; Pinion NA</t>
  </si>
  <si>
    <t>Rack &amp; Pinion Tiltrod</t>
  </si>
  <si>
    <t>Rack &amp; Pnion Tiltrod</t>
  </si>
  <si>
    <t>Sliding Track 
System</t>
  </si>
  <si>
    <t>Sliding System</t>
  </si>
  <si>
    <t>SlidingSystemNA</t>
  </si>
  <si>
    <t>Top Hung (Original System)</t>
  </si>
  <si>
    <t>Bottom Wheel (New System)</t>
  </si>
  <si>
    <t>SlidingOpenClosed</t>
  </si>
  <si>
    <t>SlidingOpenClosedOption</t>
  </si>
  <si>
    <t>SlidingBoth</t>
  </si>
  <si>
    <t>SlidingClosed</t>
  </si>
  <si>
    <t>BottomSlidingBottomWheelFrame</t>
  </si>
  <si>
    <t>Bottom Track, Track In Board 9mm x 6mm Bottom Wheel Sliding System</t>
  </si>
  <si>
    <t>Bottom Track, Track Only 30mm x 3.7mm Bottom Wheel Sliding System</t>
  </si>
  <si>
    <t>Top U Channel 40mm x 40mm Bottom Wheel Sliding System</t>
  </si>
  <si>
    <t>Bottom Wheel, Adjustable (Bottom Wheel Sliding System)</t>
  </si>
  <si>
    <t>BottomWheelAdjustable</t>
  </si>
  <si>
    <t>Luvre</t>
  </si>
  <si>
    <t>Luvre Colour</t>
  </si>
  <si>
    <t>LuvreBladeSize</t>
  </si>
  <si>
    <t>LuvreTiltrod</t>
  </si>
  <si>
    <t>44PL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</si>
</sst>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43" x14ac:knownFonts="1">
    <font>
      <sz val="10"/>
      <name val="Arial"/>
      <family val="2"/>
    </font>
    <font>
      <sz val="10"/>
      <name val="Arial"/>
      <family val="2"/>
    </font>
    <font>
      <b/>
      <sz val="10"/>
      <name val="Arial"/>
      <family val="2"/>
    </font>
    <font>
      <b/>
      <sz val="16"/>
      <name val="Tahoma"/>
      <family val="2"/>
    </font>
    <font>
      <b/>
      <sz val="12"/>
      <name val="Tahoma"/>
      <family val="2"/>
    </font>
    <font>
      <b/>
      <sz val="11"/>
      <name val="Calibri"/>
      <family val="2"/>
    </font>
    <font>
      <b/>
      <sz val="20"/>
      <name val="Arial"/>
      <family val="2"/>
    </font>
    <font>
      <sz val="12"/>
      <name val="Tahoma"/>
      <family val="2"/>
    </font>
    <font>
      <b/>
      <sz val="12"/>
      <name val="Calibri"/>
      <family val="2"/>
    </font>
    <font>
      <b/>
      <sz val="11"/>
      <name val="Calibri"/>
      <family val="2"/>
      <scheme val="minor"/>
    </font>
    <font>
      <sz val="12"/>
      <name val="Arial"/>
      <family val="2"/>
    </font>
    <font>
      <sz val="9"/>
      <name val="Tahoma"/>
      <family val="2"/>
    </font>
    <font>
      <b/>
      <sz val="11"/>
      <name val="Tahoma"/>
      <family val="2"/>
    </font>
    <font>
      <b/>
      <i/>
      <sz val="12"/>
      <name val="Tahoma"/>
      <family val="2"/>
    </font>
    <font>
      <b/>
      <sz val="12"/>
      <name val="Calibri"/>
      <family val="2"/>
      <scheme val="minor"/>
    </font>
    <font>
      <b/>
      <i/>
      <sz val="11"/>
      <name val="Calibri"/>
      <family val="2"/>
      <scheme val="minor"/>
    </font>
    <font>
      <b/>
      <i/>
      <sz val="11"/>
      <color rgb="FFFF0000"/>
      <name val="Calibri"/>
      <family val="2"/>
      <scheme val="minor"/>
    </font>
    <font>
      <i/>
      <sz val="11"/>
      <name val="Calibri"/>
      <family val="2"/>
      <scheme val="minor"/>
    </font>
    <font>
      <u/>
      <sz val="10"/>
      <color indexed="12"/>
      <name val="Arial"/>
      <family val="2"/>
    </font>
    <font>
      <sz val="11"/>
      <name val="Tahoma"/>
      <family val="2"/>
    </font>
    <font>
      <b/>
      <sz val="14"/>
      <name val="Calibri"/>
      <family val="2"/>
      <scheme val="minor"/>
    </font>
    <font>
      <i/>
      <sz val="11"/>
      <color rgb="FFFF0000"/>
      <name val="Calibri"/>
      <family val="2"/>
      <scheme val="minor"/>
    </font>
    <font>
      <sz val="10"/>
      <name val="Tahoma"/>
      <family val="2"/>
    </font>
    <font>
      <sz val="8"/>
      <color indexed="81"/>
      <name val="Tahoma"/>
      <family val="2"/>
    </font>
    <font>
      <b/>
      <sz val="11"/>
      <color theme="1"/>
      <name val="Calibri"/>
      <family val="2"/>
      <scheme val="minor"/>
    </font>
    <font>
      <sz val="11"/>
      <color theme="1"/>
      <name val="Calibri"/>
      <family val="2"/>
    </font>
    <font>
      <sz val="12"/>
      <color rgb="FFFF0000"/>
      <name val="Tahoma"/>
      <family val="2"/>
    </font>
    <font>
      <b/>
      <sz val="11"/>
      <color rgb="FFFF0000"/>
      <name val="Calibri"/>
      <family val="2"/>
      <scheme val="minor"/>
    </font>
    <font>
      <sz val="12"/>
      <color rgb="FF7030A0"/>
      <name val="Tahoma"/>
      <family val="2"/>
    </font>
    <font>
      <b/>
      <sz val="11"/>
      <color rgb="FF7030A0"/>
      <name val="Calibri"/>
      <family val="2"/>
      <scheme val="minor"/>
    </font>
    <font>
      <sz val="10"/>
      <color rgb="FF7030A0"/>
      <name val="Arial"/>
      <family val="2"/>
    </font>
    <font>
      <sz val="12"/>
      <name val="Calibri"/>
      <family val="2"/>
      <scheme val="minor"/>
    </font>
    <font>
      <b/>
      <sz val="11"/>
      <color rgb="FFFFFF00"/>
      <name val="Calibri"/>
      <family val="2"/>
      <scheme val="minor"/>
    </font>
    <font>
      <sz val="12"/>
      <color rgb="FFFFFF00"/>
      <name val="Tahoma"/>
      <family val="2"/>
    </font>
    <font>
      <sz val="11"/>
      <color rgb="FF000000"/>
      <name val="Calibri"/>
      <family val="2"/>
      <scheme val="minor"/>
    </font>
    <font>
      <b/>
      <sz val="36"/>
      <name val="Calibri"/>
      <family val="2"/>
    </font>
    <font>
      <b/>
      <sz val="36"/>
      <name val="Calibri"/>
      <family val="2"/>
      <scheme val="minor"/>
    </font>
    <font>
      <sz val="11"/>
      <name val="Calibri"/>
      <family val="2"/>
    </font>
    <font>
      <b/>
      <sz val="16"/>
      <name val="Calibri"/>
      <family val="2"/>
    </font>
    <font>
      <u/>
      <sz val="16"/>
      <color indexed="12"/>
      <name val="Calibri"/>
      <family val="2"/>
      <scheme val="minor"/>
    </font>
    <font>
      <sz val="16"/>
      <name val="Calibri"/>
      <family val="2"/>
      <scheme val="minor"/>
    </font>
    <font>
      <b/>
      <sz val="20"/>
      <name val="Tahoma"/>
      <family val="2"/>
    </font>
    <font>
      <i/>
      <sz val="8"/>
      <color indexed="81"/>
      <name val="Tahoma"/>
      <family val="2"/>
    </font>
  </fonts>
  <fills count="21">
    <fill>
      <patternFill patternType="none"/>
    </fill>
    <fill>
      <patternFill patternType="gray125"/>
    </fill>
    <fill>
      <patternFill patternType="solid">
        <fgColor rgb="FFFFC000"/>
        <bgColor indexed="64"/>
      </patternFill>
    </fill>
    <fill>
      <patternFill patternType="solid">
        <fgColor rgb="FFFFFF00"/>
        <bgColor indexed="64"/>
      </patternFill>
    </fill>
    <fill>
      <patternFill patternType="solid">
        <fgColor rgb="FF92D050"/>
        <bgColor indexed="64"/>
      </patternFill>
    </fill>
    <fill>
      <patternFill patternType="solid">
        <fgColor theme="5"/>
        <bgColor indexed="64"/>
      </patternFill>
    </fill>
    <fill>
      <patternFill patternType="solid">
        <fgColor indexed="13"/>
        <bgColor indexed="64"/>
      </patternFill>
    </fill>
    <fill>
      <patternFill patternType="solid">
        <fgColor theme="8" tint="0.59996337778862885"/>
        <bgColor indexed="64"/>
      </patternFill>
    </fill>
    <fill>
      <patternFill patternType="solid">
        <fgColor theme="6" tint="0.59996337778862885"/>
        <bgColor indexed="64"/>
      </patternFill>
    </fill>
    <fill>
      <patternFill patternType="solid">
        <fgColor theme="5" tint="0.59996337778862885"/>
        <bgColor indexed="64"/>
      </patternFill>
    </fill>
    <fill>
      <patternFill patternType="solid">
        <fgColor theme="8" tint="0.59999389629810485"/>
        <bgColor indexed="64"/>
      </patternFill>
    </fill>
    <fill>
      <patternFill patternType="solid">
        <fgColor indexed="44"/>
        <bgColor indexed="64"/>
      </patternFill>
    </fill>
    <fill>
      <patternFill patternType="solid">
        <fgColor indexed="31"/>
        <bgColor indexed="64"/>
      </patternFill>
    </fill>
    <fill>
      <patternFill patternType="solid">
        <fgColor rgb="FFCCCCFF"/>
        <bgColor indexed="64"/>
      </patternFill>
    </fill>
    <fill>
      <patternFill patternType="solid">
        <fgColor theme="8" tint="0.39994506668294322"/>
        <bgColor indexed="64"/>
      </patternFill>
    </fill>
    <fill>
      <patternFill patternType="solid">
        <fgColor theme="2" tint="-0.249977111117893"/>
        <bgColor indexed="64"/>
      </patternFill>
    </fill>
    <fill>
      <patternFill patternType="solid">
        <fgColor theme="3" tint="0.59999389629810485"/>
        <bgColor indexed="64"/>
      </patternFill>
    </fill>
    <fill>
      <patternFill patternType="solid">
        <fgColor theme="7" tint="0.59999389629810485"/>
        <bgColor indexed="64"/>
      </patternFill>
    </fill>
    <fill>
      <patternFill patternType="solid">
        <fgColor theme="0"/>
        <bgColor indexed="64"/>
      </patternFill>
    </fill>
    <fill>
      <patternFill patternType="solid">
        <fgColor rgb="FFFF0000"/>
        <bgColor indexed="64"/>
      </patternFill>
    </fill>
    <fill>
      <patternFill patternType="solid">
        <fgColor rgb="FF00B0F0"/>
        <bgColor indexed="64"/>
      </patternFill>
    </fill>
  </fills>
  <borders count="94">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ck">
        <color indexed="64"/>
      </bottom>
      <diagonal/>
    </border>
    <border>
      <left/>
      <right/>
      <top style="thin">
        <color indexed="64"/>
      </top>
      <bottom style="thick">
        <color indexed="64"/>
      </bottom>
      <diagonal/>
    </border>
    <border>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top/>
      <bottom style="thick">
        <color indexed="64"/>
      </bottom>
      <diagonal/>
    </border>
    <border>
      <left style="thick">
        <color indexed="64"/>
      </left>
      <right style="hair">
        <color indexed="64"/>
      </right>
      <top style="thick">
        <color indexed="64"/>
      </top>
      <bottom style="double">
        <color indexed="64"/>
      </bottom>
      <diagonal/>
    </border>
    <border>
      <left style="hair">
        <color indexed="64"/>
      </left>
      <right/>
      <top style="thick">
        <color indexed="64"/>
      </top>
      <bottom style="double">
        <color indexed="64"/>
      </bottom>
      <diagonal/>
    </border>
    <border>
      <left style="hair">
        <color indexed="64"/>
      </left>
      <right style="hair">
        <color indexed="64"/>
      </right>
      <top style="thick">
        <color indexed="64"/>
      </top>
      <bottom style="double">
        <color indexed="64"/>
      </bottom>
      <diagonal/>
    </border>
    <border>
      <left/>
      <right style="hair">
        <color indexed="64"/>
      </right>
      <top style="thick">
        <color indexed="64"/>
      </top>
      <bottom style="double">
        <color indexed="64"/>
      </bottom>
      <diagonal/>
    </border>
    <border>
      <left style="hair">
        <color indexed="64"/>
      </left>
      <right/>
      <top style="thick">
        <color indexed="64"/>
      </top>
      <bottom/>
      <diagonal/>
    </border>
    <border>
      <left style="hair">
        <color indexed="64"/>
      </left>
      <right style="hair">
        <color indexed="64"/>
      </right>
      <top style="thick">
        <color indexed="64"/>
      </top>
      <bottom/>
      <diagonal/>
    </border>
    <border>
      <left style="hair">
        <color indexed="64"/>
      </left>
      <right style="thick">
        <color indexed="64"/>
      </right>
      <top style="thick">
        <color indexed="64"/>
      </top>
      <bottom style="double">
        <color indexed="64"/>
      </bottom>
      <diagonal/>
    </border>
    <border>
      <left style="thin">
        <color auto="1"/>
      </left>
      <right style="thin">
        <color auto="1"/>
      </right>
      <top style="thick">
        <color auto="1"/>
      </top>
      <bottom style="thin">
        <color auto="1"/>
      </bottom>
      <diagonal/>
    </border>
    <border>
      <left style="thick">
        <color indexed="64"/>
      </left>
      <right style="hair">
        <color indexed="64"/>
      </right>
      <top/>
      <bottom style="hair">
        <color indexed="64"/>
      </bottom>
      <diagonal/>
    </border>
    <border>
      <left style="hair">
        <color indexed="64"/>
      </left>
      <right/>
      <top style="double">
        <color indexed="64"/>
      </top>
      <bottom/>
      <diagonal/>
    </border>
    <border>
      <left style="hair">
        <color indexed="64"/>
      </left>
      <right style="hair">
        <color indexed="64"/>
      </right>
      <top style="double">
        <color indexed="64"/>
      </top>
      <bottom style="hair">
        <color indexed="64"/>
      </bottom>
      <diagonal/>
    </border>
    <border>
      <left style="hair">
        <color indexed="64"/>
      </left>
      <right style="hair">
        <color indexed="64"/>
      </right>
      <top/>
      <bottom style="hair">
        <color indexed="64"/>
      </bottom>
      <diagonal/>
    </border>
    <border>
      <left style="hair">
        <color indexed="64"/>
      </left>
      <right/>
      <top style="double">
        <color indexed="64"/>
      </top>
      <bottom style="hair">
        <color indexed="64"/>
      </bottom>
      <diagonal/>
    </border>
    <border>
      <left/>
      <right style="hair">
        <color indexed="64"/>
      </right>
      <top style="double">
        <color indexed="64"/>
      </top>
      <bottom style="hair">
        <color indexed="64"/>
      </bottom>
      <diagonal/>
    </border>
    <border>
      <left style="hair">
        <color indexed="64"/>
      </left>
      <right style="thick">
        <color indexed="64"/>
      </right>
      <top style="double">
        <color indexed="64"/>
      </top>
      <bottom style="hair">
        <color indexed="64"/>
      </bottom>
      <diagonal/>
    </border>
    <border>
      <left style="thick">
        <color indexed="64"/>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thick">
        <color indexed="64"/>
      </right>
      <top style="hair">
        <color indexed="64"/>
      </top>
      <bottom style="hair">
        <color indexed="64"/>
      </bottom>
      <diagonal/>
    </border>
    <border>
      <left style="thick">
        <color indexed="64"/>
      </left>
      <right style="hair">
        <color indexed="64"/>
      </right>
      <top style="hair">
        <color indexed="64"/>
      </top>
      <bottom style="hair">
        <color indexed="64"/>
      </bottom>
      <diagonal/>
    </border>
    <border>
      <left style="thick">
        <color indexed="64"/>
      </left>
      <right style="hair">
        <color indexed="64"/>
      </right>
      <top style="hair">
        <color indexed="64"/>
      </top>
      <bottom style="thick">
        <color indexed="64"/>
      </bottom>
      <diagonal/>
    </border>
    <border>
      <left style="hair">
        <color indexed="64"/>
      </left>
      <right style="hair">
        <color indexed="64"/>
      </right>
      <top style="hair">
        <color indexed="64"/>
      </top>
      <bottom style="thick">
        <color indexed="64"/>
      </bottom>
      <diagonal/>
    </border>
    <border>
      <left style="hair">
        <color indexed="64"/>
      </left>
      <right style="hair">
        <color indexed="64"/>
      </right>
      <top/>
      <bottom style="thick">
        <color indexed="64"/>
      </bottom>
      <diagonal/>
    </border>
    <border>
      <left style="hair">
        <color indexed="64"/>
      </left>
      <right/>
      <top style="hair">
        <color indexed="64"/>
      </top>
      <bottom style="thick">
        <color indexed="64"/>
      </bottom>
      <diagonal/>
    </border>
    <border>
      <left/>
      <right style="hair">
        <color indexed="64"/>
      </right>
      <top style="hair">
        <color indexed="64"/>
      </top>
      <bottom style="thick">
        <color indexed="64"/>
      </bottom>
      <diagonal/>
    </border>
    <border>
      <left style="hair">
        <color indexed="64"/>
      </left>
      <right style="thick">
        <color indexed="64"/>
      </right>
      <top style="hair">
        <color indexed="64"/>
      </top>
      <bottom style="thick">
        <color indexed="64"/>
      </bottom>
      <diagonal/>
    </border>
    <border>
      <left style="thick">
        <color indexed="64"/>
      </left>
      <right style="medium">
        <color indexed="64"/>
      </right>
      <top style="thick">
        <color indexed="64"/>
      </top>
      <bottom style="double">
        <color indexed="64"/>
      </bottom>
      <diagonal/>
    </border>
    <border>
      <left style="medium">
        <color indexed="64"/>
      </left>
      <right/>
      <top style="thick">
        <color indexed="64"/>
      </top>
      <bottom style="double">
        <color indexed="64"/>
      </bottom>
      <diagonal/>
    </border>
    <border>
      <left/>
      <right/>
      <top style="thick">
        <color indexed="64"/>
      </top>
      <bottom style="double">
        <color indexed="64"/>
      </bottom>
      <diagonal/>
    </border>
    <border>
      <left/>
      <right style="medium">
        <color indexed="64"/>
      </right>
      <top style="thick">
        <color indexed="64"/>
      </top>
      <bottom style="double">
        <color indexed="64"/>
      </bottom>
      <diagonal/>
    </border>
    <border>
      <left style="medium">
        <color indexed="64"/>
      </left>
      <right style="medium">
        <color indexed="64"/>
      </right>
      <top style="thick">
        <color indexed="64"/>
      </top>
      <bottom style="double">
        <color indexed="64"/>
      </bottom>
      <diagonal/>
    </border>
    <border>
      <left style="medium">
        <color indexed="64"/>
      </left>
      <right style="thick">
        <color indexed="64"/>
      </right>
      <top style="thick">
        <color indexed="64"/>
      </top>
      <bottom style="double">
        <color indexed="64"/>
      </bottom>
      <diagonal/>
    </border>
    <border>
      <left style="thick">
        <color indexed="64"/>
      </left>
      <right style="medium">
        <color indexed="64"/>
      </right>
      <top/>
      <bottom style="hair">
        <color indexed="64"/>
      </bottom>
      <diagonal/>
    </border>
    <border>
      <left style="medium">
        <color indexed="64"/>
      </left>
      <right style="medium">
        <color indexed="64"/>
      </right>
      <top/>
      <bottom style="hair">
        <color indexed="64"/>
      </bottom>
      <diagonal/>
    </border>
    <border>
      <left style="medium">
        <color indexed="64"/>
      </left>
      <right/>
      <top/>
      <bottom style="hair">
        <color indexed="64"/>
      </bottom>
      <diagonal/>
    </border>
    <border>
      <left style="medium">
        <color indexed="64"/>
      </left>
      <right style="medium">
        <color indexed="64"/>
      </right>
      <top style="double">
        <color indexed="64"/>
      </top>
      <bottom style="hair">
        <color indexed="64"/>
      </bottom>
      <diagonal/>
    </border>
    <border>
      <left style="thick">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style="thick">
        <color indexed="64"/>
      </left>
      <right style="medium">
        <color indexed="64"/>
      </right>
      <top/>
      <bottom style="thick">
        <color indexed="64"/>
      </bottom>
      <diagonal/>
    </border>
    <border>
      <left style="medium">
        <color indexed="64"/>
      </left>
      <right style="medium">
        <color indexed="64"/>
      </right>
      <top style="hair">
        <color indexed="64"/>
      </top>
      <bottom style="thick">
        <color indexed="64"/>
      </bottom>
      <diagonal/>
    </border>
    <border>
      <left style="medium">
        <color indexed="64"/>
      </left>
      <right/>
      <top style="hair">
        <color indexed="64"/>
      </top>
      <bottom style="thick">
        <color indexed="64"/>
      </bottom>
      <diagonal/>
    </border>
    <border>
      <left/>
      <right/>
      <top style="thick">
        <color indexed="64"/>
      </top>
      <bottom style="medium">
        <color indexed="64"/>
      </bottom>
      <diagonal/>
    </border>
    <border>
      <left style="thick">
        <color indexed="64"/>
      </left>
      <right/>
      <top style="medium">
        <color indexed="64"/>
      </top>
      <bottom style="double">
        <color indexed="64"/>
      </bottom>
      <diagonal/>
    </border>
    <border>
      <left style="medium">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style="medium">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style="thick">
        <color indexed="64"/>
      </right>
      <top style="medium">
        <color indexed="64"/>
      </top>
      <bottom style="double">
        <color indexed="64"/>
      </bottom>
      <diagonal/>
    </border>
    <border>
      <left style="thick">
        <color indexed="64"/>
      </left>
      <right/>
      <top/>
      <bottom style="hair">
        <color indexed="64"/>
      </bottom>
      <diagonal/>
    </border>
    <border>
      <left/>
      <right/>
      <top style="double">
        <color indexed="64"/>
      </top>
      <bottom style="hair">
        <color indexed="64"/>
      </bottom>
      <diagonal/>
    </border>
    <border>
      <left style="medium">
        <color indexed="64"/>
      </left>
      <right style="hair">
        <color indexed="64"/>
      </right>
      <top style="double">
        <color indexed="64"/>
      </top>
      <bottom style="hair">
        <color indexed="64"/>
      </bottom>
      <diagonal/>
    </border>
    <border>
      <left/>
      <right/>
      <top style="hair">
        <color indexed="64"/>
      </top>
      <bottom style="hair">
        <color indexed="64"/>
      </bottom>
      <diagonal/>
    </border>
    <border>
      <left style="medium">
        <color indexed="64"/>
      </left>
      <right style="hair">
        <color indexed="64"/>
      </right>
      <top style="hair">
        <color indexed="64"/>
      </top>
      <bottom style="hair">
        <color indexed="64"/>
      </bottom>
      <diagonal/>
    </border>
    <border>
      <left style="thick">
        <color indexed="64"/>
      </left>
      <right/>
      <top style="hair">
        <color indexed="64"/>
      </top>
      <bottom style="thick">
        <color indexed="64"/>
      </bottom>
      <diagonal/>
    </border>
    <border>
      <left/>
      <right/>
      <top style="hair">
        <color indexed="64"/>
      </top>
      <bottom style="thick">
        <color indexed="64"/>
      </bottom>
      <diagonal/>
    </border>
    <border>
      <left style="medium">
        <color indexed="64"/>
      </left>
      <right style="hair">
        <color indexed="64"/>
      </right>
      <top style="hair">
        <color indexed="64"/>
      </top>
      <bottom style="thick">
        <color indexed="64"/>
      </bottom>
      <diagonal/>
    </border>
    <border>
      <left style="medium">
        <color indexed="64"/>
      </left>
      <right/>
      <top style="double">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double">
        <color indexed="64"/>
      </top>
      <bottom style="hair">
        <color indexed="64"/>
      </bottom>
      <diagonal/>
    </border>
    <border>
      <left/>
      <right style="medium">
        <color indexed="64"/>
      </right>
      <top style="hair">
        <color indexed="64"/>
      </top>
      <bottom style="thick">
        <color indexed="64"/>
      </bottom>
      <diagonal/>
    </border>
    <border>
      <left style="thin">
        <color indexed="64"/>
      </left>
      <right style="thin">
        <color indexed="64"/>
      </right>
      <top/>
      <bottom/>
      <diagonal/>
    </border>
    <border>
      <left style="thin">
        <color indexed="64"/>
      </left>
      <right style="thin">
        <color indexed="64"/>
      </right>
      <top/>
      <bottom style="thick">
        <color indexed="64"/>
      </bottom>
      <diagonal/>
    </border>
    <border>
      <left/>
      <right style="thin">
        <color indexed="64"/>
      </right>
      <top/>
      <bottom style="thick">
        <color indexed="64"/>
      </bottom>
      <diagonal/>
    </border>
    <border>
      <left style="medium">
        <color indexed="64"/>
      </left>
      <right/>
      <top style="double">
        <color indexed="64"/>
      </top>
      <bottom/>
      <diagonal/>
    </border>
    <border>
      <left/>
      <right/>
      <top style="double">
        <color indexed="64"/>
      </top>
      <bottom/>
      <diagonal/>
    </border>
    <border>
      <left/>
      <right style="thick">
        <color indexed="64"/>
      </right>
      <top style="double">
        <color indexed="64"/>
      </top>
      <bottom/>
      <diagonal/>
    </border>
    <border>
      <left style="medium">
        <color indexed="64"/>
      </left>
      <right/>
      <top/>
      <bottom/>
      <diagonal/>
    </border>
    <border>
      <left/>
      <right style="thick">
        <color indexed="64"/>
      </right>
      <top/>
      <bottom/>
      <diagonal/>
    </border>
    <border>
      <left style="medium">
        <color indexed="64"/>
      </left>
      <right/>
      <top/>
      <bottom style="thick">
        <color indexed="64"/>
      </bottom>
      <diagonal/>
    </border>
    <border>
      <left/>
      <right style="thick">
        <color indexed="64"/>
      </right>
      <top/>
      <bottom style="thick">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hair">
        <color indexed="64"/>
      </left>
      <right style="hair">
        <color indexed="64"/>
      </right>
      <top style="double">
        <color indexed="64"/>
      </top>
      <bottom/>
      <diagonal/>
    </border>
    <border>
      <left style="thin">
        <color indexed="64"/>
      </left>
      <right/>
      <top/>
      <bottom/>
      <diagonal/>
    </border>
    <border>
      <left style="thin">
        <color indexed="64"/>
      </left>
      <right/>
      <top/>
      <bottom style="thick">
        <color indexed="64"/>
      </bottom>
      <diagonal/>
    </border>
  </borders>
  <cellStyleXfs count="3">
    <xf numFmtId="0" fontId="0" fillId="0" borderId="0"/>
    <xf numFmtId="0" fontId="1" fillId="0" borderId="0"/>
    <xf numFmtId="0" fontId="18" fillId="0" borderId="0" applyNumberFormat="0" applyFill="0" applyBorder="0" applyAlignment="0" applyProtection="0">
      <alignment vertical="top"/>
      <protection locked="0"/>
    </xf>
  </cellStyleXfs>
  <cellXfs count="311">
    <xf numFmtId="0" fontId="0" fillId="0" borderId="0" xfId="0"/>
    <xf numFmtId="0" fontId="2" fillId="2" borderId="0" xfId="0" applyFont="1" applyFill="1"/>
    <xf numFmtId="0" fontId="0" fillId="2" borderId="0" xfId="0" applyFill="1"/>
    <xf numFmtId="0" fontId="0" fillId="3" borderId="0" xfId="0" applyFill="1"/>
    <xf numFmtId="0" fontId="0" fillId="0" borderId="0" xfId="0" applyAlignment="1">
      <alignment horizontal="center"/>
    </xf>
    <xf numFmtId="0" fontId="4" fillId="0" borderId="0" xfId="0" applyFont="1" applyAlignment="1" applyProtection="1">
      <alignment horizontal="left" vertical="center"/>
      <protection locked="0"/>
    </xf>
    <xf numFmtId="0" fontId="7" fillId="0" borderId="0" xfId="0" applyFont="1" applyAlignment="1" applyProtection="1">
      <alignment vertical="center"/>
      <protection locked="0"/>
    </xf>
    <xf numFmtId="0" fontId="7" fillId="0" borderId="0" xfId="0" applyFont="1" applyAlignment="1" applyProtection="1">
      <alignment horizontal="center" vertical="center"/>
      <protection locked="0"/>
    </xf>
    <xf numFmtId="14" fontId="4" fillId="0" borderId="0" xfId="0" applyNumberFormat="1" applyFont="1" applyAlignment="1" applyProtection="1">
      <alignment horizontal="left" vertical="center"/>
      <protection locked="0"/>
    </xf>
    <xf numFmtId="164" fontId="11" fillId="0" borderId="0" xfId="0" applyNumberFormat="1" applyFont="1" applyAlignment="1" applyProtection="1">
      <alignment vertical="center"/>
      <protection locked="0"/>
    </xf>
    <xf numFmtId="0" fontId="17" fillId="0" borderId="0" xfId="0" applyFont="1" applyAlignment="1" applyProtection="1">
      <alignment horizontal="center" vertical="center"/>
      <protection locked="0"/>
    </xf>
    <xf numFmtId="0" fontId="7" fillId="0" borderId="4" xfId="0" applyFont="1" applyBorder="1" applyAlignment="1" applyProtection="1">
      <alignment horizontal="center" vertical="center"/>
      <protection locked="0"/>
    </xf>
    <xf numFmtId="0" fontId="5" fillId="8" borderId="14" xfId="0" applyFont="1" applyFill="1" applyBorder="1" applyAlignment="1" applyProtection="1">
      <alignment horizontal="center" vertical="center" wrapText="1"/>
      <protection locked="0"/>
    </xf>
    <xf numFmtId="0" fontId="5" fillId="7" borderId="15" xfId="0" applyFont="1" applyFill="1" applyBorder="1" applyAlignment="1" applyProtection="1">
      <alignment horizontal="center" vertical="center" wrapText="1"/>
      <protection locked="0"/>
    </xf>
    <xf numFmtId="0" fontId="5" fillId="7" borderId="16" xfId="0" applyFont="1" applyFill="1" applyBorder="1" applyAlignment="1" applyProtection="1">
      <alignment horizontal="center" vertical="center" wrapText="1"/>
      <protection locked="0"/>
    </xf>
    <xf numFmtId="0" fontId="5" fillId="7" borderId="17" xfId="0" applyFont="1" applyFill="1" applyBorder="1" applyAlignment="1" applyProtection="1">
      <alignment horizontal="center" vertical="center" wrapText="1"/>
      <protection locked="0"/>
    </xf>
    <xf numFmtId="0" fontId="5" fillId="7" borderId="18" xfId="0" applyFont="1" applyFill="1" applyBorder="1" applyAlignment="1" applyProtection="1">
      <alignment horizontal="center" vertical="center" wrapText="1"/>
      <protection locked="0"/>
    </xf>
    <xf numFmtId="0" fontId="5" fillId="9" borderId="19" xfId="0" applyFont="1" applyFill="1" applyBorder="1" applyAlignment="1" applyProtection="1">
      <alignment horizontal="center" vertical="center" wrapText="1"/>
      <protection locked="0"/>
    </xf>
    <xf numFmtId="0" fontId="5" fillId="8" borderId="15" xfId="0" applyFont="1" applyFill="1" applyBorder="1" applyAlignment="1" applyProtection="1">
      <alignment horizontal="center" vertical="center" wrapText="1"/>
      <protection locked="0"/>
    </xf>
    <xf numFmtId="164" fontId="5" fillId="11" borderId="20" xfId="0" applyNumberFormat="1" applyFont="1" applyFill="1" applyBorder="1" applyAlignment="1" applyProtection="1">
      <alignment horizontal="center" vertical="center"/>
      <protection locked="0"/>
    </xf>
    <xf numFmtId="0" fontId="9" fillId="12" borderId="21" xfId="0" applyFont="1" applyFill="1" applyBorder="1" applyAlignment="1">
      <alignment horizontal="center" vertical="center" wrapText="1"/>
    </xf>
    <xf numFmtId="0" fontId="9" fillId="0" borderId="21" xfId="0" applyFont="1" applyBorder="1" applyAlignment="1">
      <alignment horizontal="center" vertical="center" wrapText="1"/>
    </xf>
    <xf numFmtId="0" fontId="9" fillId="0" borderId="21" xfId="0" applyFont="1" applyBorder="1" applyAlignment="1" applyProtection="1">
      <alignment horizontal="center" vertical="center" wrapText="1"/>
      <protection locked="0"/>
    </xf>
    <xf numFmtId="0" fontId="9" fillId="0" borderId="21" xfId="0" applyFont="1" applyBorder="1" applyAlignment="1" applyProtection="1">
      <alignment horizontal="center" vertical="center"/>
      <protection locked="0"/>
    </xf>
    <xf numFmtId="0" fontId="9" fillId="0" borderId="21" xfId="0" applyFont="1" applyBorder="1" applyAlignment="1" applyProtection="1">
      <alignment vertical="center"/>
      <protection locked="0"/>
    </xf>
    <xf numFmtId="0" fontId="9" fillId="0" borderId="0" xfId="0" applyFont="1" applyAlignment="1" applyProtection="1">
      <alignment vertical="center"/>
      <protection locked="0"/>
    </xf>
    <xf numFmtId="0" fontId="9" fillId="0" borderId="4" xfId="0" applyFont="1" applyBorder="1" applyAlignment="1" applyProtection="1">
      <alignment horizontal="center" vertical="center"/>
      <protection locked="0"/>
    </xf>
    <xf numFmtId="0" fontId="9" fillId="0" borderId="4" xfId="0" applyFont="1" applyBorder="1" applyAlignment="1" applyProtection="1">
      <alignment horizontal="center" vertical="center" wrapText="1"/>
      <protection locked="0"/>
    </xf>
    <xf numFmtId="0" fontId="5" fillId="0" borderId="22" xfId="0" applyFont="1" applyBorder="1" applyAlignment="1" applyProtection="1">
      <alignment horizontal="center" vertical="center"/>
      <protection locked="0"/>
    </xf>
    <xf numFmtId="0" fontId="19" fillId="0" borderId="23" xfId="0" applyFont="1" applyBorder="1" applyAlignment="1" applyProtection="1">
      <alignment horizontal="center" vertical="center" wrapText="1"/>
      <protection locked="0"/>
    </xf>
    <xf numFmtId="0" fontId="19" fillId="0" borderId="24" xfId="0" applyFont="1" applyBorder="1" applyAlignment="1" applyProtection="1">
      <alignment horizontal="center" vertical="center"/>
      <protection locked="0"/>
    </xf>
    <xf numFmtId="0" fontId="19" fillId="0" borderId="25" xfId="0" applyFont="1" applyBorder="1" applyAlignment="1" applyProtection="1">
      <alignment horizontal="center" vertical="center"/>
      <protection locked="0"/>
    </xf>
    <xf numFmtId="0" fontId="19" fillId="0" borderId="24" xfId="0" applyFont="1" applyBorder="1" applyAlignment="1" applyProtection="1">
      <alignment horizontal="center" vertical="center" wrapText="1"/>
      <protection locked="0"/>
    </xf>
    <xf numFmtId="0" fontId="19" fillId="0" borderId="24" xfId="0" applyFont="1" applyBorder="1" applyAlignment="1" applyProtection="1">
      <alignment horizontal="center" vertical="center" wrapText="1" shrinkToFit="1"/>
      <protection locked="0"/>
    </xf>
    <xf numFmtId="0" fontId="19" fillId="0" borderId="24" xfId="0" applyFont="1" applyBorder="1" applyAlignment="1" applyProtection="1">
      <alignment horizontal="center" vertical="center" shrinkToFit="1"/>
      <protection locked="0"/>
    </xf>
    <xf numFmtId="0" fontId="7" fillId="0" borderId="24" xfId="0" applyFont="1" applyBorder="1" applyAlignment="1" applyProtection="1">
      <alignment horizontal="center" vertical="center"/>
      <protection locked="0"/>
    </xf>
    <xf numFmtId="164" fontId="11" fillId="11" borderId="28" xfId="0" applyNumberFormat="1" applyFont="1" applyFill="1" applyBorder="1" applyAlignment="1">
      <alignment horizontal="center" vertical="center"/>
    </xf>
    <xf numFmtId="0" fontId="19" fillId="0" borderId="24" xfId="0" applyFont="1" applyBorder="1" applyAlignment="1">
      <alignment horizontal="center" vertical="center" wrapText="1" shrinkToFit="1"/>
    </xf>
    <xf numFmtId="0" fontId="19" fillId="0" borderId="4" xfId="0" applyFont="1" applyBorder="1" applyAlignment="1">
      <alignment horizontal="center" vertical="center" wrapText="1"/>
    </xf>
    <xf numFmtId="0" fontId="7" fillId="0" borderId="4" xfId="0" applyFont="1" applyBorder="1" applyAlignment="1">
      <alignment horizontal="center" vertical="center"/>
    </xf>
    <xf numFmtId="0" fontId="7" fillId="0" borderId="4" xfId="0" applyFont="1" applyBorder="1" applyAlignment="1" applyProtection="1">
      <alignment vertical="center"/>
      <protection locked="0"/>
    </xf>
    <xf numFmtId="0" fontId="9" fillId="0" borderId="4" xfId="0" applyFont="1" applyBorder="1" applyAlignment="1" applyProtection="1">
      <alignment vertical="center"/>
      <protection locked="0"/>
    </xf>
    <xf numFmtId="0" fontId="5" fillId="0" borderId="29" xfId="0" applyFont="1" applyBorder="1" applyAlignment="1" applyProtection="1">
      <alignment horizontal="center" vertical="center"/>
      <protection locked="0"/>
    </xf>
    <xf numFmtId="0" fontId="19" fillId="0" borderId="30" xfId="0" applyFont="1" applyBorder="1" applyAlignment="1" applyProtection="1">
      <alignment horizontal="center" vertical="center" wrapText="1"/>
      <protection locked="0"/>
    </xf>
    <xf numFmtId="0" fontId="19" fillId="0" borderId="30" xfId="0" applyFont="1" applyBorder="1" applyAlignment="1" applyProtection="1">
      <alignment horizontal="center" vertical="center"/>
      <protection locked="0"/>
    </xf>
    <xf numFmtId="0" fontId="19" fillId="0" borderId="30" xfId="0" applyFont="1" applyBorder="1" applyAlignment="1" applyProtection="1">
      <alignment horizontal="center" vertical="center" wrapText="1" shrinkToFit="1"/>
      <protection locked="0"/>
    </xf>
    <xf numFmtId="0" fontId="19" fillId="0" borderId="30" xfId="0" applyFont="1" applyBorder="1" applyAlignment="1" applyProtection="1">
      <alignment horizontal="center" vertical="center" shrinkToFit="1"/>
      <protection locked="0"/>
    </xf>
    <xf numFmtId="0" fontId="7" fillId="0" borderId="30" xfId="0" applyFont="1" applyBorder="1" applyAlignment="1" applyProtection="1">
      <alignment horizontal="center" vertical="center"/>
      <protection locked="0"/>
    </xf>
    <xf numFmtId="164" fontId="11" fillId="11" borderId="33" xfId="0" applyNumberFormat="1" applyFont="1" applyFill="1" applyBorder="1" applyAlignment="1">
      <alignment horizontal="center" vertical="center"/>
    </xf>
    <xf numFmtId="0" fontId="19" fillId="0" borderId="30" xfId="0" applyFont="1" applyBorder="1" applyAlignment="1">
      <alignment horizontal="center" vertical="center" wrapText="1" shrinkToFit="1"/>
    </xf>
    <xf numFmtId="0" fontId="5" fillId="0" borderId="34" xfId="0" applyFont="1" applyBorder="1" applyAlignment="1" applyProtection="1">
      <alignment horizontal="center" vertical="center"/>
      <protection locked="0"/>
    </xf>
    <xf numFmtId="0" fontId="19" fillId="0" borderId="31" xfId="0" applyFont="1" applyBorder="1" applyAlignment="1" applyProtection="1">
      <alignment horizontal="center" vertical="center" wrapText="1"/>
      <protection locked="0"/>
    </xf>
    <xf numFmtId="0" fontId="5" fillId="0" borderId="35" xfId="0" applyFont="1" applyBorder="1" applyAlignment="1" applyProtection="1">
      <alignment horizontal="center" vertical="center"/>
      <protection locked="0"/>
    </xf>
    <xf numFmtId="0" fontId="19" fillId="0" borderId="36" xfId="0" applyFont="1" applyBorder="1" applyAlignment="1" applyProtection="1">
      <alignment horizontal="center" vertical="center" wrapText="1"/>
      <protection locked="0"/>
    </xf>
    <xf numFmtId="0" fontId="19" fillId="0" borderId="37" xfId="0" applyFont="1" applyBorder="1" applyAlignment="1" applyProtection="1">
      <alignment horizontal="center" vertical="center"/>
      <protection locked="0"/>
    </xf>
    <xf numFmtId="0" fontId="19" fillId="0" borderId="36" xfId="0" applyFont="1" applyBorder="1" applyAlignment="1" applyProtection="1">
      <alignment horizontal="center" vertical="center"/>
      <protection locked="0"/>
    </xf>
    <xf numFmtId="0" fontId="19" fillId="0" borderId="36" xfId="0" applyFont="1" applyBorder="1" applyAlignment="1" applyProtection="1">
      <alignment horizontal="center" vertical="center" wrapText="1" shrinkToFit="1"/>
      <protection locked="0"/>
    </xf>
    <xf numFmtId="0" fontId="19" fillId="0" borderId="36" xfId="0" applyFont="1" applyBorder="1" applyAlignment="1" applyProtection="1">
      <alignment horizontal="center" vertical="center" shrinkToFit="1"/>
      <protection locked="0"/>
    </xf>
    <xf numFmtId="0" fontId="7" fillId="0" borderId="36" xfId="0" applyFont="1" applyBorder="1" applyAlignment="1" applyProtection="1">
      <alignment horizontal="center" vertical="center"/>
      <protection locked="0"/>
    </xf>
    <xf numFmtId="164" fontId="11" fillId="11" borderId="40" xfId="0" applyNumberFormat="1" applyFont="1" applyFill="1" applyBorder="1" applyAlignment="1">
      <alignment horizontal="center" vertical="center"/>
    </xf>
    <xf numFmtId="0" fontId="19" fillId="0" borderId="12" xfId="0" applyFont="1" applyBorder="1" applyAlignment="1">
      <alignment horizontal="center" vertical="center" wrapText="1"/>
    </xf>
    <xf numFmtId="0" fontId="7" fillId="0" borderId="12" xfId="0" applyFont="1" applyBorder="1" applyAlignment="1">
      <alignment horizontal="center" vertical="center"/>
    </xf>
    <xf numFmtId="0" fontId="7" fillId="0" borderId="12" xfId="0" applyFont="1" applyBorder="1" applyAlignment="1" applyProtection="1">
      <alignment vertical="center"/>
      <protection locked="0"/>
    </xf>
    <xf numFmtId="0" fontId="7" fillId="0" borderId="12" xfId="0" applyFont="1" applyBorder="1" applyAlignment="1" applyProtection="1">
      <alignment horizontal="center" vertical="center"/>
      <protection locked="0"/>
    </xf>
    <xf numFmtId="0" fontId="7" fillId="0" borderId="0" xfId="0" applyFont="1" applyAlignment="1" applyProtection="1">
      <alignment horizontal="center" vertical="center" wrapText="1"/>
      <protection locked="0"/>
    </xf>
    <xf numFmtId="0" fontId="20" fillId="0" borderId="13" xfId="0" applyFont="1" applyBorder="1" applyAlignment="1" applyProtection="1">
      <alignment vertical="center" wrapText="1"/>
      <protection locked="0"/>
    </xf>
    <xf numFmtId="0" fontId="7" fillId="0" borderId="13" xfId="0" applyFont="1" applyBorder="1" applyAlignment="1" applyProtection="1">
      <alignment vertical="center"/>
      <protection locked="0"/>
    </xf>
    <xf numFmtId="0" fontId="5" fillId="13" borderId="41" xfId="0" applyFont="1" applyFill="1" applyBorder="1" applyAlignment="1" applyProtection="1">
      <alignment horizontal="center" vertical="center" wrapText="1"/>
      <protection locked="0"/>
    </xf>
    <xf numFmtId="0" fontId="4" fillId="0" borderId="0" xfId="0" applyFont="1" applyAlignment="1" applyProtection="1">
      <alignment horizontal="left" vertical="top"/>
      <protection locked="0"/>
    </xf>
    <xf numFmtId="0" fontId="5" fillId="0" borderId="47" xfId="0" applyFont="1" applyBorder="1" applyAlignment="1" applyProtection="1">
      <alignment horizontal="center" vertical="center"/>
      <protection locked="0"/>
    </xf>
    <xf numFmtId="0" fontId="7" fillId="0" borderId="0" xfId="0" applyFont="1" applyAlignment="1" applyProtection="1">
      <alignment horizontal="left" vertical="top" wrapText="1"/>
      <protection locked="0"/>
    </xf>
    <xf numFmtId="0" fontId="5" fillId="0" borderId="51" xfId="0" applyFont="1" applyBorder="1" applyAlignment="1" applyProtection="1">
      <alignment horizontal="center" vertical="center"/>
      <protection locked="0"/>
    </xf>
    <xf numFmtId="0" fontId="5" fillId="0" borderId="54" xfId="0" applyFont="1" applyBorder="1" applyAlignment="1" applyProtection="1">
      <alignment horizontal="center" vertical="center"/>
      <protection locked="0"/>
    </xf>
    <xf numFmtId="0" fontId="4" fillId="0" borderId="0" xfId="0" applyFont="1" applyAlignment="1" applyProtection="1">
      <alignment horizontal="center" vertical="center"/>
      <protection locked="0"/>
    </xf>
    <xf numFmtId="0" fontId="21" fillId="0" borderId="57" xfId="0" applyFont="1" applyBorder="1" applyAlignment="1" applyProtection="1">
      <alignment vertical="center"/>
      <protection locked="0"/>
    </xf>
    <xf numFmtId="0" fontId="4" fillId="0" borderId="0" xfId="0" applyFont="1" applyAlignment="1" applyProtection="1">
      <alignment horizontal="left" vertical="top" wrapText="1"/>
      <protection locked="0"/>
    </xf>
    <xf numFmtId="0" fontId="9" fillId="0" borderId="0" xfId="0" applyFont="1" applyAlignment="1" applyProtection="1">
      <alignment horizontal="center"/>
      <protection locked="0"/>
    </xf>
    <xf numFmtId="0" fontId="5" fillId="0" borderId="64" xfId="0" applyFont="1" applyBorder="1" applyAlignment="1" applyProtection="1">
      <alignment horizontal="center" vertical="center"/>
      <protection locked="0"/>
    </xf>
    <xf numFmtId="0" fontId="12" fillId="0" borderId="50" xfId="0" applyFont="1" applyBorder="1" applyAlignment="1" applyProtection="1">
      <alignment horizontal="center" vertical="center" wrapText="1"/>
      <protection locked="0"/>
    </xf>
    <xf numFmtId="0" fontId="19" fillId="0" borderId="65" xfId="0" applyFont="1" applyBorder="1" applyAlignment="1" applyProtection="1">
      <alignment horizontal="center" vertical="center"/>
      <protection locked="0"/>
    </xf>
    <xf numFmtId="0" fontId="22" fillId="0" borderId="0" xfId="0" applyFont="1" applyAlignment="1" applyProtection="1">
      <alignment horizontal="center" vertical="center"/>
      <protection locked="0"/>
    </xf>
    <xf numFmtId="0" fontId="7" fillId="3" borderId="0" xfId="0" applyFont="1" applyFill="1" applyAlignment="1" applyProtection="1">
      <alignment horizontal="center" vertical="center"/>
      <protection locked="0"/>
    </xf>
    <xf numFmtId="0" fontId="19" fillId="0" borderId="67" xfId="0" applyFont="1" applyBorder="1" applyAlignment="1" applyProtection="1">
      <alignment horizontal="center" vertical="center"/>
      <protection locked="0"/>
    </xf>
    <xf numFmtId="0" fontId="5" fillId="0" borderId="69" xfId="0" applyFont="1" applyBorder="1" applyAlignment="1" applyProtection="1">
      <alignment horizontal="center" vertical="center"/>
      <protection locked="0"/>
    </xf>
    <xf numFmtId="0" fontId="19" fillId="0" borderId="70" xfId="0" applyFont="1" applyBorder="1" applyAlignment="1" applyProtection="1">
      <alignment horizontal="center" vertical="center"/>
      <protection locked="0"/>
    </xf>
    <xf numFmtId="0" fontId="0" fillId="0" borderId="4" xfId="0" applyBorder="1"/>
    <xf numFmtId="0" fontId="0" fillId="3" borderId="4" xfId="0" applyFill="1" applyBorder="1"/>
    <xf numFmtId="0" fontId="0" fillId="3" borderId="0" xfId="0" applyFill="1" applyAlignment="1">
      <alignment horizontal="center"/>
    </xf>
    <xf numFmtId="0" fontId="9" fillId="0" borderId="0" xfId="0" applyFont="1" applyAlignment="1" applyProtection="1">
      <alignment horizontal="center" vertical="center"/>
      <protection locked="0"/>
    </xf>
    <xf numFmtId="0" fontId="0" fillId="0" borderId="4" xfId="0" applyBorder="1" applyAlignment="1">
      <alignment horizontal="center"/>
    </xf>
    <xf numFmtId="0" fontId="0" fillId="0" borderId="5" xfId="0" applyBorder="1" applyAlignment="1">
      <alignment horizontal="center"/>
    </xf>
    <xf numFmtId="0" fontId="5" fillId="0" borderId="6" xfId="0" applyFont="1" applyBorder="1" applyAlignment="1" applyProtection="1">
      <alignment horizontal="left" vertical="center"/>
      <protection locked="0"/>
    </xf>
    <xf numFmtId="0" fontId="15" fillId="0" borderId="6" xfId="0" applyFont="1" applyBorder="1" applyAlignment="1" applyProtection="1">
      <alignment horizontal="center" vertical="center"/>
      <protection locked="0"/>
    </xf>
    <xf numFmtId="0" fontId="19" fillId="0" borderId="72" xfId="0" applyFont="1" applyBorder="1" applyAlignment="1" applyProtection="1">
      <alignment horizontal="center" vertical="center"/>
      <protection locked="0"/>
    </xf>
    <xf numFmtId="0" fontId="19" fillId="0" borderId="53" xfId="0" applyFont="1" applyBorder="1" applyAlignment="1" applyProtection="1">
      <alignment horizontal="center" vertical="center"/>
      <protection locked="0"/>
    </xf>
    <xf numFmtId="0" fontId="19" fillId="0" borderId="56" xfId="0" applyFont="1" applyBorder="1" applyAlignment="1" applyProtection="1">
      <alignment horizontal="center" vertical="center"/>
      <protection locked="0"/>
    </xf>
    <xf numFmtId="0" fontId="24" fillId="0" borderId="4" xfId="0" applyFont="1" applyBorder="1" applyAlignment="1">
      <alignment horizontal="center"/>
    </xf>
    <xf numFmtId="0" fontId="25" fillId="10" borderId="4" xfId="0" applyFont="1" applyFill="1" applyBorder="1" applyAlignment="1">
      <alignment horizontal="center"/>
    </xf>
    <xf numFmtId="0" fontId="25" fillId="17" borderId="4" xfId="0" applyFont="1" applyFill="1" applyBorder="1" applyAlignment="1">
      <alignment horizontal="center"/>
    </xf>
    <xf numFmtId="0" fontId="0" fillId="18" borderId="4" xfId="0" applyFill="1" applyBorder="1"/>
    <xf numFmtId="0" fontId="0" fillId="3" borderId="4" xfId="0" applyFill="1" applyBorder="1" applyAlignment="1">
      <alignment horizontal="center"/>
    </xf>
    <xf numFmtId="0" fontId="19" fillId="0" borderId="36" xfId="0" applyFont="1" applyBorder="1" applyAlignment="1">
      <alignment horizontal="center" vertical="center" wrapText="1" shrinkToFit="1"/>
    </xf>
    <xf numFmtId="0" fontId="5" fillId="12" borderId="15" xfId="0" applyFont="1" applyFill="1" applyBorder="1" applyAlignment="1" applyProtection="1">
      <alignment horizontal="center" vertical="center" wrapText="1"/>
      <protection locked="0"/>
    </xf>
    <xf numFmtId="0" fontId="26" fillId="0" borderId="0" xfId="0" applyFont="1" applyAlignment="1" applyProtection="1">
      <alignment vertical="center"/>
      <protection locked="0"/>
    </xf>
    <xf numFmtId="0" fontId="27" fillId="0" borderId="4" xfId="0" applyFont="1" applyBorder="1" applyAlignment="1" applyProtection="1">
      <alignment vertical="center"/>
      <protection locked="0"/>
    </xf>
    <xf numFmtId="0" fontId="27" fillId="0" borderId="4" xfId="0" applyFont="1" applyBorder="1" applyAlignment="1" applyProtection="1">
      <alignment horizontal="center" vertical="center"/>
      <protection locked="0"/>
    </xf>
    <xf numFmtId="0" fontId="26" fillId="0" borderId="0" xfId="0" applyFont="1" applyAlignment="1" applyProtection="1">
      <alignment horizontal="center" vertical="center"/>
      <protection locked="0"/>
    </xf>
    <xf numFmtId="0" fontId="26" fillId="0" borderId="4" xfId="0" applyFont="1" applyBorder="1" applyAlignment="1" applyProtection="1">
      <alignment horizontal="center" vertical="center"/>
      <protection locked="0"/>
    </xf>
    <xf numFmtId="0" fontId="27" fillId="0" borderId="4" xfId="0" applyFont="1" applyBorder="1" applyAlignment="1" applyProtection="1">
      <alignment horizontal="center" vertical="center" wrapText="1"/>
      <protection locked="0"/>
    </xf>
    <xf numFmtId="0" fontId="27" fillId="12" borderId="21" xfId="0" applyFont="1" applyFill="1" applyBorder="1" applyAlignment="1">
      <alignment horizontal="center" vertical="center" wrapText="1"/>
    </xf>
    <xf numFmtId="0" fontId="26" fillId="0" borderId="4" xfId="0" applyFont="1" applyBorder="1" applyAlignment="1">
      <alignment horizontal="center" vertical="center"/>
    </xf>
    <xf numFmtId="0" fontId="17" fillId="0" borderId="77" xfId="2" applyFont="1" applyBorder="1" applyAlignment="1">
      <alignment horizontal="center" vertical="center"/>
      <protection locked="0"/>
    </xf>
    <xf numFmtId="0" fontId="9" fillId="4" borderId="58" xfId="0" applyFont="1" applyFill="1" applyBorder="1" applyAlignment="1" applyProtection="1">
      <alignment horizontal="center" vertical="center" wrapText="1"/>
      <protection locked="0"/>
    </xf>
    <xf numFmtId="0" fontId="9" fillId="4" borderId="59" xfId="0" applyFont="1" applyFill="1" applyBorder="1" applyAlignment="1" applyProtection="1">
      <alignment horizontal="center" vertical="center" wrapText="1"/>
      <protection locked="0"/>
    </xf>
    <xf numFmtId="0" fontId="9" fillId="4" borderId="60" xfId="0" applyFont="1" applyFill="1" applyBorder="1" applyAlignment="1" applyProtection="1">
      <alignment horizontal="center" vertical="center" wrapText="1"/>
      <protection locked="0"/>
    </xf>
    <xf numFmtId="0" fontId="9" fillId="4" borderId="61" xfId="0" applyFont="1" applyFill="1" applyBorder="1" applyAlignment="1" applyProtection="1">
      <alignment horizontal="center" vertical="center"/>
      <protection locked="0"/>
    </xf>
    <xf numFmtId="0" fontId="9" fillId="0" borderId="0" xfId="0" applyFont="1" applyAlignment="1" applyProtection="1">
      <alignment horizontal="center" vertical="center" wrapText="1"/>
      <protection locked="0"/>
    </xf>
    <xf numFmtId="0" fontId="27" fillId="0" borderId="0" xfId="0" applyFont="1" applyAlignment="1" applyProtection="1">
      <alignment horizontal="center" vertical="center"/>
      <protection locked="0"/>
    </xf>
    <xf numFmtId="0" fontId="28" fillId="0" borderId="0" xfId="0" applyFont="1" applyAlignment="1" applyProtection="1">
      <alignment horizontal="center" vertical="center"/>
      <protection locked="0"/>
    </xf>
    <xf numFmtId="0" fontId="29" fillId="0" borderId="21" xfId="0" applyFont="1" applyBorder="1" applyAlignment="1" applyProtection="1">
      <alignment horizontal="center" vertical="center"/>
      <protection locked="0"/>
    </xf>
    <xf numFmtId="0" fontId="28" fillId="0" borderId="4" xfId="0" applyFont="1" applyBorder="1" applyAlignment="1" applyProtection="1">
      <alignment horizontal="center" vertical="center"/>
      <protection locked="0"/>
    </xf>
    <xf numFmtId="0" fontId="29" fillId="0" borderId="0" xfId="0" applyFont="1" applyAlignment="1" applyProtection="1">
      <alignment horizontal="center" vertical="center"/>
      <protection locked="0"/>
    </xf>
    <xf numFmtId="0" fontId="0" fillId="0" borderId="76" xfId="0" applyBorder="1"/>
    <xf numFmtId="0" fontId="28" fillId="0" borderId="0" xfId="0" applyFont="1" applyAlignment="1" applyProtection="1">
      <alignment vertical="center"/>
      <protection locked="0"/>
    </xf>
    <xf numFmtId="0" fontId="29" fillId="0" borderId="4" xfId="0" applyFont="1" applyBorder="1" applyAlignment="1" applyProtection="1">
      <alignment vertical="center"/>
      <protection locked="0"/>
    </xf>
    <xf numFmtId="0" fontId="30" fillId="2" borderId="0" xfId="0" applyFont="1" applyFill="1"/>
    <xf numFmtId="0" fontId="29" fillId="12" borderId="21" xfId="0" applyFont="1" applyFill="1" applyBorder="1" applyAlignment="1">
      <alignment horizontal="center" vertical="center" wrapText="1"/>
    </xf>
    <xf numFmtId="0" fontId="28" fillId="0" borderId="4" xfId="0" applyFont="1" applyBorder="1" applyAlignment="1">
      <alignment horizontal="center" vertical="center"/>
    </xf>
    <xf numFmtId="0" fontId="29" fillId="0" borderId="21" xfId="0" applyFont="1" applyBorder="1" applyAlignment="1" applyProtection="1">
      <alignment horizontal="center" vertical="center" wrapText="1"/>
      <protection locked="0"/>
    </xf>
    <xf numFmtId="0" fontId="28" fillId="0" borderId="4" xfId="0" applyFont="1" applyBorder="1" applyAlignment="1" applyProtection="1">
      <alignment vertical="center"/>
      <protection locked="0"/>
    </xf>
    <xf numFmtId="0" fontId="31" fillId="0" borderId="0" xfId="0" applyFont="1" applyAlignment="1" applyProtection="1">
      <alignment horizontal="center" vertical="center"/>
      <protection locked="0"/>
    </xf>
    <xf numFmtId="0" fontId="14" fillId="0" borderId="0" xfId="0" applyFont="1" applyAlignment="1" applyProtection="1">
      <alignment horizontal="center" vertical="center"/>
      <protection locked="0"/>
    </xf>
    <xf numFmtId="0" fontId="32" fillId="0" borderId="21" xfId="0" applyFont="1" applyBorder="1" applyAlignment="1" applyProtection="1">
      <alignment horizontal="center" vertical="center" wrapText="1"/>
      <protection locked="0"/>
    </xf>
    <xf numFmtId="0" fontId="33" fillId="0" borderId="4" xfId="0" applyFont="1" applyBorder="1" applyAlignment="1" applyProtection="1">
      <alignment vertical="center"/>
      <protection locked="0"/>
    </xf>
    <xf numFmtId="0" fontId="7" fillId="0" borderId="4"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locked="0"/>
    </xf>
    <xf numFmtId="0" fontId="4" fillId="0" borderId="4" xfId="0" applyFont="1" applyBorder="1" applyAlignment="1" applyProtection="1">
      <alignment vertical="center"/>
      <protection locked="0"/>
    </xf>
    <xf numFmtId="0" fontId="34" fillId="0" borderId="4" xfId="0" applyFont="1" applyBorder="1"/>
    <xf numFmtId="0" fontId="34" fillId="3" borderId="4" xfId="0" applyFont="1" applyFill="1" applyBorder="1"/>
    <xf numFmtId="0" fontId="0" fillId="4" borderId="0" xfId="0" applyFill="1"/>
    <xf numFmtId="0" fontId="0" fillId="19" borderId="0" xfId="0" applyFill="1"/>
    <xf numFmtId="0" fontId="0" fillId="2" borderId="4" xfId="0" applyFill="1" applyBorder="1"/>
    <xf numFmtId="0" fontId="0" fillId="4" borderId="4" xfId="0" applyFill="1" applyBorder="1"/>
    <xf numFmtId="0" fontId="15" fillId="0" borderId="4" xfId="0" applyFont="1" applyBorder="1" applyAlignment="1" applyProtection="1">
      <alignment horizontal="center" vertical="center" shrinkToFit="1"/>
      <protection locked="0"/>
    </xf>
    <xf numFmtId="0" fontId="15" fillId="0" borderId="4" xfId="0" applyFont="1" applyBorder="1" applyAlignment="1" applyProtection="1">
      <alignment horizontal="center" vertical="center"/>
      <protection locked="0"/>
    </xf>
    <xf numFmtId="0" fontId="37" fillId="0" borderId="0" xfId="0" applyFont="1" applyAlignment="1">
      <alignment vertical="center"/>
    </xf>
    <xf numFmtId="0" fontId="9" fillId="15" borderId="61" xfId="0" applyFont="1" applyFill="1" applyBorder="1" applyAlignment="1" applyProtection="1">
      <alignment horizontal="center" vertical="center"/>
      <protection locked="0"/>
    </xf>
    <xf numFmtId="0" fontId="8" fillId="0" borderId="4" xfId="0" applyFont="1" applyBorder="1" applyAlignment="1" applyProtection="1">
      <alignment horizontal="center" vertical="center"/>
      <protection locked="0"/>
    </xf>
    <xf numFmtId="0" fontId="0" fillId="19" borderId="0" xfId="0" applyFill="1" applyAlignment="1">
      <alignment horizontal="center"/>
    </xf>
    <xf numFmtId="0" fontId="19" fillId="0" borderId="52" xfId="0" applyFont="1" applyBorder="1" applyAlignment="1" applyProtection="1">
      <alignment horizontal="center" vertical="center"/>
      <protection locked="0"/>
    </xf>
    <xf numFmtId="0" fontId="19" fillId="0" borderId="50" xfId="0" applyFont="1" applyBorder="1" applyAlignment="1" applyProtection="1">
      <alignment horizontal="center" vertical="center"/>
      <protection locked="0"/>
    </xf>
    <xf numFmtId="0" fontId="19" fillId="0" borderId="55" xfId="0" applyFont="1" applyBorder="1" applyAlignment="1" applyProtection="1">
      <alignment horizontal="center" vertical="center"/>
      <protection locked="0"/>
    </xf>
    <xf numFmtId="0" fontId="8" fillId="0" borderId="88" xfId="0" applyFont="1" applyBorder="1" applyAlignment="1" applyProtection="1">
      <alignment horizontal="center" vertical="center"/>
      <protection locked="0"/>
    </xf>
    <xf numFmtId="0" fontId="4" fillId="0" borderId="76" xfId="0" applyFont="1" applyBorder="1" applyAlignment="1" applyProtection="1">
      <alignment horizontal="center" vertical="center" shrinkToFit="1"/>
      <protection locked="0"/>
    </xf>
    <xf numFmtId="0" fontId="4" fillId="0" borderId="76" xfId="0" applyFont="1" applyBorder="1" applyAlignment="1" applyProtection="1">
      <alignment horizontal="center" vertical="center"/>
      <protection locked="0"/>
    </xf>
    <xf numFmtId="0" fontId="14" fillId="0" borderId="76" xfId="0" applyFont="1" applyBorder="1" applyAlignment="1" applyProtection="1">
      <alignment vertical="center" wrapText="1"/>
      <protection locked="0"/>
    </xf>
    <xf numFmtId="0" fontId="14" fillId="0" borderId="89" xfId="0" applyFont="1" applyBorder="1" applyAlignment="1" applyProtection="1">
      <alignment vertical="center" wrapText="1"/>
      <protection locked="0"/>
    </xf>
    <xf numFmtId="0" fontId="19" fillId="0" borderId="91" xfId="0" applyFont="1" applyBorder="1" applyAlignment="1" applyProtection="1">
      <alignment horizontal="center" vertical="center"/>
      <protection locked="0"/>
    </xf>
    <xf numFmtId="0" fontId="19" fillId="0" borderId="91" xfId="0" applyFont="1" applyBorder="1" applyAlignment="1" applyProtection="1">
      <alignment horizontal="center" vertical="center" wrapText="1" shrinkToFit="1"/>
      <protection locked="0"/>
    </xf>
    <xf numFmtId="0" fontId="32" fillId="3" borderId="4" xfId="0" applyFont="1" applyFill="1" applyBorder="1" applyAlignment="1" applyProtection="1">
      <alignment horizontal="center" vertical="center"/>
      <protection locked="0"/>
    </xf>
    <xf numFmtId="0" fontId="32" fillId="0" borderId="4" xfId="0" applyFont="1" applyBorder="1" applyAlignment="1" applyProtection="1">
      <alignment horizontal="center" vertical="center"/>
      <protection locked="0"/>
    </xf>
    <xf numFmtId="0" fontId="5" fillId="7" borderId="19" xfId="0" applyFont="1" applyFill="1" applyBorder="1" applyAlignment="1" applyProtection="1">
      <alignment horizontal="center" vertical="center" wrapText="1"/>
      <protection locked="0"/>
    </xf>
    <xf numFmtId="0" fontId="5" fillId="13" borderId="42" xfId="0" applyFont="1" applyFill="1" applyBorder="1" applyAlignment="1" applyProtection="1">
      <alignment horizontal="center" vertical="center" wrapText="1"/>
      <protection locked="0"/>
    </xf>
    <xf numFmtId="0" fontId="5" fillId="13" borderId="43" xfId="0" applyFont="1" applyFill="1" applyBorder="1" applyAlignment="1" applyProtection="1">
      <alignment horizontal="center" vertical="center" wrapText="1"/>
      <protection locked="0"/>
    </xf>
    <xf numFmtId="0" fontId="5" fillId="13" borderId="44" xfId="0" applyFont="1" applyFill="1" applyBorder="1" applyAlignment="1" applyProtection="1">
      <alignment horizontal="center" vertical="center" wrapText="1"/>
      <protection locked="0"/>
    </xf>
    <xf numFmtId="0" fontId="19" fillId="0" borderId="53" xfId="0" applyFont="1" applyBorder="1" applyAlignment="1" applyProtection="1">
      <alignment horizontal="center" vertical="center"/>
      <protection locked="0"/>
    </xf>
    <xf numFmtId="0" fontId="19" fillId="0" borderId="67" xfId="0" applyFont="1" applyBorder="1" applyAlignment="1" applyProtection="1">
      <alignment horizontal="center" vertical="center"/>
      <protection locked="0"/>
    </xf>
    <xf numFmtId="0" fontId="19" fillId="0" borderId="73" xfId="0" applyFont="1" applyBorder="1" applyAlignment="1" applyProtection="1">
      <alignment horizontal="center" vertical="center"/>
      <protection locked="0"/>
    </xf>
    <xf numFmtId="0" fontId="19" fillId="0" borderId="56" xfId="0" applyFont="1" applyBorder="1" applyAlignment="1" applyProtection="1">
      <alignment horizontal="center" vertical="center"/>
      <protection locked="0"/>
    </xf>
    <xf numFmtId="0" fontId="19" fillId="0" borderId="70" xfId="0" applyFont="1" applyBorder="1" applyAlignment="1" applyProtection="1">
      <alignment horizontal="center" vertical="center"/>
      <protection locked="0"/>
    </xf>
    <xf numFmtId="0" fontId="19" fillId="0" borderId="75" xfId="0" applyFont="1" applyBorder="1" applyAlignment="1" applyProtection="1">
      <alignment horizontal="center" vertical="center"/>
      <protection locked="0"/>
    </xf>
    <xf numFmtId="0" fontId="9" fillId="15" borderId="61" xfId="0" applyFont="1" applyFill="1" applyBorder="1" applyAlignment="1" applyProtection="1">
      <alignment horizontal="center" vertical="center"/>
      <protection locked="0"/>
    </xf>
    <xf numFmtId="0" fontId="9" fillId="15" borderId="60" xfId="0" applyFont="1" applyFill="1" applyBorder="1" applyAlignment="1" applyProtection="1">
      <alignment horizontal="center" vertical="center"/>
      <protection locked="0"/>
    </xf>
    <xf numFmtId="0" fontId="9" fillId="15" borderId="62" xfId="0" applyFont="1" applyFill="1" applyBorder="1" applyAlignment="1" applyProtection="1">
      <alignment horizontal="center" vertical="center"/>
      <protection locked="0"/>
    </xf>
    <xf numFmtId="0" fontId="19" fillId="0" borderId="72" xfId="0" applyFont="1" applyBorder="1" applyAlignment="1" applyProtection="1">
      <alignment horizontal="center" vertical="center"/>
      <protection locked="0"/>
    </xf>
    <xf numFmtId="0" fontId="19" fillId="0" borderId="65" xfId="0" applyFont="1" applyBorder="1" applyAlignment="1" applyProtection="1">
      <alignment horizontal="center" vertical="center"/>
      <protection locked="0"/>
    </xf>
    <xf numFmtId="0" fontId="19" fillId="0" borderId="74" xfId="0" applyFont="1" applyBorder="1" applyAlignment="1" applyProtection="1">
      <alignment horizontal="center" vertical="center"/>
      <protection locked="0"/>
    </xf>
    <xf numFmtId="164" fontId="13" fillId="2" borderId="6" xfId="0" applyNumberFormat="1" applyFont="1" applyFill="1" applyBorder="1" applyAlignment="1">
      <alignment horizontal="center" vertical="center"/>
    </xf>
    <xf numFmtId="164" fontId="13" fillId="2" borderId="7" xfId="0" applyNumberFormat="1" applyFont="1" applyFill="1" applyBorder="1" applyAlignment="1">
      <alignment horizontal="center" vertical="center"/>
    </xf>
    <xf numFmtId="164" fontId="13" fillId="6" borderId="6" xfId="0" applyNumberFormat="1" applyFont="1" applyFill="1" applyBorder="1" applyAlignment="1">
      <alignment horizontal="center" vertical="center"/>
    </xf>
    <xf numFmtId="164" fontId="13" fillId="6" borderId="7" xfId="0" applyNumberFormat="1" applyFont="1" applyFill="1" applyBorder="1" applyAlignment="1">
      <alignment horizontal="center" vertical="center"/>
    </xf>
    <xf numFmtId="0" fontId="13" fillId="4" borderId="6" xfId="0" applyFont="1" applyFill="1" applyBorder="1" applyAlignment="1">
      <alignment horizontal="center" vertical="center"/>
    </xf>
    <xf numFmtId="0" fontId="13" fillId="4" borderId="7" xfId="0" applyFont="1" applyFill="1" applyBorder="1" applyAlignment="1">
      <alignment horizontal="center" vertical="center"/>
    </xf>
    <xf numFmtId="0" fontId="38" fillId="0" borderId="6" xfId="0" applyFont="1" applyBorder="1" applyAlignment="1" applyProtection="1">
      <alignment horizontal="center" vertical="center"/>
      <protection locked="0"/>
    </xf>
    <xf numFmtId="0" fontId="38" fillId="0" borderId="8" xfId="0" applyFont="1" applyBorder="1" applyAlignment="1" applyProtection="1">
      <alignment horizontal="center" vertical="center"/>
      <protection locked="0"/>
    </xf>
    <xf numFmtId="0" fontId="38" fillId="0" borderId="7" xfId="0" applyFont="1" applyBorder="1" applyAlignment="1" applyProtection="1">
      <alignment horizontal="center" vertical="center"/>
      <protection locked="0"/>
    </xf>
    <xf numFmtId="0" fontId="39" fillId="0" borderId="6" xfId="2" applyFont="1" applyBorder="1" applyAlignment="1">
      <alignment horizontal="center" vertical="center"/>
      <protection locked="0"/>
    </xf>
    <xf numFmtId="0" fontId="40" fillId="0" borderId="8" xfId="0" applyFont="1" applyBorder="1" applyAlignment="1" applyProtection="1">
      <alignment horizontal="center" vertical="center"/>
      <protection locked="0"/>
    </xf>
    <xf numFmtId="0" fontId="40" fillId="0" borderId="7" xfId="0" applyFont="1" applyBorder="1" applyAlignment="1" applyProtection="1">
      <alignment horizontal="center" vertical="center"/>
      <protection locked="0"/>
    </xf>
    <xf numFmtId="0" fontId="35" fillId="0" borderId="1" xfId="0" applyFont="1" applyBorder="1" applyAlignment="1" applyProtection="1">
      <alignment horizontal="center" vertical="center"/>
      <protection locked="0"/>
    </xf>
    <xf numFmtId="0" fontId="35" fillId="0" borderId="2" xfId="0" applyFont="1" applyBorder="1" applyAlignment="1" applyProtection="1">
      <alignment horizontal="center" vertical="center"/>
      <protection locked="0"/>
    </xf>
    <xf numFmtId="0" fontId="35" fillId="0" borderId="3" xfId="0" applyFont="1" applyBorder="1" applyAlignment="1" applyProtection="1">
      <alignment horizontal="center" vertical="center"/>
      <protection locked="0"/>
    </xf>
    <xf numFmtId="0" fontId="35" fillId="0" borderId="86" xfId="0" applyFont="1" applyBorder="1" applyAlignment="1" applyProtection="1">
      <alignment horizontal="center" vertical="center"/>
      <protection locked="0"/>
    </xf>
    <xf numFmtId="0" fontId="35" fillId="0" borderId="87" xfId="0" applyFont="1" applyBorder="1" applyAlignment="1" applyProtection="1">
      <alignment horizontal="center" vertical="center"/>
      <protection locked="0"/>
    </xf>
    <xf numFmtId="0" fontId="35" fillId="0" borderId="90" xfId="0" applyFont="1" applyBorder="1" applyAlignment="1" applyProtection="1">
      <alignment horizontal="center" vertical="center"/>
      <protection locked="0"/>
    </xf>
    <xf numFmtId="14" fontId="0" fillId="0" borderId="6" xfId="0" applyNumberFormat="1" applyBorder="1" applyAlignment="1" applyProtection="1">
      <alignment horizontal="left" vertical="center"/>
      <protection locked="0"/>
    </xf>
    <xf numFmtId="14" fontId="0" fillId="0" borderId="8" xfId="0" applyNumberFormat="1" applyBorder="1" applyAlignment="1" applyProtection="1">
      <alignment horizontal="left" vertical="center"/>
      <protection locked="0"/>
    </xf>
    <xf numFmtId="14" fontId="0" fillId="0" borderId="7" xfId="0" applyNumberFormat="1" applyBorder="1" applyAlignment="1" applyProtection="1">
      <alignment horizontal="left" vertical="center"/>
      <protection locked="0"/>
    </xf>
    <xf numFmtId="0" fontId="17" fillId="0" borderId="6" xfId="0" applyFont="1" applyBorder="1" applyAlignment="1">
      <alignment horizontal="center" vertical="center" shrinkToFit="1"/>
    </xf>
    <xf numFmtId="0" fontId="17" fillId="0" borderId="8" xfId="0" applyFont="1" applyBorder="1" applyAlignment="1">
      <alignment horizontal="center" vertical="center" shrinkToFit="1"/>
    </xf>
    <xf numFmtId="0" fontId="17" fillId="0" borderId="2" xfId="0" applyFont="1" applyBorder="1" applyAlignment="1">
      <alignment horizontal="center" vertical="center" shrinkToFit="1"/>
    </xf>
    <xf numFmtId="0" fontId="17" fillId="0" borderId="3" xfId="0" applyFont="1" applyBorder="1" applyAlignment="1">
      <alignment horizontal="center" vertical="center" shrinkToFit="1"/>
    </xf>
    <xf numFmtId="0" fontId="4" fillId="2" borderId="6" xfId="0" applyFont="1" applyFill="1" applyBorder="1" applyAlignment="1" applyProtection="1">
      <alignment horizontal="center" vertical="center" shrinkToFit="1"/>
      <protection locked="0"/>
    </xf>
    <xf numFmtId="0" fontId="4" fillId="2" borderId="7" xfId="0" applyFont="1" applyFill="1" applyBorder="1" applyAlignment="1" applyProtection="1">
      <alignment horizontal="center" vertical="center" shrinkToFit="1"/>
      <protection locked="0"/>
    </xf>
    <xf numFmtId="0" fontId="4" fillId="6" borderId="6" xfId="0" applyFont="1" applyFill="1" applyBorder="1" applyAlignment="1" applyProtection="1">
      <alignment horizontal="center" vertical="center" shrinkToFit="1"/>
      <protection locked="0"/>
    </xf>
    <xf numFmtId="0" fontId="4" fillId="6" borderId="7" xfId="0" applyFont="1" applyFill="1" applyBorder="1" applyAlignment="1" applyProtection="1">
      <alignment horizontal="center" vertical="center" shrinkToFit="1"/>
      <protection locked="0"/>
    </xf>
    <xf numFmtId="0" fontId="4" fillId="4" borderId="6" xfId="0" applyFont="1" applyFill="1" applyBorder="1" applyAlignment="1" applyProtection="1">
      <alignment horizontal="center" vertical="center"/>
      <protection locked="0"/>
    </xf>
    <xf numFmtId="0" fontId="4" fillId="4" borderId="7" xfId="0" applyFont="1" applyFill="1" applyBorder="1" applyAlignment="1" applyProtection="1">
      <alignment horizontal="center" vertical="center"/>
      <protection locked="0"/>
    </xf>
    <xf numFmtId="0" fontId="41" fillId="5" borderId="2" xfId="0" applyFont="1" applyFill="1" applyBorder="1" applyAlignment="1" applyProtection="1">
      <alignment horizontal="center" vertical="center"/>
      <protection locked="0"/>
    </xf>
    <xf numFmtId="0" fontId="41" fillId="5" borderId="3" xfId="0" applyFont="1" applyFill="1" applyBorder="1" applyAlignment="1" applyProtection="1">
      <alignment horizontal="center" vertical="center"/>
      <protection locked="0"/>
    </xf>
    <xf numFmtId="0" fontId="41" fillId="5" borderId="87" xfId="0" applyFont="1" applyFill="1" applyBorder="1" applyAlignment="1" applyProtection="1">
      <alignment horizontal="center" vertical="center"/>
      <protection locked="0"/>
    </xf>
    <xf numFmtId="0" fontId="41" fillId="5" borderId="90" xfId="0" applyFont="1" applyFill="1" applyBorder="1" applyAlignment="1" applyProtection="1">
      <alignment horizontal="center" vertical="center"/>
      <protection locked="0"/>
    </xf>
    <xf numFmtId="0" fontId="3" fillId="0" borderId="1" xfId="0" applyFont="1" applyBorder="1" applyAlignment="1" applyProtection="1">
      <alignment horizontal="center" vertical="center"/>
      <protection locked="0"/>
    </xf>
    <xf numFmtId="0" fontId="3" fillId="0" borderId="2" xfId="0" applyFont="1" applyBorder="1" applyAlignment="1" applyProtection="1">
      <alignment horizontal="center" vertical="center"/>
      <protection locked="0"/>
    </xf>
    <xf numFmtId="0" fontId="3" fillId="0" borderId="86" xfId="0" applyFont="1" applyBorder="1" applyAlignment="1" applyProtection="1">
      <alignment horizontal="center" vertical="center"/>
      <protection locked="0"/>
    </xf>
    <xf numFmtId="0" fontId="3" fillId="0" borderId="87" xfId="0" applyFont="1" applyBorder="1" applyAlignment="1" applyProtection="1">
      <alignment horizontal="center" vertical="center"/>
      <protection locked="0"/>
    </xf>
    <xf numFmtId="0" fontId="14" fillId="0" borderId="92" xfId="0" applyFont="1" applyBorder="1" applyAlignment="1" applyProtection="1">
      <alignment horizontal="center" vertical="center" wrapText="1"/>
      <protection locked="0"/>
    </xf>
    <xf numFmtId="0" fontId="14" fillId="0" borderId="5" xfId="0" applyFont="1" applyBorder="1" applyAlignment="1" applyProtection="1">
      <alignment horizontal="center" vertical="center" wrapText="1"/>
      <protection locked="0"/>
    </xf>
    <xf numFmtId="0" fontId="14" fillId="0" borderId="93" xfId="0" applyFont="1" applyBorder="1" applyAlignment="1" applyProtection="1">
      <alignment horizontal="center" vertical="center" wrapText="1"/>
      <protection locked="0"/>
    </xf>
    <xf numFmtId="0" fontId="14" fillId="0" borderId="78" xfId="0" applyFont="1" applyBorder="1" applyAlignment="1" applyProtection="1">
      <alignment horizontal="center" vertical="center" wrapText="1"/>
      <protection locked="0"/>
    </xf>
    <xf numFmtId="49" fontId="36" fillId="0" borderId="92" xfId="0" applyNumberFormat="1" applyFont="1" applyBorder="1" applyAlignment="1" applyProtection="1">
      <alignment horizontal="center" vertical="center"/>
      <protection locked="0"/>
    </xf>
    <xf numFmtId="49" fontId="36" fillId="0" borderId="0" xfId="0" applyNumberFormat="1" applyFont="1" applyAlignment="1" applyProtection="1">
      <alignment horizontal="center" vertical="center"/>
      <protection locked="0"/>
    </xf>
    <xf numFmtId="49" fontId="36" fillId="0" borderId="93" xfId="0" applyNumberFormat="1" applyFont="1" applyBorder="1" applyAlignment="1" applyProtection="1">
      <alignment horizontal="center" vertical="center"/>
      <protection locked="0"/>
    </xf>
    <xf numFmtId="49" fontId="36" fillId="0" borderId="13" xfId="0" applyNumberFormat="1" applyFont="1" applyBorder="1" applyAlignment="1" applyProtection="1">
      <alignment horizontal="center" vertical="center"/>
      <protection locked="0"/>
    </xf>
    <xf numFmtId="0" fontId="4" fillId="20" borderId="4" xfId="0" applyFont="1" applyFill="1" applyBorder="1" applyAlignment="1" applyProtection="1">
      <alignment horizontal="center" vertical="center"/>
      <protection locked="0"/>
    </xf>
    <xf numFmtId="164" fontId="13" fillId="20" borderId="4" xfId="0" applyNumberFormat="1" applyFont="1" applyFill="1" applyBorder="1" applyAlignment="1">
      <alignment horizontal="center" vertical="center"/>
    </xf>
    <xf numFmtId="0" fontId="17" fillId="7" borderId="9" xfId="0" applyFont="1" applyFill="1" applyBorder="1" applyAlignment="1" applyProtection="1">
      <alignment horizontal="center" vertical="center"/>
      <protection locked="0"/>
    </xf>
    <xf numFmtId="0" fontId="17" fillId="7" borderId="10" xfId="0" applyFont="1" applyFill="1" applyBorder="1" applyAlignment="1" applyProtection="1">
      <alignment horizontal="center" vertical="center"/>
      <protection locked="0"/>
    </xf>
    <xf numFmtId="0" fontId="17" fillId="7" borderId="11" xfId="0" applyFont="1" applyFill="1" applyBorder="1" applyAlignment="1" applyProtection="1">
      <alignment horizontal="center" vertical="center"/>
      <protection locked="0"/>
    </xf>
    <xf numFmtId="0" fontId="13" fillId="0" borderId="0" xfId="0" applyFont="1" applyAlignment="1" applyProtection="1">
      <alignment horizontal="center" vertical="center"/>
      <protection locked="0"/>
    </xf>
    <xf numFmtId="0" fontId="5" fillId="13" borderId="45" xfId="0" applyFont="1" applyFill="1" applyBorder="1" applyAlignment="1" applyProtection="1">
      <alignment horizontal="center" vertical="center" wrapText="1"/>
      <protection locked="0"/>
    </xf>
    <xf numFmtId="0" fontId="5" fillId="14" borderId="45" xfId="0" applyFont="1" applyFill="1" applyBorder="1" applyAlignment="1" applyProtection="1">
      <alignment horizontal="center" vertical="center" wrapText="1" shrinkToFit="1"/>
      <protection locked="0"/>
    </xf>
    <xf numFmtId="0" fontId="5" fillId="14" borderId="42" xfId="0" applyFont="1" applyFill="1" applyBorder="1" applyAlignment="1" applyProtection="1">
      <alignment horizontal="center" vertical="center" wrapText="1" shrinkToFit="1"/>
      <protection locked="0"/>
    </xf>
    <xf numFmtId="0" fontId="5" fillId="14" borderId="46" xfId="0" applyFont="1" applyFill="1" applyBorder="1" applyAlignment="1" applyProtection="1">
      <alignment horizontal="center" vertical="center" wrapText="1" shrinkToFit="1"/>
      <protection locked="0"/>
    </xf>
    <xf numFmtId="0" fontId="19" fillId="0" borderId="31" xfId="0" applyFont="1" applyBorder="1" applyAlignment="1" applyProtection="1">
      <alignment horizontal="center" vertical="center" wrapText="1"/>
      <protection locked="0"/>
    </xf>
    <xf numFmtId="0" fontId="19" fillId="0" borderId="32" xfId="0" applyFont="1" applyBorder="1" applyAlignment="1" applyProtection="1">
      <alignment horizontal="center" vertical="center" wrapText="1"/>
      <protection locked="0"/>
    </xf>
    <xf numFmtId="0" fontId="19" fillId="0" borderId="30" xfId="0" applyFont="1" applyBorder="1" applyAlignment="1" applyProtection="1">
      <alignment horizontal="center" vertical="center" wrapText="1" shrinkToFit="1"/>
      <protection locked="0"/>
    </xf>
    <xf numFmtId="0" fontId="19" fillId="0" borderId="48" xfId="0" applyFont="1" applyBorder="1" applyAlignment="1" applyProtection="1">
      <alignment horizontal="center" vertical="center" shrinkToFit="1"/>
      <protection locked="0"/>
    </xf>
    <xf numFmtId="0" fontId="7" fillId="0" borderId="79" xfId="0" applyFont="1" applyBorder="1" applyAlignment="1" applyProtection="1">
      <alignment horizontal="center" vertical="center" wrapText="1"/>
      <protection locked="0"/>
    </xf>
    <xf numFmtId="0" fontId="7" fillId="0" borderId="80" xfId="0" applyFont="1" applyBorder="1" applyAlignment="1" applyProtection="1">
      <alignment horizontal="center" vertical="center" wrapText="1"/>
      <protection locked="0"/>
    </xf>
    <xf numFmtId="0" fontId="7" fillId="0" borderId="81" xfId="0" applyFont="1" applyBorder="1" applyAlignment="1" applyProtection="1">
      <alignment horizontal="center" vertical="center" wrapText="1"/>
      <protection locked="0"/>
    </xf>
    <xf numFmtId="0" fontId="7" fillId="0" borderId="82" xfId="0" applyFont="1" applyBorder="1" applyAlignment="1" applyProtection="1">
      <alignment horizontal="center" vertical="center" wrapText="1"/>
      <protection locked="0"/>
    </xf>
    <xf numFmtId="0" fontId="7" fillId="0" borderId="0" xfId="0" applyFont="1" applyAlignment="1" applyProtection="1">
      <alignment horizontal="center" vertical="center" wrapText="1"/>
      <protection locked="0"/>
    </xf>
    <xf numFmtId="0" fontId="7" fillId="0" borderId="83" xfId="0" applyFont="1" applyBorder="1" applyAlignment="1" applyProtection="1">
      <alignment horizontal="center" vertical="center" wrapText="1"/>
      <protection locked="0"/>
    </xf>
    <xf numFmtId="0" fontId="7" fillId="0" borderId="84" xfId="0" applyFont="1" applyBorder="1" applyAlignment="1" applyProtection="1">
      <alignment horizontal="center" vertical="center" wrapText="1"/>
      <protection locked="0"/>
    </xf>
    <xf numFmtId="0" fontId="7" fillId="0" borderId="13" xfId="0" applyFont="1" applyBorder="1" applyAlignment="1" applyProtection="1">
      <alignment horizontal="center" vertical="center" wrapText="1"/>
      <protection locked="0"/>
    </xf>
    <xf numFmtId="0" fontId="7" fillId="0" borderId="85" xfId="0" applyFont="1" applyBorder="1" applyAlignment="1" applyProtection="1">
      <alignment horizontal="center" vertical="center" wrapText="1"/>
      <protection locked="0"/>
    </xf>
    <xf numFmtId="0" fontId="19" fillId="0" borderId="52" xfId="0" applyFont="1" applyBorder="1" applyAlignment="1" applyProtection="1">
      <alignment horizontal="center" vertical="center" shrinkToFit="1"/>
      <protection locked="0"/>
    </xf>
    <xf numFmtId="0" fontId="19" fillId="0" borderId="52" xfId="0" applyFont="1" applyBorder="1" applyAlignment="1" applyProtection="1">
      <alignment horizontal="center" vertical="center"/>
      <protection locked="0"/>
    </xf>
    <xf numFmtId="0" fontId="19" fillId="0" borderId="38" xfId="0" applyFont="1" applyBorder="1" applyAlignment="1" applyProtection="1">
      <alignment horizontal="center" vertical="center" wrapText="1"/>
      <protection locked="0"/>
    </xf>
    <xf numFmtId="0" fontId="19" fillId="0" borderId="39" xfId="0" applyFont="1" applyBorder="1" applyAlignment="1" applyProtection="1">
      <alignment horizontal="center" vertical="center" wrapText="1"/>
      <protection locked="0"/>
    </xf>
    <xf numFmtId="0" fontId="19" fillId="0" borderId="36" xfId="0" applyFont="1" applyBorder="1" applyAlignment="1" applyProtection="1">
      <alignment horizontal="center" vertical="center" wrapText="1" shrinkToFit="1"/>
      <protection locked="0"/>
    </xf>
    <xf numFmtId="0" fontId="19" fillId="0" borderId="48" xfId="0" applyFont="1" applyBorder="1" applyAlignment="1" applyProtection="1">
      <alignment horizontal="center" vertical="center"/>
      <protection locked="0"/>
    </xf>
    <xf numFmtId="0" fontId="19" fillId="0" borderId="49" xfId="0" applyFont="1" applyBorder="1" applyAlignment="1" applyProtection="1">
      <alignment horizontal="center" vertical="center"/>
      <protection locked="0"/>
    </xf>
    <xf numFmtId="0" fontId="5" fillId="7" borderId="15" xfId="0" applyFont="1" applyFill="1" applyBorder="1" applyAlignment="1" applyProtection="1">
      <alignment horizontal="center" vertical="center"/>
      <protection locked="0"/>
    </xf>
    <xf numFmtId="0" fontId="5" fillId="7" borderId="17" xfId="0" applyFont="1" applyFill="1" applyBorder="1" applyAlignment="1" applyProtection="1">
      <alignment horizontal="center" vertical="center"/>
      <protection locked="0"/>
    </xf>
    <xf numFmtId="0" fontId="5" fillId="7" borderId="15" xfId="0" applyFont="1" applyFill="1" applyBorder="1" applyAlignment="1" applyProtection="1">
      <alignment horizontal="center" vertical="center" wrapText="1"/>
      <protection locked="0"/>
    </xf>
    <xf numFmtId="0" fontId="5" fillId="7" borderId="17" xfId="0" applyFont="1" applyFill="1" applyBorder="1" applyAlignment="1" applyProtection="1">
      <alignment horizontal="center" vertical="center" wrapText="1"/>
      <protection locked="0"/>
    </xf>
    <xf numFmtId="0" fontId="16" fillId="0" borderId="6" xfId="0" applyFont="1" applyBorder="1" applyAlignment="1" applyProtection="1">
      <alignment horizontal="center" vertical="center"/>
      <protection locked="0"/>
    </xf>
    <xf numFmtId="0" fontId="16" fillId="0" borderId="8" xfId="0" applyFont="1" applyBorder="1" applyAlignment="1" applyProtection="1">
      <alignment horizontal="center" vertical="center"/>
      <protection locked="0"/>
    </xf>
    <xf numFmtId="0" fontId="16" fillId="0" borderId="7" xfId="0" applyFont="1" applyBorder="1" applyAlignment="1" applyProtection="1">
      <alignment horizontal="center" vertical="center"/>
      <protection locked="0"/>
    </xf>
    <xf numFmtId="0" fontId="6" fillId="0" borderId="6" xfId="0" applyFont="1" applyBorder="1" applyAlignment="1" applyProtection="1">
      <alignment horizontal="left" vertical="center"/>
      <protection locked="0"/>
    </xf>
    <xf numFmtId="0" fontId="6" fillId="0" borderId="8" xfId="0" applyFont="1" applyBorder="1" applyAlignment="1" applyProtection="1">
      <alignment horizontal="left" vertical="center"/>
      <protection locked="0"/>
    </xf>
    <xf numFmtId="0" fontId="6" fillId="0" borderId="7" xfId="0" applyFont="1" applyBorder="1" applyAlignment="1" applyProtection="1">
      <alignment horizontal="left" vertical="center"/>
      <protection locked="0"/>
    </xf>
    <xf numFmtId="0" fontId="10" fillId="0" borderId="6" xfId="0" applyFont="1" applyBorder="1" applyAlignment="1" applyProtection="1">
      <alignment horizontal="left" vertical="center" wrapText="1"/>
      <protection locked="0"/>
    </xf>
    <xf numFmtId="0" fontId="10" fillId="0" borderId="8" xfId="0" applyFont="1" applyBorder="1" applyAlignment="1" applyProtection="1">
      <alignment horizontal="left" vertical="center" wrapText="1"/>
      <protection locked="0"/>
    </xf>
    <xf numFmtId="0" fontId="10" fillId="0" borderId="8" xfId="0" applyFont="1" applyBorder="1" applyAlignment="1" applyProtection="1">
      <alignment horizontal="left" vertical="center"/>
      <protection locked="0"/>
    </xf>
    <xf numFmtId="0" fontId="10" fillId="0" borderId="7" xfId="0" applyFont="1" applyBorder="1" applyAlignment="1" applyProtection="1">
      <alignment horizontal="left" vertical="center"/>
      <protection locked="0"/>
    </xf>
    <xf numFmtId="0" fontId="10" fillId="0" borderId="6" xfId="0" applyFont="1" applyBorder="1" applyAlignment="1" applyProtection="1">
      <alignment horizontal="left" vertical="center" shrinkToFit="1"/>
      <protection locked="0"/>
    </xf>
    <xf numFmtId="0" fontId="10" fillId="0" borderId="8" xfId="0" applyFont="1" applyBorder="1" applyAlignment="1" applyProtection="1">
      <alignment horizontal="left" vertical="center" shrinkToFit="1"/>
      <protection locked="0"/>
    </xf>
    <xf numFmtId="0" fontId="10" fillId="0" borderId="7" xfId="0" applyFont="1" applyBorder="1" applyAlignment="1" applyProtection="1">
      <alignment horizontal="left" vertical="center" shrinkToFit="1"/>
      <protection locked="0"/>
    </xf>
    <xf numFmtId="0" fontId="10" fillId="0" borderId="6" xfId="0" applyFont="1" applyBorder="1" applyAlignment="1" applyProtection="1">
      <alignment horizontal="left" vertical="center"/>
      <protection locked="0"/>
    </xf>
    <xf numFmtId="0" fontId="15" fillId="0" borderId="9" xfId="0" applyFont="1" applyBorder="1" applyAlignment="1" applyProtection="1">
      <alignment horizontal="center" vertical="center"/>
      <protection locked="0"/>
    </xf>
    <xf numFmtId="0" fontId="15" fillId="0" borderId="10" xfId="0" applyFont="1" applyBorder="1" applyAlignment="1" applyProtection="1">
      <alignment horizontal="center" vertical="center"/>
      <protection locked="0"/>
    </xf>
    <xf numFmtId="0" fontId="17" fillId="0" borderId="9" xfId="0" applyFont="1" applyBorder="1" applyAlignment="1">
      <alignment horizontal="center" vertical="center"/>
    </xf>
    <xf numFmtId="0" fontId="17" fillId="0" borderId="10" xfId="0" applyFont="1" applyBorder="1" applyAlignment="1">
      <alignment horizontal="center" vertical="center"/>
    </xf>
    <xf numFmtId="0" fontId="19" fillId="0" borderId="26" xfId="0" applyFont="1" applyBorder="1" applyAlignment="1" applyProtection="1">
      <alignment horizontal="center" vertical="center" wrapText="1"/>
      <protection locked="0"/>
    </xf>
    <xf numFmtId="0" fontId="19" fillId="0" borderId="27" xfId="0" applyFont="1" applyBorder="1" applyAlignment="1" applyProtection="1">
      <alignment horizontal="center" vertical="center" wrapText="1"/>
      <protection locked="0"/>
    </xf>
    <xf numFmtId="0" fontId="19" fillId="0" borderId="24" xfId="0" applyFont="1" applyBorder="1" applyAlignment="1" applyProtection="1">
      <alignment horizontal="center" vertical="center" wrapText="1" shrinkToFit="1"/>
      <protection locked="0"/>
    </xf>
    <xf numFmtId="0" fontId="19" fillId="0" borderId="50" xfId="0" applyFont="1" applyBorder="1" applyAlignment="1" applyProtection="1">
      <alignment horizontal="center" vertical="top" wrapText="1"/>
      <protection locked="0"/>
    </xf>
    <xf numFmtId="0" fontId="19" fillId="0" borderId="66" xfId="0" applyFont="1" applyBorder="1" applyAlignment="1" applyProtection="1">
      <alignment horizontal="center" vertical="top" wrapText="1"/>
      <protection locked="0"/>
    </xf>
    <xf numFmtId="0" fontId="19" fillId="0" borderId="24" xfId="0" applyFont="1" applyBorder="1" applyAlignment="1" applyProtection="1">
      <alignment horizontal="center" vertical="top" wrapText="1"/>
      <protection locked="0"/>
    </xf>
    <xf numFmtId="0" fontId="19" fillId="0" borderId="26" xfId="0" applyFont="1" applyBorder="1" applyAlignment="1" applyProtection="1">
      <alignment horizontal="center" vertical="top" wrapText="1"/>
      <protection locked="0"/>
    </xf>
    <xf numFmtId="0" fontId="19" fillId="0" borderId="28" xfId="0" applyFont="1" applyBorder="1" applyAlignment="1" applyProtection="1">
      <alignment horizontal="center" vertical="top" wrapText="1"/>
      <protection locked="0"/>
    </xf>
    <xf numFmtId="0" fontId="19" fillId="0" borderId="55" xfId="0" applyFont="1" applyBorder="1" applyAlignment="1" applyProtection="1">
      <alignment horizontal="center" vertical="center" shrinkToFit="1"/>
      <protection locked="0"/>
    </xf>
    <xf numFmtId="0" fontId="19" fillId="0" borderId="55" xfId="0" applyFont="1" applyBorder="1" applyAlignment="1" applyProtection="1">
      <alignment horizontal="center" vertical="center"/>
      <protection locked="0"/>
    </xf>
    <xf numFmtId="0" fontId="16" fillId="0" borderId="57" xfId="0" applyFont="1" applyBorder="1" applyAlignment="1" applyProtection="1">
      <alignment horizontal="center" vertical="center"/>
      <protection locked="0"/>
    </xf>
    <xf numFmtId="0" fontId="9" fillId="4" borderId="61" xfId="0" applyFont="1" applyFill="1" applyBorder="1" applyAlignment="1" applyProtection="1">
      <alignment horizontal="center" vertical="center" wrapText="1"/>
      <protection locked="0"/>
    </xf>
    <xf numFmtId="0" fontId="9" fillId="4" borderId="60" xfId="0" applyFont="1" applyFill="1" applyBorder="1" applyAlignment="1" applyProtection="1">
      <alignment horizontal="center" vertical="center" wrapText="1"/>
      <protection locked="0"/>
    </xf>
    <xf numFmtId="0" fontId="9" fillId="4" borderId="62" xfId="0" applyFont="1" applyFill="1" applyBorder="1" applyAlignment="1" applyProtection="1">
      <alignment horizontal="center" vertical="center" wrapText="1"/>
      <protection locked="0"/>
    </xf>
    <xf numFmtId="0" fontId="9" fillId="4" borderId="61" xfId="0" applyFont="1" applyFill="1" applyBorder="1" applyAlignment="1" applyProtection="1">
      <alignment horizontal="center" vertical="center" wrapText="1" shrinkToFit="1"/>
      <protection locked="0"/>
    </xf>
    <xf numFmtId="0" fontId="9" fillId="4" borderId="60" xfId="0" applyFont="1" applyFill="1" applyBorder="1" applyAlignment="1" applyProtection="1">
      <alignment horizontal="center" vertical="center" wrapText="1" shrinkToFit="1"/>
      <protection locked="0"/>
    </xf>
    <xf numFmtId="0" fontId="9" fillId="15" borderId="59" xfId="0" applyFont="1" applyFill="1" applyBorder="1" applyAlignment="1" applyProtection="1">
      <alignment horizontal="center" vertical="center"/>
      <protection locked="0"/>
    </xf>
    <xf numFmtId="0" fontId="9" fillId="16" borderId="59" xfId="0" applyFont="1" applyFill="1" applyBorder="1" applyAlignment="1" applyProtection="1">
      <alignment horizontal="center" vertical="center"/>
      <protection locked="0"/>
    </xf>
    <xf numFmtId="0" fontId="9" fillId="16" borderId="61" xfId="0" applyFont="1" applyFill="1" applyBorder="1" applyAlignment="1" applyProtection="1">
      <alignment horizontal="center" vertical="center"/>
      <protection locked="0"/>
    </xf>
    <xf numFmtId="0" fontId="9" fillId="16" borderId="63" xfId="0" applyFont="1" applyFill="1" applyBorder="1" applyAlignment="1" applyProtection="1">
      <alignment horizontal="center" vertical="center"/>
      <protection locked="0"/>
    </xf>
    <xf numFmtId="0" fontId="19" fillId="0" borderId="52" xfId="0" applyFont="1" applyBorder="1" applyAlignment="1" applyProtection="1">
      <alignment horizontal="center" vertical="top" wrapText="1"/>
      <protection locked="0"/>
    </xf>
    <xf numFmtId="0" fontId="19" fillId="0" borderId="68" xfId="0" applyFont="1" applyBorder="1" applyAlignment="1" applyProtection="1">
      <alignment horizontal="center" vertical="top" wrapText="1"/>
      <protection locked="0"/>
    </xf>
    <xf numFmtId="0" fontId="19" fillId="0" borderId="30" xfId="0" applyFont="1" applyBorder="1" applyAlignment="1" applyProtection="1">
      <alignment horizontal="center" vertical="top" wrapText="1"/>
      <protection locked="0"/>
    </xf>
    <xf numFmtId="0" fontId="19" fillId="0" borderId="31" xfId="0" applyFont="1" applyBorder="1" applyAlignment="1" applyProtection="1">
      <alignment horizontal="center" vertical="top" wrapText="1"/>
      <protection locked="0"/>
    </xf>
    <xf numFmtId="0" fontId="19" fillId="0" borderId="33" xfId="0" applyFont="1" applyBorder="1" applyAlignment="1" applyProtection="1">
      <alignment horizontal="center" vertical="top" wrapText="1"/>
      <protection locked="0"/>
    </xf>
    <xf numFmtId="0" fontId="19" fillId="0" borderId="55" xfId="0" applyFont="1" applyBorder="1" applyAlignment="1" applyProtection="1">
      <alignment horizontal="center" vertical="top" wrapText="1"/>
      <protection locked="0"/>
    </xf>
    <xf numFmtId="0" fontId="19" fillId="0" borderId="71" xfId="0" applyFont="1" applyBorder="1" applyAlignment="1" applyProtection="1">
      <alignment horizontal="center" vertical="top" wrapText="1"/>
      <protection locked="0"/>
    </xf>
    <xf numFmtId="0" fontId="19" fillId="0" borderId="36" xfId="0" applyFont="1" applyBorder="1" applyAlignment="1" applyProtection="1">
      <alignment horizontal="center" vertical="top" wrapText="1"/>
      <protection locked="0"/>
    </xf>
    <xf numFmtId="0" fontId="19" fillId="0" borderId="38" xfId="0" applyFont="1" applyBorder="1" applyAlignment="1" applyProtection="1">
      <alignment horizontal="center" vertical="top" wrapText="1"/>
      <protection locked="0"/>
    </xf>
    <xf numFmtId="0" fontId="19" fillId="0" borderId="40" xfId="0" applyFont="1" applyBorder="1" applyAlignment="1" applyProtection="1">
      <alignment horizontal="center" vertical="top" wrapText="1"/>
      <protection locked="0"/>
    </xf>
    <xf numFmtId="0" fontId="19" fillId="0" borderId="50" xfId="0" applyFont="1" applyBorder="1" applyAlignment="1" applyProtection="1">
      <alignment horizontal="center" vertical="center"/>
      <protection locked="0"/>
    </xf>
    <xf numFmtId="0" fontId="36" fillId="0" borderId="0" xfId="0" applyFont="1" applyAlignment="1" applyProtection="1">
      <alignment horizontal="center" vertical="center"/>
      <protection locked="0"/>
    </xf>
    <xf numFmtId="0" fontId="36" fillId="0" borderId="93" xfId="0" applyFont="1" applyBorder="1" applyAlignment="1" applyProtection="1">
      <alignment horizontal="center" vertical="center"/>
      <protection locked="0"/>
    </xf>
    <xf numFmtId="0" fontId="36" fillId="0" borderId="13" xfId="0" applyFont="1" applyBorder="1" applyAlignment="1" applyProtection="1">
      <alignment horizontal="center" vertical="center"/>
      <protection locked="0"/>
    </xf>
    <xf numFmtId="0" fontId="0" fillId="2" borderId="4" xfId="0" applyFill="1" applyBorder="1" applyAlignment="1">
      <alignment horizontal="center"/>
    </xf>
  </cellXfs>
  <cellStyles count="3">
    <cellStyle name="Hyperlink" xfId="2" builtinId="8"/>
    <cellStyle name="Normal" xfId="0" builtinId="0"/>
    <cellStyle name="Normal 2" xfId="1" xr:uid="{00000000-0005-0000-0000-000002000000}"/>
  </cellStyles>
  <dxfs count="110">
    <dxf>
      <font>
        <strike val="0"/>
        <color auto="1"/>
      </font>
      <fill>
        <patternFill>
          <bgColor rgb="FFFF0000"/>
        </patternFill>
      </fill>
    </dxf>
    <dxf>
      <font>
        <strike val="0"/>
        <color auto="1"/>
      </font>
      <fill>
        <patternFill>
          <bgColor rgb="FFFF0000"/>
        </patternFill>
      </fill>
    </dxf>
    <dxf>
      <font>
        <strike val="0"/>
        <color auto="1"/>
      </font>
      <fill>
        <patternFill>
          <bgColor rgb="FFFF0000"/>
        </patternFill>
      </fill>
    </dxf>
    <dxf>
      <font>
        <strike val="0"/>
        <color auto="1"/>
      </font>
      <fill>
        <patternFill>
          <bgColor rgb="FFFF0000"/>
        </patternFill>
      </fill>
    </dxf>
    <dxf>
      <font>
        <strike val="0"/>
        <color auto="1"/>
      </font>
      <fill>
        <patternFill>
          <bgColor rgb="FFFF0000"/>
        </patternFill>
      </fill>
    </dxf>
    <dxf>
      <fill>
        <patternFill>
          <bgColor rgb="FFFFC000"/>
        </patternFill>
      </fill>
    </dxf>
    <dxf>
      <font>
        <strike val="0"/>
        <color auto="1"/>
      </font>
      <fill>
        <patternFill>
          <bgColor rgb="FFFF0000"/>
        </patternFill>
      </fill>
    </dxf>
    <dxf>
      <font>
        <color rgb="FFFF0000"/>
      </font>
    </dxf>
    <dxf>
      <fill>
        <patternFill>
          <bgColor rgb="FFFFC000"/>
        </patternFill>
      </fill>
    </dxf>
    <dxf>
      <font>
        <strike val="0"/>
        <color auto="1"/>
      </font>
      <fill>
        <patternFill>
          <bgColor rgb="FFFF0000"/>
        </patternFill>
      </fill>
    </dxf>
    <dxf>
      <font>
        <color rgb="FFFF0000"/>
      </font>
    </dxf>
    <dxf>
      <font>
        <color theme="0" tint="-0.34998626667073579"/>
      </font>
      <fill>
        <patternFill patternType="none">
          <bgColor auto="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theme="0" tint="-0.34998626667073579"/>
      </font>
      <fill>
        <patternFill patternType="none">
          <bgColor auto="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theme="0" tint="-0.34998626667073579"/>
      </font>
      <fill>
        <patternFill patternType="none">
          <bgColor auto="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56030</xdr:colOff>
      <xdr:row>0</xdr:row>
      <xdr:rowOff>134472</xdr:rowOff>
    </xdr:from>
    <xdr:to>
      <xdr:col>5</xdr:col>
      <xdr:colOff>560294</xdr:colOff>
      <xdr:row>1</xdr:row>
      <xdr:rowOff>152692</xdr:rowOff>
    </xdr:to>
    <xdr:pic>
      <xdr:nvPicPr>
        <xdr:cNvPr id="2" name="Picture 1">
          <a:extLst>
            <a:ext uri="{FF2B5EF4-FFF2-40B4-BE49-F238E27FC236}">
              <a16:creationId xmlns:a16="http://schemas.microsoft.com/office/drawing/2014/main" id="{C6D5112E-17EF-4E74-B84E-7D5625721F2A}"/>
            </a:ext>
          </a:extLst>
        </xdr:cNvPr>
        <xdr:cNvPicPr>
          <a:picLocks noChangeAspect="1"/>
        </xdr:cNvPicPr>
      </xdr:nvPicPr>
      <xdr:blipFill>
        <a:blip xmlns:r="http://schemas.openxmlformats.org/officeDocument/2006/relationships" r:embed="rId1"/>
        <a:stretch>
          <a:fillRect/>
        </a:stretch>
      </xdr:blipFill>
      <xdr:spPr>
        <a:xfrm>
          <a:off x="56030" y="134472"/>
          <a:ext cx="4291852" cy="36560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56030</xdr:colOff>
      <xdr:row>0</xdr:row>
      <xdr:rowOff>134472</xdr:rowOff>
    </xdr:from>
    <xdr:to>
      <xdr:col>5</xdr:col>
      <xdr:colOff>560294</xdr:colOff>
      <xdr:row>1</xdr:row>
      <xdr:rowOff>152692</xdr:rowOff>
    </xdr:to>
    <xdr:pic>
      <xdr:nvPicPr>
        <xdr:cNvPr id="2" name="Picture 1">
          <a:extLst>
            <a:ext uri="{FF2B5EF4-FFF2-40B4-BE49-F238E27FC236}">
              <a16:creationId xmlns:a16="http://schemas.microsoft.com/office/drawing/2014/main" id="{E7EDAE86-0C87-4CD0-BFA7-B6F2FA10F972}"/>
            </a:ext>
          </a:extLst>
        </xdr:cNvPr>
        <xdr:cNvPicPr>
          <a:picLocks noChangeAspect="1"/>
        </xdr:cNvPicPr>
      </xdr:nvPicPr>
      <xdr:blipFill>
        <a:blip xmlns:r="http://schemas.openxmlformats.org/officeDocument/2006/relationships" r:embed="rId1"/>
        <a:stretch>
          <a:fillRect/>
        </a:stretch>
      </xdr:blipFill>
      <xdr:spPr>
        <a:xfrm>
          <a:off x="56030" y="134472"/>
          <a:ext cx="4295214" cy="36112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56030</xdr:colOff>
      <xdr:row>0</xdr:row>
      <xdr:rowOff>134472</xdr:rowOff>
    </xdr:from>
    <xdr:to>
      <xdr:col>5</xdr:col>
      <xdr:colOff>560294</xdr:colOff>
      <xdr:row>1</xdr:row>
      <xdr:rowOff>152692</xdr:rowOff>
    </xdr:to>
    <xdr:pic>
      <xdr:nvPicPr>
        <xdr:cNvPr id="2" name="Picture 1">
          <a:extLst>
            <a:ext uri="{FF2B5EF4-FFF2-40B4-BE49-F238E27FC236}">
              <a16:creationId xmlns:a16="http://schemas.microsoft.com/office/drawing/2014/main" id="{1CC8436A-1BA7-4489-82A3-792362418D0B}"/>
            </a:ext>
          </a:extLst>
        </xdr:cNvPr>
        <xdr:cNvPicPr>
          <a:picLocks noChangeAspect="1"/>
        </xdr:cNvPicPr>
      </xdr:nvPicPr>
      <xdr:blipFill>
        <a:blip xmlns:r="http://schemas.openxmlformats.org/officeDocument/2006/relationships" r:embed="rId1"/>
        <a:stretch>
          <a:fillRect/>
        </a:stretch>
      </xdr:blipFill>
      <xdr:spPr>
        <a:xfrm>
          <a:off x="56030" y="134472"/>
          <a:ext cx="4295214" cy="36112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pageSetUpPr fitToPage="1"/>
  </sheetPr>
  <dimension ref="A1:FZ53"/>
  <sheetViews>
    <sheetView tabSelected="1" view="pageBreakPreview" zoomScale="85" zoomScaleSheetLayoutView="85" workbookViewId="0">
      <selection activeCell="M1" sqref="M1:Z1"/>
    </sheetView>
  </sheetViews>
  <sheetFormatPr defaultRowHeight="15" x14ac:dyDescent="0.2"/>
  <cols>
    <col min="1" max="1" width="6" style="6" customWidth="1"/>
    <col min="2" max="2" width="17.28515625" style="6" customWidth="1"/>
    <col min="3" max="3" width="13" style="6" customWidth="1"/>
    <col min="4" max="4" width="12.42578125" style="6" customWidth="1"/>
    <col min="5" max="5" width="8.140625" style="6" customWidth="1"/>
    <col min="6" max="6" width="9.42578125" style="6" customWidth="1"/>
    <col min="7" max="7" width="21.7109375" style="6" customWidth="1"/>
    <col min="8" max="9" width="12" style="6" customWidth="1"/>
    <col min="10" max="10" width="11.28515625" style="6" customWidth="1"/>
    <col min="11" max="11" width="16.7109375" style="6" customWidth="1"/>
    <col min="12" max="12" width="24.85546875" style="6" customWidth="1"/>
    <col min="13" max="15" width="19.5703125" style="6" customWidth="1"/>
    <col min="16" max="17" width="11" style="6" customWidth="1"/>
    <col min="18" max="21" width="11.5703125" style="6" customWidth="1"/>
    <col min="22" max="22" width="10.5703125" style="6" customWidth="1"/>
    <col min="23" max="23" width="19.140625" style="6" customWidth="1"/>
    <col min="24" max="24" width="10.85546875" style="6" customWidth="1"/>
    <col min="25" max="25" width="8.85546875" style="6" customWidth="1"/>
    <col min="26" max="28" width="8.28515625" style="6" customWidth="1"/>
    <col min="29" max="29" width="21" style="6" customWidth="1"/>
    <col min="30" max="30" width="9.5703125" style="6" customWidth="1"/>
    <col min="31" max="31" width="15.85546875" style="6" customWidth="1"/>
    <col min="32" max="32" width="16" style="9" customWidth="1"/>
    <col min="33" max="33" width="37.7109375" style="6" customWidth="1"/>
    <col min="34" max="34" width="9.140625" style="6" hidden="1" customWidth="1"/>
    <col min="35" max="36" width="27.7109375" style="6" hidden="1" customWidth="1"/>
    <col min="37" max="37" width="16.42578125" style="6" hidden="1" customWidth="1"/>
    <col min="38" max="38" width="17.85546875" style="6" hidden="1" customWidth="1"/>
    <col min="39" max="45" width="9.140625" style="6" hidden="1" customWidth="1"/>
    <col min="46" max="46" width="9.5703125" style="6" customWidth="1"/>
    <col min="47" max="47" width="9.140625" style="6" hidden="1" customWidth="1"/>
    <col min="48" max="48" width="28.140625" style="6" hidden="1" customWidth="1"/>
    <col min="49" max="49" width="13.28515625" style="7" hidden="1" customWidth="1"/>
    <col min="50" max="50" width="13.85546875" style="7" hidden="1" customWidth="1"/>
    <col min="51" max="51" width="52" style="7" hidden="1" customWidth="1"/>
    <col min="52" max="52" width="35.5703125" style="7" hidden="1" customWidth="1"/>
    <col min="53" max="53" width="26.140625" style="7" hidden="1" customWidth="1"/>
    <col min="54" max="55" width="15.42578125" style="7" hidden="1" customWidth="1"/>
    <col min="56" max="56" width="54.42578125" style="7" hidden="1" customWidth="1"/>
    <col min="57" max="57" width="15.42578125" style="7" hidden="1" customWidth="1"/>
    <col min="58" max="58" width="15.7109375" style="7" hidden="1" customWidth="1"/>
    <col min="59" max="59" width="15.5703125" style="7" hidden="1" customWidth="1"/>
    <col min="60" max="60" width="22.140625" style="7" hidden="1" customWidth="1"/>
    <col min="61" max="61" width="19.7109375" style="6" hidden="1" customWidth="1"/>
    <col min="62" max="62" width="15.140625" style="106" hidden="1" customWidth="1"/>
    <col min="63" max="65" width="15.140625" style="118" hidden="1" customWidth="1"/>
    <col min="66" max="66" width="18.5703125" style="7" hidden="1" customWidth="1"/>
    <col min="67" max="67" width="20.5703125" style="7" hidden="1" customWidth="1"/>
    <col min="68" max="68" width="16.42578125" style="7" hidden="1" customWidth="1"/>
    <col min="69" max="69" width="14.28515625" style="7" hidden="1" customWidth="1"/>
    <col min="70" max="70" width="15.7109375" style="7" hidden="1" customWidth="1"/>
    <col min="71" max="71" width="12.140625" style="7" hidden="1" customWidth="1"/>
    <col min="72" max="72" width="13.7109375" style="7" hidden="1" customWidth="1"/>
    <col min="73" max="73" width="21.140625" style="7" hidden="1" customWidth="1"/>
    <col min="74" max="75" width="12.140625" style="6" hidden="1" customWidth="1"/>
    <col min="76" max="76" width="12.140625" style="7" hidden="1" customWidth="1"/>
    <col min="77" max="77" width="25.28515625" style="7" hidden="1" customWidth="1"/>
    <col min="78" max="78" width="29.5703125" style="7" hidden="1" customWidth="1"/>
    <col min="79" max="79" width="26" style="7" hidden="1" customWidth="1"/>
    <col min="80" max="80" width="26.28515625" style="7" hidden="1" customWidth="1"/>
    <col min="81" max="81" width="19.42578125" style="7" hidden="1" customWidth="1"/>
    <col min="82" max="82" width="30.42578125" style="7" hidden="1" customWidth="1"/>
    <col min="83" max="83" width="33" style="7" hidden="1" customWidth="1"/>
    <col min="84" max="84" width="21.7109375" style="7" hidden="1" customWidth="1"/>
    <col min="85" max="85" width="24" style="7" hidden="1" customWidth="1"/>
    <col min="86" max="86" width="27.42578125" style="7" hidden="1" customWidth="1"/>
    <col min="87" max="87" width="21.85546875" style="118" hidden="1" customWidth="1"/>
    <col min="88" max="88" width="19.42578125" style="118" hidden="1" customWidth="1"/>
    <col min="89" max="90" width="35.85546875" style="6" hidden="1" customWidth="1"/>
    <col min="91" max="91" width="101.85546875" style="6" hidden="1" customWidth="1"/>
    <col min="92" max="92" width="19.85546875" style="6" hidden="1" customWidth="1"/>
    <col min="93" max="94" width="16.140625" style="123" hidden="1" customWidth="1"/>
    <col min="95" max="95" width="21.5703125" style="6" hidden="1" customWidth="1"/>
    <col min="96" max="96" width="20.7109375" style="6" hidden="1" customWidth="1"/>
    <col min="97" max="97" width="15.85546875" style="6" hidden="1" customWidth="1"/>
    <col min="98" max="98" width="23.5703125" style="6" hidden="1" customWidth="1"/>
    <col min="99" max="101" width="27.5703125" style="7" hidden="1" customWidth="1"/>
    <col min="102" max="102" width="27.85546875" style="7" hidden="1" customWidth="1"/>
    <col min="103" max="103" width="25.7109375" style="6" hidden="1" customWidth="1"/>
    <col min="104" max="104" width="32.85546875" style="7" hidden="1" customWidth="1"/>
    <col min="105" max="105" width="35.42578125" style="6" hidden="1" customWidth="1"/>
    <col min="106" max="106" width="28" style="6" hidden="1" customWidth="1"/>
    <col min="107" max="107" width="32.140625" style="6" hidden="1" customWidth="1"/>
    <col min="108" max="108" width="38" style="6" hidden="1" customWidth="1"/>
    <col min="109" max="109" width="51" style="6" hidden="1" customWidth="1"/>
    <col min="110" max="110" width="37.28515625" style="6" hidden="1" customWidth="1"/>
    <col min="111" max="111" width="9.140625" style="6" hidden="1" customWidth="1"/>
    <col min="112" max="112" width="29.85546875" style="123" hidden="1" customWidth="1"/>
    <col min="113" max="113" width="31.85546875" style="103" hidden="1" customWidth="1"/>
    <col min="114" max="114" width="62" style="103" hidden="1" customWidth="1"/>
    <col min="115" max="115" width="58.28515625" style="7" hidden="1" customWidth="1"/>
    <col min="116" max="116" width="52.85546875" style="7" hidden="1" customWidth="1"/>
    <col min="117" max="117" width="58.42578125" style="118" hidden="1" customWidth="1"/>
    <col min="118" max="118" width="27.42578125" style="106" hidden="1" customWidth="1"/>
    <col min="119" max="119" width="22" style="106" hidden="1" customWidth="1"/>
    <col min="120" max="120" width="20.42578125" style="106" hidden="1" customWidth="1"/>
    <col min="121" max="122" width="21.7109375" style="106" hidden="1" customWidth="1"/>
    <col min="123" max="123" width="19.5703125" style="106" hidden="1" customWidth="1"/>
    <col min="124" max="124" width="33" style="7" hidden="1" customWidth="1"/>
    <col min="125" max="126" width="11" style="6" hidden="1" customWidth="1"/>
    <col min="127" max="127" width="46.85546875" style="7" hidden="1" customWidth="1"/>
    <col min="128" max="128" width="41" style="7" hidden="1" customWidth="1"/>
    <col min="129" max="129" width="39.85546875" style="7" hidden="1" customWidth="1"/>
    <col min="130" max="130" width="58.42578125" style="118" hidden="1" customWidth="1"/>
    <col min="131" max="131" width="117.7109375" style="6" hidden="1" customWidth="1"/>
    <col min="132" max="132" width="46.42578125" style="6" hidden="1" customWidth="1"/>
    <col min="133" max="133" width="24.7109375" style="6" hidden="1" customWidth="1"/>
    <col min="134" max="134" width="24.28515625" style="7" hidden="1" customWidth="1"/>
    <col min="135" max="135" width="16.85546875" style="7" hidden="1" customWidth="1"/>
    <col min="136" max="136" width="39" style="7" hidden="1" customWidth="1"/>
    <col min="137" max="137" width="22.5703125" style="7" hidden="1" customWidth="1"/>
    <col min="138" max="139" width="9.140625" style="6" hidden="1" customWidth="1"/>
    <col min="140" max="140" width="14.5703125" style="6" hidden="1" customWidth="1"/>
    <col min="141" max="141" width="13.5703125" style="6" hidden="1" customWidth="1"/>
    <col min="142" max="142" width="15" style="6" hidden="1" customWidth="1"/>
    <col min="143" max="144" width="15.140625" style="6" hidden="1" customWidth="1"/>
    <col min="145" max="145" width="26.28515625" style="6" hidden="1" customWidth="1"/>
    <col min="146" max="146" width="25.28515625" style="6" hidden="1" customWidth="1"/>
    <col min="147" max="147" width="9.140625" style="6" hidden="1" customWidth="1"/>
    <col min="148" max="148" width="28.140625" style="6" hidden="1" customWidth="1"/>
    <col min="149" max="149" width="9.140625" style="6" hidden="1" customWidth="1"/>
    <col min="150" max="150" width="14.7109375" style="6" hidden="1" customWidth="1"/>
    <col min="151" max="151" width="18.5703125" style="6" hidden="1" customWidth="1"/>
    <col min="152" max="152" width="9.140625" style="6" hidden="1" customWidth="1"/>
    <col min="153" max="154" width="19.85546875" style="6" hidden="1" customWidth="1"/>
    <col min="155" max="155" width="23.5703125" style="6" hidden="1" customWidth="1"/>
    <col min="156" max="158" width="37.42578125" style="6" hidden="1" customWidth="1"/>
    <col min="159" max="159" width="16.42578125" style="6" hidden="1" customWidth="1"/>
    <col min="160" max="160" width="26.7109375" style="6" hidden="1" customWidth="1"/>
    <col min="161" max="161" width="48.140625" style="6" hidden="1" customWidth="1"/>
    <col min="162" max="163" width="9.140625" style="6" hidden="1" customWidth="1"/>
    <col min="164" max="164" width="31.85546875" style="6" hidden="1" customWidth="1"/>
    <col min="165" max="165" width="18.85546875" style="6" hidden="1" customWidth="1"/>
    <col min="166" max="166" width="20.5703125" style="6" hidden="1" customWidth="1"/>
    <col min="167" max="167" width="9.140625" style="6" hidden="1" customWidth="1"/>
    <col min="168" max="168" width="36.7109375" style="6" hidden="1" customWidth="1"/>
    <col min="169" max="182" width="9.140625" style="6" hidden="1" customWidth="1"/>
    <col min="183" max="185" width="9.140625" style="6" customWidth="1"/>
    <col min="186" max="16384" width="9.140625" style="6"/>
  </cols>
  <sheetData>
    <row r="1" spans="1:168" ht="27" customHeight="1" x14ac:dyDescent="0.2">
      <c r="A1" s="212"/>
      <c r="B1" s="213"/>
      <c r="C1" s="213"/>
      <c r="D1" s="213"/>
      <c r="E1" s="213"/>
      <c r="F1" s="213"/>
      <c r="G1" s="208" t="s">
        <v>755</v>
      </c>
      <c r="H1" s="208"/>
      <c r="I1" s="208"/>
      <c r="J1" s="209"/>
      <c r="K1" s="5"/>
      <c r="L1" s="91" t="s">
        <v>396</v>
      </c>
      <c r="M1" s="261"/>
      <c r="N1" s="262"/>
      <c r="O1" s="262"/>
      <c r="P1" s="262"/>
      <c r="Q1" s="262"/>
      <c r="R1" s="262"/>
      <c r="S1" s="262"/>
      <c r="T1" s="262"/>
      <c r="U1" s="262"/>
      <c r="V1" s="262"/>
      <c r="W1" s="262"/>
      <c r="X1" s="262"/>
      <c r="Y1" s="262"/>
      <c r="Z1" s="263"/>
      <c r="AA1" s="152"/>
      <c r="AB1" s="147" t="s">
        <v>774</v>
      </c>
      <c r="AC1" s="147">
        <v>1</v>
      </c>
      <c r="AD1" s="147" t="s">
        <v>770</v>
      </c>
      <c r="AE1" s="147">
        <f>EM12</f>
        <v>0</v>
      </c>
      <c r="AF1" s="6"/>
    </row>
    <row r="2" spans="1:168" ht="21" customHeight="1" x14ac:dyDescent="0.2">
      <c r="A2" s="214"/>
      <c r="B2" s="215"/>
      <c r="C2" s="215"/>
      <c r="D2" s="215"/>
      <c r="E2" s="215"/>
      <c r="F2" s="215"/>
      <c r="G2" s="210"/>
      <c r="H2" s="210"/>
      <c r="I2" s="210"/>
      <c r="J2" s="211"/>
      <c r="K2" s="8"/>
      <c r="L2" s="91" t="s">
        <v>397</v>
      </c>
      <c r="M2" s="264"/>
      <c r="N2" s="265"/>
      <c r="O2" s="266"/>
      <c r="P2" s="266"/>
      <c r="Q2" s="266"/>
      <c r="R2" s="266"/>
      <c r="S2" s="266"/>
      <c r="T2" s="266"/>
      <c r="U2" s="266"/>
      <c r="V2" s="266"/>
      <c r="W2" s="266"/>
      <c r="X2" s="266"/>
      <c r="Y2" s="266"/>
      <c r="Z2" s="267"/>
      <c r="AA2" s="153"/>
      <c r="AB2" s="202" t="s">
        <v>767</v>
      </c>
      <c r="AC2" s="203"/>
      <c r="AD2" s="177">
        <f>SUM(AE9:AE23)+'Designer Shutters Page 2'!AD3:AE3+'Designer Shutters Page 3'!AD3:AE3</f>
        <v>0</v>
      </c>
      <c r="AE2" s="178"/>
      <c r="FH2" s="6" t="s">
        <v>288</v>
      </c>
    </row>
    <row r="3" spans="1:168" ht="21" customHeight="1" x14ac:dyDescent="0.2">
      <c r="A3" s="183" t="s">
        <v>771</v>
      </c>
      <c r="B3" s="184"/>
      <c r="C3" s="184"/>
      <c r="D3" s="184"/>
      <c r="E3" s="185"/>
      <c r="F3" s="186" t="s">
        <v>793</v>
      </c>
      <c r="G3" s="187"/>
      <c r="H3" s="187"/>
      <c r="I3" s="187"/>
      <c r="J3" s="188"/>
      <c r="K3" s="5"/>
      <c r="L3" s="91" t="s">
        <v>398</v>
      </c>
      <c r="M3" s="268"/>
      <c r="N3" s="269"/>
      <c r="O3" s="269"/>
      <c r="P3" s="269"/>
      <c r="Q3" s="269"/>
      <c r="R3" s="269"/>
      <c r="S3" s="269"/>
      <c r="T3" s="269"/>
      <c r="U3" s="269"/>
      <c r="V3" s="269"/>
      <c r="W3" s="269"/>
      <c r="X3" s="269"/>
      <c r="Y3" s="269"/>
      <c r="Z3" s="270"/>
      <c r="AA3" s="153"/>
      <c r="AB3" s="204" t="s">
        <v>399</v>
      </c>
      <c r="AC3" s="205"/>
      <c r="AD3" s="179">
        <f>SUM(AE9:AE23)</f>
        <v>0</v>
      </c>
      <c r="AE3" s="180"/>
      <c r="AI3" s="6" t="s">
        <v>281</v>
      </c>
      <c r="AJ3" s="6" t="s">
        <v>288</v>
      </c>
      <c r="FH3" s="6" t="s">
        <v>866</v>
      </c>
      <c r="FI3" s="6" t="s">
        <v>867</v>
      </c>
    </row>
    <row r="4" spans="1:168" ht="21" customHeight="1" x14ac:dyDescent="0.2">
      <c r="A4" s="189" t="s">
        <v>400</v>
      </c>
      <c r="B4" s="190"/>
      <c r="C4" s="190"/>
      <c r="D4" s="190"/>
      <c r="E4" s="191"/>
      <c r="F4" s="189"/>
      <c r="G4" s="190"/>
      <c r="H4" s="190"/>
      <c r="I4" s="190"/>
      <c r="J4" s="191"/>
      <c r="K4" s="8"/>
      <c r="L4" s="91" t="s">
        <v>401</v>
      </c>
      <c r="M4" s="271"/>
      <c r="N4" s="266"/>
      <c r="O4" s="266"/>
      <c r="P4" s="266"/>
      <c r="Q4" s="266"/>
      <c r="R4" s="266"/>
      <c r="S4" s="266"/>
      <c r="T4" s="266"/>
      <c r="U4" s="266"/>
      <c r="V4" s="266"/>
      <c r="W4" s="266"/>
      <c r="X4" s="266"/>
      <c r="Y4" s="266"/>
      <c r="Z4" s="267"/>
      <c r="AA4" s="154"/>
      <c r="AB4" s="206" t="s">
        <v>402</v>
      </c>
      <c r="AC4" s="207"/>
      <c r="AD4" s="181">
        <f>SUM(F9:F23)</f>
        <v>0</v>
      </c>
      <c r="AE4" s="182"/>
      <c r="EO4" s="6" t="s">
        <v>823</v>
      </c>
      <c r="FH4" s="6" t="s">
        <v>868</v>
      </c>
      <c r="FI4" s="6" t="s">
        <v>165</v>
      </c>
    </row>
    <row r="5" spans="1:168" ht="21" customHeight="1" x14ac:dyDescent="0.2">
      <c r="A5" s="192"/>
      <c r="B5" s="193"/>
      <c r="C5" s="193"/>
      <c r="D5" s="193"/>
      <c r="E5" s="194"/>
      <c r="F5" s="192"/>
      <c r="G5" s="193"/>
      <c r="H5" s="193"/>
      <c r="I5" s="193"/>
      <c r="J5" s="194"/>
      <c r="K5" s="143" t="s">
        <v>688</v>
      </c>
      <c r="L5" s="91" t="s">
        <v>403</v>
      </c>
      <c r="M5" s="195"/>
      <c r="N5" s="196"/>
      <c r="O5" s="196"/>
      <c r="P5" s="196"/>
      <c r="Q5" s="196"/>
      <c r="R5" s="196"/>
      <c r="S5" s="196"/>
      <c r="T5" s="196"/>
      <c r="U5" s="196"/>
      <c r="V5" s="196"/>
      <c r="W5" s="196"/>
      <c r="X5" s="196"/>
      <c r="Y5" s="196"/>
      <c r="Z5" s="197"/>
      <c r="AA5" s="155"/>
      <c r="AB5" s="224" t="s">
        <v>844</v>
      </c>
      <c r="AC5" s="224"/>
      <c r="AD5" s="225">
        <f>AK24+'Designer Shutters Page 2'!AK24+'Designer Shutters Page 3'!AK24</f>
        <v>0</v>
      </c>
      <c r="AE5" s="225"/>
      <c r="FH5" s="6" t="s">
        <v>869</v>
      </c>
    </row>
    <row r="6" spans="1:168" ht="15.75" customHeight="1" x14ac:dyDescent="0.2">
      <c r="A6" s="258" t="s">
        <v>625</v>
      </c>
      <c r="B6" s="259"/>
      <c r="C6" s="259"/>
      <c r="D6" s="259"/>
      <c r="E6" s="259"/>
      <c r="F6" s="259"/>
      <c r="G6" s="259"/>
      <c r="H6" s="259"/>
      <c r="I6" s="259"/>
      <c r="J6" s="260"/>
      <c r="K6" s="144" t="s">
        <v>884</v>
      </c>
      <c r="L6" s="92" t="s">
        <v>404</v>
      </c>
      <c r="M6" s="198" t="str">
        <f>EA11</f>
        <v xml:space="preserve">                    </v>
      </c>
      <c r="N6" s="199"/>
      <c r="O6" s="199"/>
      <c r="P6" s="199"/>
      <c r="Q6" s="199"/>
      <c r="R6" s="199"/>
      <c r="S6" s="199"/>
      <c r="T6" s="199"/>
      <c r="U6" s="199"/>
      <c r="V6" s="199"/>
      <c r="W6" s="199"/>
      <c r="X6" s="199"/>
      <c r="Y6" s="200"/>
      <c r="Z6" s="201"/>
      <c r="AA6" s="156"/>
      <c r="AB6" s="216" t="s">
        <v>756</v>
      </c>
      <c r="AC6" s="217"/>
      <c r="AD6" s="220" t="s">
        <v>761</v>
      </c>
      <c r="AE6" s="221"/>
      <c r="EA6" s="6" t="str">
        <f>CM13</f>
        <v xml:space="preserve">             </v>
      </c>
    </row>
    <row r="7" spans="1:168" ht="15.75" thickBot="1" x14ac:dyDescent="0.25">
      <c r="A7" s="10"/>
      <c r="B7" s="226" t="s">
        <v>405</v>
      </c>
      <c r="C7" s="227"/>
      <c r="D7" s="227"/>
      <c r="E7" s="227"/>
      <c r="F7" s="227"/>
      <c r="G7" s="227"/>
      <c r="H7" s="227"/>
      <c r="I7" s="227"/>
      <c r="J7" s="228"/>
      <c r="K7" s="111"/>
      <c r="L7" s="226" t="s">
        <v>405</v>
      </c>
      <c r="M7" s="227"/>
      <c r="N7" s="227"/>
      <c r="O7" s="227"/>
      <c r="P7" s="227"/>
      <c r="Q7" s="227"/>
      <c r="R7" s="227"/>
      <c r="S7" s="227"/>
      <c r="T7" s="227"/>
      <c r="U7" s="227"/>
      <c r="V7" s="228"/>
      <c r="W7" s="272" t="s">
        <v>621</v>
      </c>
      <c r="X7" s="273"/>
      <c r="Y7" s="274" t="str">
        <f>DJ24</f>
        <v/>
      </c>
      <c r="Z7" s="275"/>
      <c r="AA7" s="275"/>
      <c r="AB7" s="218"/>
      <c r="AC7" s="219"/>
      <c r="AD7" s="222"/>
      <c r="AE7" s="223"/>
      <c r="AV7" s="6" t="s">
        <v>880</v>
      </c>
      <c r="DN7" s="107" t="s">
        <v>407</v>
      </c>
      <c r="DO7" s="107"/>
      <c r="DP7" s="107"/>
      <c r="DQ7" s="107"/>
      <c r="DR7" s="107"/>
      <c r="DS7" s="107"/>
      <c r="EU7" s="3" t="s">
        <v>836</v>
      </c>
      <c r="EW7" s="6" t="s">
        <v>825</v>
      </c>
      <c r="FB7" s="6" t="s">
        <v>880</v>
      </c>
      <c r="FL7" s="6" t="s">
        <v>869</v>
      </c>
    </row>
    <row r="8" spans="1:168" ht="49.5" customHeight="1" thickTop="1" thickBot="1" x14ac:dyDescent="0.25">
      <c r="A8" s="12" t="s">
        <v>408</v>
      </c>
      <c r="B8" s="13" t="s">
        <v>409</v>
      </c>
      <c r="C8" s="13" t="s">
        <v>410</v>
      </c>
      <c r="D8" s="14" t="s">
        <v>411</v>
      </c>
      <c r="E8" s="15" t="s">
        <v>412</v>
      </c>
      <c r="F8" s="15" t="s">
        <v>568</v>
      </c>
      <c r="G8" s="16" t="s">
        <v>851</v>
      </c>
      <c r="H8" s="254" t="s">
        <v>414</v>
      </c>
      <c r="I8" s="255"/>
      <c r="J8" s="14" t="s">
        <v>0</v>
      </c>
      <c r="K8" s="17" t="s">
        <v>415</v>
      </c>
      <c r="L8" s="14" t="s">
        <v>417</v>
      </c>
      <c r="M8" s="13" t="s">
        <v>418</v>
      </c>
      <c r="N8" s="161" t="s">
        <v>865</v>
      </c>
      <c r="O8" s="13" t="s">
        <v>416</v>
      </c>
      <c r="P8" s="256" t="s">
        <v>419</v>
      </c>
      <c r="Q8" s="257"/>
      <c r="R8" s="14" t="s">
        <v>611</v>
      </c>
      <c r="S8" s="13" t="s">
        <v>612</v>
      </c>
      <c r="T8" s="13" t="s">
        <v>613</v>
      </c>
      <c r="U8" s="13" t="s">
        <v>623</v>
      </c>
      <c r="V8" s="14" t="s">
        <v>423</v>
      </c>
      <c r="W8" s="18" t="s">
        <v>622</v>
      </c>
      <c r="X8" s="18" t="s">
        <v>434</v>
      </c>
      <c r="Y8" s="18" t="s">
        <v>620</v>
      </c>
      <c r="Z8" s="18" t="s">
        <v>420</v>
      </c>
      <c r="AA8" s="18" t="s">
        <v>421</v>
      </c>
      <c r="AB8" s="18" t="s">
        <v>422</v>
      </c>
      <c r="AC8" s="18" t="s">
        <v>821</v>
      </c>
      <c r="AD8" s="18" t="s">
        <v>448</v>
      </c>
      <c r="AE8" s="19" t="s">
        <v>424</v>
      </c>
      <c r="AI8" s="6" t="s">
        <v>845</v>
      </c>
      <c r="AJ8" s="6" t="s">
        <v>846</v>
      </c>
      <c r="AK8" s="6" t="s">
        <v>847</v>
      </c>
      <c r="AT8" s="102" t="s">
        <v>425</v>
      </c>
      <c r="AV8" s="6" t="s">
        <v>414</v>
      </c>
      <c r="AW8" s="131" t="s">
        <v>641</v>
      </c>
      <c r="AX8" s="131" t="s">
        <v>348</v>
      </c>
      <c r="AY8" s="20" t="s">
        <v>426</v>
      </c>
      <c r="AZ8" s="20" t="s">
        <v>427</v>
      </c>
      <c r="BA8" s="20" t="s">
        <v>428</v>
      </c>
      <c r="BB8" s="20" t="s">
        <v>429</v>
      </c>
      <c r="BC8" s="20" t="s">
        <v>430</v>
      </c>
      <c r="BD8" s="20" t="s">
        <v>431</v>
      </c>
      <c r="BE8" s="20" t="s">
        <v>432</v>
      </c>
      <c r="BF8" s="20" t="s">
        <v>423</v>
      </c>
      <c r="BG8" s="20" t="s">
        <v>433</v>
      </c>
      <c r="BH8" s="20" t="s">
        <v>434</v>
      </c>
      <c r="BI8" s="20" t="s">
        <v>423</v>
      </c>
      <c r="BJ8" s="109" t="s">
        <v>435</v>
      </c>
      <c r="BK8" s="126" t="s">
        <v>436</v>
      </c>
      <c r="BL8" s="126" t="s">
        <v>437</v>
      </c>
      <c r="BM8" s="126" t="s">
        <v>438</v>
      </c>
      <c r="BN8" s="20" t="s">
        <v>66</v>
      </c>
      <c r="BO8" s="20" t="s">
        <v>439</v>
      </c>
      <c r="BP8" s="21" t="s">
        <v>440</v>
      </c>
      <c r="BQ8" s="21" t="s">
        <v>441</v>
      </c>
      <c r="BR8" s="21" t="s">
        <v>442</v>
      </c>
      <c r="BS8" s="22" t="s">
        <v>443</v>
      </c>
      <c r="BT8" s="22" t="s">
        <v>444</v>
      </c>
      <c r="BU8" s="22" t="s">
        <v>69</v>
      </c>
      <c r="BV8" s="22" t="s">
        <v>445</v>
      </c>
      <c r="BW8" s="22" t="s">
        <v>446</v>
      </c>
      <c r="BX8" s="22" t="s">
        <v>447</v>
      </c>
      <c r="BY8" s="23" t="s">
        <v>448</v>
      </c>
      <c r="BZ8" s="23" t="s">
        <v>0</v>
      </c>
      <c r="CA8" s="23" t="s">
        <v>449</v>
      </c>
      <c r="CB8" s="23" t="s">
        <v>450</v>
      </c>
      <c r="CC8" s="23" t="s">
        <v>451</v>
      </c>
      <c r="CD8" s="23" t="s">
        <v>452</v>
      </c>
      <c r="CE8" s="23" t="s">
        <v>419</v>
      </c>
      <c r="CF8" s="23" t="s">
        <v>453</v>
      </c>
      <c r="CG8" s="23" t="s">
        <v>454</v>
      </c>
      <c r="CH8" s="23" t="s">
        <v>455</v>
      </c>
      <c r="CI8" s="119" t="s">
        <v>456</v>
      </c>
      <c r="CJ8" s="119" t="s">
        <v>457</v>
      </c>
      <c r="CK8" s="24"/>
      <c r="CL8" s="24"/>
      <c r="CM8" s="24" t="s">
        <v>458</v>
      </c>
      <c r="CN8" s="22" t="s">
        <v>459</v>
      </c>
      <c r="CO8" s="128" t="s">
        <v>459</v>
      </c>
      <c r="CP8" s="128" t="s">
        <v>460</v>
      </c>
      <c r="CQ8" s="22" t="s">
        <v>461</v>
      </c>
      <c r="CR8" s="132" t="s">
        <v>684</v>
      </c>
      <c r="CS8" s="22" t="s">
        <v>406</v>
      </c>
      <c r="CT8" s="132" t="s">
        <v>462</v>
      </c>
      <c r="CU8" s="22" t="s">
        <v>463</v>
      </c>
      <c r="CV8" s="22" t="s">
        <v>464</v>
      </c>
      <c r="CW8" s="22" t="s">
        <v>465</v>
      </c>
      <c r="CX8" s="23" t="s">
        <v>466</v>
      </c>
      <c r="CY8" s="24" t="s">
        <v>467</v>
      </c>
      <c r="CZ8" s="23" t="s">
        <v>468</v>
      </c>
      <c r="DA8" s="25" t="s">
        <v>469</v>
      </c>
      <c r="DB8" s="25" t="s">
        <v>470</v>
      </c>
      <c r="DC8" s="25"/>
      <c r="DD8" s="25" t="s">
        <v>471</v>
      </c>
      <c r="DE8" s="25" t="s">
        <v>434</v>
      </c>
      <c r="DF8" s="88" t="s">
        <v>632</v>
      </c>
      <c r="DG8" s="25"/>
      <c r="DH8" s="124" t="s">
        <v>472</v>
      </c>
      <c r="DI8" s="104" t="s">
        <v>473</v>
      </c>
      <c r="DJ8" s="105" t="s">
        <v>474</v>
      </c>
      <c r="DK8" s="159" t="s">
        <v>475</v>
      </c>
      <c r="DL8" s="160" t="s">
        <v>476</v>
      </c>
      <c r="DM8" s="160" t="s">
        <v>477</v>
      </c>
      <c r="DN8" s="108" t="s">
        <v>478</v>
      </c>
      <c r="DO8" s="108" t="s">
        <v>479</v>
      </c>
      <c r="DP8" s="108" t="s">
        <v>480</v>
      </c>
      <c r="DQ8" s="108" t="s">
        <v>481</v>
      </c>
      <c r="DR8" s="108" t="s">
        <v>482</v>
      </c>
      <c r="DS8" s="108" t="s">
        <v>483</v>
      </c>
      <c r="DT8" s="88" t="s">
        <v>484</v>
      </c>
      <c r="DU8" s="27" t="s">
        <v>545</v>
      </c>
      <c r="DV8" s="27" t="s">
        <v>546</v>
      </c>
      <c r="DW8" s="27" t="s">
        <v>544</v>
      </c>
      <c r="DX8" s="26" t="s">
        <v>418</v>
      </c>
      <c r="DY8" s="88" t="s">
        <v>417</v>
      </c>
      <c r="DZ8" s="121" t="s">
        <v>562</v>
      </c>
      <c r="EA8" s="25" t="s">
        <v>565</v>
      </c>
      <c r="EB8" s="25" t="s">
        <v>610</v>
      </c>
      <c r="ED8" s="7" t="s">
        <v>645</v>
      </c>
      <c r="EE8" s="64" t="s">
        <v>646</v>
      </c>
      <c r="EF8" s="118" t="s">
        <v>680</v>
      </c>
      <c r="EG8" s="7" t="s">
        <v>681</v>
      </c>
      <c r="EH8" s="6" t="s">
        <v>682</v>
      </c>
      <c r="EJ8" s="134" t="s">
        <v>687</v>
      </c>
      <c r="EK8" s="134" t="s">
        <v>685</v>
      </c>
      <c r="EL8" s="135" t="s">
        <v>686</v>
      </c>
      <c r="EM8" s="73" t="s">
        <v>775</v>
      </c>
      <c r="EN8" s="73"/>
      <c r="EO8" s="6" t="s">
        <v>824</v>
      </c>
      <c r="EP8" s="6" t="s">
        <v>825</v>
      </c>
      <c r="ER8" s="6" t="s">
        <v>0</v>
      </c>
      <c r="ET8" s="6" t="s">
        <v>368</v>
      </c>
      <c r="EU8" s="6" t="s">
        <v>831</v>
      </c>
      <c r="EW8" s="134" t="s">
        <v>834</v>
      </c>
      <c r="EX8" s="134" t="s">
        <v>835</v>
      </c>
      <c r="EY8" s="135" t="s">
        <v>686</v>
      </c>
      <c r="EZ8" s="6" t="s">
        <v>838</v>
      </c>
      <c r="FA8" s="6" t="s">
        <v>863</v>
      </c>
      <c r="FB8" s="6" t="s">
        <v>864</v>
      </c>
      <c r="FC8" s="6" t="s">
        <v>834</v>
      </c>
      <c r="FD8" s="6" t="s">
        <v>687</v>
      </c>
      <c r="FE8" s="6" t="s">
        <v>686</v>
      </c>
      <c r="FH8" s="6" t="s">
        <v>866</v>
      </c>
      <c r="FJ8" s="6" t="s">
        <v>870</v>
      </c>
      <c r="FL8" s="11" t="s">
        <v>377</v>
      </c>
    </row>
    <row r="9" spans="1:168" ht="36.75" customHeight="1" thickTop="1" x14ac:dyDescent="0.2">
      <c r="A9" s="28">
        <v>1</v>
      </c>
      <c r="B9" s="29"/>
      <c r="C9" s="30"/>
      <c r="D9" s="31"/>
      <c r="E9" s="31"/>
      <c r="F9" s="30"/>
      <c r="G9" s="32"/>
      <c r="H9" s="276"/>
      <c r="I9" s="277"/>
      <c r="J9" s="30"/>
      <c r="K9" s="33"/>
      <c r="L9" s="33"/>
      <c r="M9" s="158"/>
      <c r="N9" s="33"/>
      <c r="O9" s="33"/>
      <c r="P9" s="278"/>
      <c r="Q9" s="278"/>
      <c r="R9" s="32"/>
      <c r="S9" s="32"/>
      <c r="T9" s="32"/>
      <c r="U9" s="32"/>
      <c r="V9" s="33"/>
      <c r="W9" s="33"/>
      <c r="X9" s="32"/>
      <c r="Y9" s="34"/>
      <c r="Z9" s="35"/>
      <c r="AA9" s="35"/>
      <c r="AB9" s="35"/>
      <c r="AC9" s="157"/>
      <c r="AD9" s="30"/>
      <c r="AE9" s="36" t="str">
        <f t="shared" ref="AE9:AE23" si="0">IF(SUM(D9)=0,"",IF(E9="MS",SUM(((C9*D9)/1000000)*F9),SUM(((C9*D9)/1000000))))</f>
        <v/>
      </c>
      <c r="AI9" s="6">
        <f>IF(M9=$AI$3,C9/1000,0)</f>
        <v>0</v>
      </c>
      <c r="AJ9" s="6">
        <f>IF(M9=$AJ$3,C9/1000*AK9,0)</f>
        <v>0</v>
      </c>
      <c r="AK9" s="6">
        <f>IF(O9&lt;&gt;"",VLOOKUP(O9,'Designer Shutter Data'!$KP$2:$KQ$44,2,FALSE),0)</f>
        <v>0</v>
      </c>
      <c r="AT9" s="37" t="str">
        <f t="shared" ref="AT9:AT23" si="1">IF(G9&lt;&gt;"",BS9+BW9+BX9,"")</f>
        <v/>
      </c>
      <c r="AV9" s="6" t="str">
        <f>IF(G9=$AV$7,'Designer Shutter Data'!$D$38,'Designer Shutter Data'!$D$2)</f>
        <v>FauxwoodDesignerColour</v>
      </c>
      <c r="AW9" s="130" t="e">
        <f>IF(CT9&gt;650, "Yes", "No")</f>
        <v>#N/A</v>
      </c>
      <c r="AX9" s="130" t="e">
        <f>VLOOKUP(M9,'Designer Shutter Data'!$JK$2:$JL$7,2,FALSE)</f>
        <v>#N/A</v>
      </c>
      <c r="AY9" s="38" t="b">
        <v>0</v>
      </c>
      <c r="AZ9" s="38" t="str">
        <f t="shared" ref="AZ9:AZ23" si="2">IF(D9&gt;1500, "Yes","No")</f>
        <v>No</v>
      </c>
      <c r="BA9" s="38" t="e">
        <f t="shared" ref="BA9:BA23" si="3">IF(E9="MS",C9*1,C9/F9)</f>
        <v>#DIV/0!</v>
      </c>
      <c r="BB9" s="38" t="e">
        <f t="shared" ref="BB9:BB23" si="4">IF(OR(AND(BA9&gt;650,G9="Fauxwood"),AND(BA9&gt;650,G9="Fauxwood Blockout"),AND(BA9&gt;950,G9="Basswood")), "Yes","No")</f>
        <v>#DIV/0!</v>
      </c>
      <c r="BC9" s="38" t="e">
        <f t="shared" ref="BC9:BC23" si="5">IF(OR(AND(BA9&gt;650,G9="Fauxwood",E9="MS"),AND(BA9&gt;700,G9="Fauxwood",E9="IN"),AND(BA9&gt;700,G9="Fauxwood",E9="OUT")), "Yes","No")</f>
        <v>#DIV/0!</v>
      </c>
      <c r="BD9" s="38" t="str">
        <f t="shared" ref="BD9:BD23" si="6">IF(D9&gt;2600, "Yes","No")</f>
        <v>No</v>
      </c>
      <c r="BE9" s="38" t="e">
        <f>IF(OR(AND(C9&gt;0,#REF!="")), "Required","NotRequired")</f>
        <v>#REF!</v>
      </c>
      <c r="BF9" s="38" t="b">
        <v>0</v>
      </c>
      <c r="BG9" s="38" t="e">
        <f>IF(OR(AND(AY9="FauxwoodY",BB9="Yes")), "Highlight","NoHighlight")</f>
        <v>#DIV/0!</v>
      </c>
      <c r="BH9" s="39" t="str">
        <f t="shared" ref="BH9:BH23" si="7">IF(OR(AND(M9="Sliding",X9="")), "Highlight","NoHighlight")</f>
        <v>NoHighlight</v>
      </c>
      <c r="BI9" s="38" t="str">
        <f t="shared" ref="BI9:BI23" si="8">IF(OR(AND(G9="Fauxwood",J9="89mm")),"FauxwoodRP","FauxwoodRPNo")</f>
        <v>FauxwoodRPNo</v>
      </c>
      <c r="BJ9" s="110" t="str">
        <f>IF(SUM(--ISNUMBER(SEARCH({"t","T"}, O9))),"Yes","No")</f>
        <v>No</v>
      </c>
      <c r="BK9" s="127" t="str">
        <f t="shared" ref="BK9:BK23" si="9">IF(Y9="N/A", "N/A", IF(OR(AND(Y9&gt;0,Z9="")), "Error","OK"))</f>
        <v>OK</v>
      </c>
      <c r="BL9" s="127" t="str">
        <f t="shared" ref="BL9:BL23" si="10">IF(Y9="N/A", "N/A", IF(OR(AND(Y9&gt;1,AA9="")), "Error","OK"))</f>
        <v>OK</v>
      </c>
      <c r="BM9" s="127" t="str">
        <f t="shared" ref="BM9:BM23" si="11">IF(Y9="N/A", "N/A", IF(OR(AND(Y9&gt;2,AB9="")), "Error","OK"))</f>
        <v>OK</v>
      </c>
      <c r="BN9" s="39" t="str">
        <f t="shared" ref="BN9:BN23" si="12">IF(OR(AND(F9&gt;1,L9="L",L9="l"),AND(F9&gt;1,L9="R",L9="r"),AND(F9&gt;2,L9="LR",L9="lr")), "Error","OK")</f>
        <v>OK</v>
      </c>
      <c r="BO9" s="39" t="str">
        <f t="shared" ref="BO9:BO23" si="13">IF(OR(AND(J9="63mm",G9="Fauxwood"),AND(J9="89mm",G9="Fauxwood")),"FauxwoodAI","FauxwoodAINo")</f>
        <v>FauxwoodAINo</v>
      </c>
      <c r="BP9" s="39" t="str">
        <f>IF(SUM(--ISNUMBER(SEARCH({"combo","Combo","COMBO"}, B26))),"Yes","No")</f>
        <v>No</v>
      </c>
      <c r="BQ9" s="39" t="str">
        <f>IF(OR(AND(BJ9="Yes",BP9="Yes")),"Yes","No")</f>
        <v>No</v>
      </c>
      <c r="BR9" s="39" t="str">
        <f>IF(SUM(--ISNUMBER(SEARCH({"c","C","b","B"}, L9))),"Yes","No")</f>
        <v>No</v>
      </c>
      <c r="BS9" s="11">
        <f t="shared" ref="BS9:BS23" si="14">IF(D9="",0,IF(M9="Fixed","N/A",IF(M9="Sliding","N/A",IF(M9="Track Bi Fold","N/A",IF(M9="Pivot Hinged","N/A",IF(D9&lt;741,2,IF(D9&lt;1321,3,IF(D9&lt;1906,4, IF(D9&lt;2601,5,6)))*IF(F9&gt;0,F9,1)))))))</f>
        <v>0</v>
      </c>
      <c r="BT9" s="11" t="s">
        <v>820</v>
      </c>
      <c r="BU9" s="11" t="s">
        <v>820</v>
      </c>
      <c r="BV9" s="40">
        <f t="shared" ref="BV9:BV23" si="15">IF(D9="",0,IF(M9="Fixed","N/A",IF(M9="Sliding","N/A",IF(M9="Track Bi Fold","N/A",IF(M9="Pivot Hinged","N/A",IF(D9&lt;1220,2,IF(D9&lt;1981,3,IF(D9&lt;2438,4,5)))*IF(F9&gt;0,F9,1))))))</f>
        <v>0</v>
      </c>
      <c r="BW9" s="40">
        <f t="shared" ref="BW9:BW23" si="16">IF(M9="Double Hinged",F9,0)</f>
        <v>0</v>
      </c>
      <c r="BX9" s="11" t="e">
        <f t="shared" ref="BX9:BX23" si="17">IF(C9/F9&gt;650,F9,0)</f>
        <v>#DIV/0!</v>
      </c>
      <c r="BY9" s="11" t="b">
        <v>0</v>
      </c>
      <c r="BZ9" s="11" t="b">
        <v>0</v>
      </c>
      <c r="CA9" s="11" t="e">
        <v>#REF!</v>
      </c>
      <c r="CB9" s="11" t="s">
        <v>82</v>
      </c>
      <c r="CC9" s="11" t="e">
        <f t="shared" ref="CC9:CC23" si="18">IF(OR(AND(BA9&gt;800,G9="Fauxwood",J9="63mm"),AND(BA9&gt;900,G9="Fauxwood",J9="89mm")), "Yes","No")</f>
        <v>#DIV/0!</v>
      </c>
      <c r="CD9" s="11" t="e">
        <f>VLOOKUP(P9,'Designer Shutter Data'!$H$3:$I$19,2,FALSE)</f>
        <v>#N/A</v>
      </c>
      <c r="CE9" s="11" t="s">
        <v>820</v>
      </c>
      <c r="CF9" s="11" t="str">
        <f>IF(SUM(--ISNUMBER(SEARCH({"z","Z"}, P9))),"Yes","No")</f>
        <v>No</v>
      </c>
      <c r="CG9" s="11" t="str">
        <f t="shared" ref="CG9:CG23" si="19">IF(OR(AND(E9="OUT",CF9="Yes")), "Error","OK")</f>
        <v>OK</v>
      </c>
      <c r="CH9" s="11">
        <f t="shared" ref="CH9:CH23" si="20">LEN(O9)</f>
        <v>0</v>
      </c>
      <c r="CI9" s="120" t="e">
        <f>IF(O9="N/A","N/A",VLOOKUP(O9,'Designer Shutter Data'!$AO$3:$AP$171,2,FALSE))</f>
        <v>#N/A</v>
      </c>
      <c r="CJ9" s="120" t="e">
        <f t="shared" ref="CJ9:CJ23" si="21">IF(CI9="N/A", "N/A", IF(F9&lt;&gt;CI9,"Failed","Passed"))</f>
        <v>#N/A</v>
      </c>
      <c r="CK9" s="40"/>
      <c r="CL9" s="40" t="s">
        <v>485</v>
      </c>
      <c r="CM9" s="40" t="str">
        <f>IF(COUNTIF(L9:L23,'Designer Shutter Data'!BJ4),'Designer Shutter Data'!BL4,"")</f>
        <v/>
      </c>
      <c r="CN9" s="41" t="str">
        <f t="shared" ref="CN9:CN23" si="22">IF(AND(OR(G9="Fauxwood Designer",M9="Hinged",M9="Track Bi Fold")), "Error","OK")</f>
        <v>OK</v>
      </c>
      <c r="CO9" s="129" t="b">
        <f t="shared" ref="CO9:CO23" si="23">IF(M9="Hinged",50,IF(M9="Double Hinged",50,IF(M9="Track Bi Fold",0,IF(M9="Sliding",40,IF(M9="Fixed",0,IF(M9="N/A","N/A"))))))</f>
        <v>0</v>
      </c>
      <c r="CP9" s="129" t="b">
        <f t="shared" ref="CP9:CP23" si="24">IF(M9="Hinged",50,IF(M9="Double Hinged",50,IF(M9="Track Bi Fold",0,IF(M9="Sliding",40,IF(M9="Fixed",0, IF(M9="N/A", "N/A"))))))</f>
        <v>0</v>
      </c>
      <c r="CQ9" s="40">
        <f t="shared" ref="CQ9:CQ23" si="25">IF(E9="IN",1,IF(E9="OUT",1,0))</f>
        <v>0</v>
      </c>
      <c r="CR9" s="133">
        <f t="shared" ref="CR9:CR23" si="26">IF(AND(OR(P9="No Frame", P9="Hanging Strip")),CP9,0)</f>
        <v>0</v>
      </c>
      <c r="CS9" s="40">
        <f>CP9*CQ9</f>
        <v>0</v>
      </c>
      <c r="CT9" s="133" t="e">
        <f t="shared" ref="CT9:CT23" si="27">IF(E9="MS",C9, (C9-EL9)/F9)</f>
        <v>#N/A</v>
      </c>
      <c r="CU9" s="11" t="b">
        <v>0</v>
      </c>
      <c r="CV9" s="11" t="b">
        <v>0</v>
      </c>
      <c r="CW9" s="11" t="b">
        <v>0</v>
      </c>
      <c r="CX9" s="11" t="b">
        <v>0</v>
      </c>
      <c r="CY9" s="40" t="e">
        <f>IF(OR(AND(#REF!&gt;0,#REF!="")), "Error","OK")</f>
        <v>#REF!</v>
      </c>
      <c r="CZ9" s="11" t="e">
        <v>#REF!</v>
      </c>
      <c r="DA9" s="6" t="str">
        <f t="shared" ref="DA9:DA23" si="28">IF(AND(OR(G9="Fauxwood"),AND(K9="Yes")), "Yes","")</f>
        <v/>
      </c>
      <c r="DB9" s="6" t="s">
        <v>820</v>
      </c>
      <c r="DC9" s="6" t="s">
        <v>820</v>
      </c>
      <c r="DD9" s="6" t="str">
        <f>IF(M9='Designer Shutter Data'!$F$5,"Yes",IF(M9='Designer Shutter Data'!$F$4,"Yes","No"))</f>
        <v>No</v>
      </c>
      <c r="DE9" s="6" t="b">
        <f>IF(M9='Designer Shutter Data'!$F$3,'Designer Shutter Data'!$FY$7,IF(M9='Designer Shutter Data'!$F$4,'Designer Shutter Data'!$FZ$2,IF(M9='Designer Shutter Data'!$F$5,FJ9, IF(M9='Designer Shutter Data'!$F$6,'Designer Shutter Data'!$GA$2,IF(M9='Designer Shutter Data'!$F$7,'Designer Shutter Data'!$FY$2, IF(M9='Designer Shutter Data'!$F$8,'Designer Shutter Data'!$FZ$7, IF(M9='Designer Shutter Data'!$F$14,'Designer Shutter Data'!$FZ$14)))))))</f>
        <v>0</v>
      </c>
      <c r="DF9" s="6" t="e">
        <f>VLOOKUP(M9,'Designer Shutter Data'!$M$2:$N$8,2,FALSE)</f>
        <v>#N/A</v>
      </c>
      <c r="DH9" s="123" t="e">
        <f>VLOOKUP(O9,'Designer Shutter Data'!$IN$2:$IO$169,2,FALSE)</f>
        <v>#N/A</v>
      </c>
      <c r="DI9" s="103" t="e">
        <f t="shared" ref="DI9:DI23" si="29">Y9-DH9</f>
        <v>#N/A</v>
      </c>
      <c r="DJ9" s="103" t="e">
        <f>IF(DI9=0,"OK", "Layout Code &amp; T Post Quantity Issue")</f>
        <v>#N/A</v>
      </c>
      <c r="DK9" s="7" t="b">
        <f>IF(P9='Designer Shutter Data'!$GC$2,'Designer Shutter Data'!$GD$2,IF(P9='Designer Shutter Data'!$GC$3,'Designer Shutter Data'!$GE$2,IF(P9='Designer Shutter Data'!$GC$4,'Designer Shutter Data'!$GF$2,IF(P9='Designer Shutter Data'!$GC$5,'Designer Shutter Data'!$GG$2,IF(P9='Designer Shutter Data'!$GC$6,'Designer Shutter Data'!$GH$2,IF(P9='Designer Shutter Data'!$GC$7,'Designer Shutter Data'!$GI$2,IF(P9='Designer Shutter Data'!$GC$8,'Designer Shutter Data'!$GJ$2,IF(P9='Designer Shutter Data'!$GC$9,'Designer Shutter Data'!$GK$2,IF(P9='Designer Shutter Data'!$GC$10,'Designer Shutter Data'!$GL$2,IF(P9='Designer Shutter Data'!$GC$11,'Designer Shutter Data'!$GM$2,IF(P9='Designer Shutter Data'!$GC$12,'Designer Shutter Data'!$GN$2,IF(P9='Designer Shutter Data'!$GC$13,'Designer Shutter Data'!$GO$2,IF(P9='Designer Shutter Data'!$GC$14,'Designer Shutter Data'!$GP$2,IF(P9='Designer Shutter Data'!$GC$15,'Designer Shutter Data'!$GD$15,IF(P9='Designer Shutter Data'!$GC$16,'Designer Shutter Data'!$GE$15,IF(P9='Designer Shutter Data'!$GC$17,'Designer Shutter Data'!$GF$15,IF(P9='Designer Shutter Data'!$GC$18,'Designer Shutter Data'!$GG$15,IF(P9='Designer Shutter Data'!$GC$19,'Designer Shutter Data'!$GD$73,IF(P9='Designer Shutter Data'!$GC$20,'Designer Shutter Data'!$GD$88, IF(P9='Designer Shutter Data'!$GC$21,'Designer Shutter Data'!$GH$15, IF(P9='Designer Shutter Data'!$GC$22,'Designer Shutter Data'!$GJ$2, IF(P9='Designer Shutter Data'!$GC$23,'Designer Shutter Data'!$GL$2))))))))))))))))))))))</f>
        <v>0</v>
      </c>
      <c r="DL9" s="7" t="b">
        <f>IF(P9='Designer Shutter Data'!$GC$2,'Designer Shutter Data'!$GD$25,IF(P9='Designer Shutter Data'!$GC$3,'Designer Shutter Data'!$GE$25,IF(P9='Designer Shutter Data'!$GC$4,'Designer Shutter Data'!$GF$25,IF(P9='Designer Shutter Data'!$GC$5,'Designer Shutter Data'!$GG$25,IF(P9='Designer Shutter Data'!$GC$6,'Designer Shutter Data'!$GH$25,IF(P9='Designer Shutter Data'!$GC$7,'Designer Shutter Data'!$GI$25,IF(P9='Designer Shutter Data'!$GC$8,'Designer Shutter Data'!$GJ$25,IF(P9='Designer Shutter Data'!$GC$9,'Designer Shutter Data'!$GK$25,IF(P9='Designer Shutter Data'!$GC$10,'Designer Shutter Data'!$GL$25,IF(P9='Designer Shutter Data'!$GC$11,'Designer Shutter Data'!$GM$25,IF(P9='Designer Shutter Data'!$GC$12,'Designer Shutter Data'!$GN$25,IF(P9='Designer Shutter Data'!$GC$13,'Designer Shutter Data'!$GO$25,IF(P9='Designer Shutter Data'!$GC$14,'Designer Shutter Data'!$GP$25,IF(P9='Designer Shutter Data'!$GC$15,'Designer Shutter Data'!$GD$37,IF(P9='Designer Shutter Data'!$GC$15,'Designer Shutter Data'!$GD$37,IF(P9='Designer Shutter Data'!$GC$16,'Designer Shutter Data'!$GE$37,IF(P9='Designer Shutter Data'!$GC$17,'Designer Shutter Data'!$GF$37,IF(P9='Designer Shutter Data'!$GC$18,'Designer Shutter Data'!$GG$37, IF(P9='Designer Shutter Data'!$GC$19,'Designer Shutter Data'!$GD$73, IF(P9='Designer Shutter Data'!$GC$20,'Designer Shutter Data'!$GE$88, IF(P9='Designer Shutter Data'!$GC$21,'Designer Shutter Data'!$GH$37,IF(P9='Designer Shutter Data'!$GC$22,'Designer Shutter Data'!$GJ$25,IF(P9='Designer Shutter Data'!$GC$23,'Designer Shutter Data'!$GL$25)))))))))))))))))))))))</f>
        <v>0</v>
      </c>
      <c r="DM9" s="118" t="b">
        <f>IF(P9='Designer Shutter Data'!$GC$2,'Designer Shutter Data'!$GD$47,IF(P9='Designer Shutter Data'!$GC$3,'Designer Shutter Data'!$GE$47,IF(P9='Designer Shutter Data'!$GC$4,'Designer Shutter Data'!$GF$47,IF(P9='Designer Shutter Data'!$GC$5,'Designer Shutter Data'!$GG$47,IF(P9='Designer Shutter Data'!$GC$6,'Designer Shutter Data'!$GH$47,IF(P9='Designer Shutter Data'!$GC$7,'Designer Shutter Data'!$GI$47,IF(P9='Designer Shutter Data'!$GC$8,'Designer Shutter Data'!$GJ$47,IF(P9='Designer Shutter Data'!$GC$9,'Designer Shutter Data'!$GK$47,IF(P9='Designer Shutter Data'!$GC$10,'Designer Shutter Data'!$GL$47,IF(P9='Designer Shutter Data'!$GC$11,'Designer Shutter Data'!$GM$47,IF(P9='Designer Shutter Data'!$GC$12,'Designer Shutter Data'!$GN$47,IF(P9='Designer Shutter Data'!$GC$13,'Designer Shutter Data'!$GO$47,IF(P9='Designer Shutter Data'!$GC$14,'Designer Shutter Data'!$GP$47, IF(P9='Designer Shutter Data'!$GC$19,'Designer Shutter Data'!$GD$73, IF(P9='Designer Shutter Data'!$GC$20,'Designer Shutter Data'!$GF$88, IF(M9='Designer Shutter Data'!$F$5,'Designer Shutter Data'!$GE$59, IF(M9='Designer Shutter Data'!$F$6,'Designer Shutter Data'!$GD$59, IF(P9='Designer Shutter Data'!$GC$21,'Designer Shutter Data'!$GF$59,IF(P9='Designer Shutter Data'!$GC$22,'Designer Shutter Data'!$GJ$47,IF(P9='Designer Shutter Data'!$GC$23,'Designer Shutter Data'!$GL$47))))))))))))))))))))</f>
        <v>0</v>
      </c>
      <c r="DN9" s="107" t="str">
        <f>IF(COUNTIF(BK9:BM9,$DN$7),"Required","")</f>
        <v/>
      </c>
      <c r="DO9" s="107" t="e">
        <f>IF(OR(AND(DJ9="Layout Code &amp; T Post Quantity Issue"), AND(DN9="Required")),"Yes","No")</f>
        <v>#N/A</v>
      </c>
      <c r="DP9" s="107" t="str">
        <f t="shared" ref="DP9:DP23" si="30">IF(OR(AND(AA9="",Y9=2)), "Error","OK")</f>
        <v>OK</v>
      </c>
      <c r="DQ9" s="107" t="str">
        <f t="shared" ref="DQ9:DQ23" si="31">IF(OR(AND(Z9&lt;&gt;"",Y9&lt;1)), "Error","OK")</f>
        <v>OK</v>
      </c>
      <c r="DR9" s="107" t="str">
        <f t="shared" ref="DR9:DR23" si="32">IF(OR(AND(AA9&lt;&gt;"",Y9&lt;2)), "Error","OK")</f>
        <v>OK</v>
      </c>
      <c r="DS9" s="107" t="str">
        <f t="shared" ref="DS9:DS23" si="33">IF(OR(AND(AB9&lt;&gt;"",Y9&lt;3)), "Error","OK")</f>
        <v>OK</v>
      </c>
      <c r="DT9" s="7" t="b">
        <f>IF(E9='Designer Shutter Data'!$GV$2,'Designer Shutter Data'!$GW$2,IF(E9='Designer Shutter Data'!$GV$3,'Designer Shutter Data'!$GX$2,IF(E9='Designer Shutter Data'!$GV$4,'Designer Shutter Data'!$GY$2)))</f>
        <v>0</v>
      </c>
      <c r="DU9" s="40" t="e">
        <f>MATCH(E9,'Designer Shutter Data'!$HB$1:$HD$1,0)</f>
        <v>#N/A</v>
      </c>
      <c r="DV9" s="40" t="e">
        <f>MATCH(M9,'Designer Shutter Data'!$HA$2:$HA$8,0)</f>
        <v>#N/A</v>
      </c>
      <c r="DW9" s="11" t="e">
        <f>INDEX('Designer Shutter Data'!$HB$2:$HD$8,DV9,DU9)</f>
        <v>#N/A</v>
      </c>
      <c r="DX9" s="11" t="b">
        <f>IF(E9='Designer Shutter Data'!$IG$1,'Designer Shutter Data'!$IG$2,IF(E9='Designer Shutter Data'!$IH$1,'Designer Shutter Data'!$IH$2, IF(E9='Designer Shutter Data'!$II$1,'Designer Shutter Data'!$II$2)))</f>
        <v>0</v>
      </c>
      <c r="DY9" s="11" t="str">
        <f>IF(E9="MS",'Designer Shutter Data'!$BI$2,IF(G9='Designer Shutter Data'!$BJ$34,'Designer Shutter Data'!$BJ$35,'Designer Shutter Data'!$BJ$2))</f>
        <v>FauxwoodDesignerWindowType</v>
      </c>
      <c r="DZ9" s="118" t="b">
        <f>IF(M9='Designer Shutter Data'!$F$3,'Designer Shutter Data'!$GF$88, IF(M9='Designer Shutter Data'!$F$4,'Designer Shutter Data'!$GF$59, IF(M9='Designer Shutter Data'!$F$5,'Designer Shutter Data'!$GE$59, IF(M9='Designer Shutter Data'!$F$6,'Designer Shutter Data'!$GD$59, IF(M9='Designer Shutter Data'!$F$7,'Designer Shutter Data'!$GD$73)))))</f>
        <v>0</v>
      </c>
      <c r="EA9" s="40" t="str">
        <f>IF(COUNTIF(E9:E23, 'Designer Shutter Data'!IR1),'Designer Shutter Data'!IS1,"")</f>
        <v/>
      </c>
      <c r="EB9" s="6" t="b">
        <f>IF(M9='Designer Shutter Data'!$IT$2,'Designer Shutter Data'!$JA$2, IF(M9='Designer Shutter Data'!$IT$3,'Designer Shutter Data'!$JC$2, IF(M9='Designer Shutter Data'!$IT$4,'Designer Shutter Data'!$JE$2, IF(M9='Designer Shutter Data'!$IT$5,'Designer Shutter Data'!$JG$2, IF(M9='Designer Shutter Data'!$IT$6,'Designer Shutter Data'!$JI$2, IF(M9='Designer Shutter Data'!$IT$7,'Designer Shutter Data'!$JZ$2, IF(M9='Designer Shutter Data'!$IT$8,'Designer Shutter Data'!$JI$16)))))))</f>
        <v>0</v>
      </c>
      <c r="EC9" s="6" t="str">
        <f t="shared" ref="EC9:EC23" si="34">IF(OR(AND(M9="Sliding",U9=""),AND(M9="Track Bi Fold",U9="")),"Highlight","NoHighlight")</f>
        <v>NoHighlight</v>
      </c>
      <c r="ED9" s="7" t="e">
        <f>VLOOKUP(M9,'Designer Shutter Data'!$JW$5:$JX$10,2,FALSE)</f>
        <v>#N/A</v>
      </c>
      <c r="EE9" s="7" t="e">
        <f t="shared" ref="EE9:EE23" si="35">IF(OR(AND(W9="",ED9="Yes")), "Yes","No")</f>
        <v>#N/A</v>
      </c>
      <c r="EF9" s="118" t="e">
        <f>VLOOKUP(O9,'Designer Shutter Data'!$AO$3:$AQ$171,1,FALSE)</f>
        <v>#N/A</v>
      </c>
      <c r="EG9" s="7" t="e">
        <f t="shared" ref="EG9:EG23" si="36">EXACT(O9,EF9)</f>
        <v>#N/A</v>
      </c>
      <c r="EH9" s="6" t="str">
        <f t="shared" ref="EH9:EH23" si="37">IF(O9="","",IFERROR(EG9,"ERROR"))</f>
        <v/>
      </c>
      <c r="EJ9" s="40" t="e">
        <f>MATCH(M9,'Designer Shutter Data'!$KD$1:$KI$1,0)</f>
        <v>#N/A</v>
      </c>
      <c r="EK9" s="40" t="e">
        <f>MATCH(P9,'Designer Shutter Data'!$KC$2:$KC$21,0)</f>
        <v>#N/A</v>
      </c>
      <c r="EL9" s="136" t="e">
        <f>INDEX('Designer Shutter Data'!$KD$2:$KI$21,EK9,EJ9)</f>
        <v>#N/A</v>
      </c>
      <c r="EM9" s="73">
        <f>IF(COUNT(C9:C23)&gt;0,1,0)</f>
        <v>0</v>
      </c>
      <c r="EN9" s="73" t="s">
        <v>776</v>
      </c>
      <c r="EO9" s="6" t="s">
        <v>822</v>
      </c>
      <c r="EP9" s="6" t="str">
        <f>IF(AC9&lt;&gt;$EO$4,'Designer Shutter Data'!$BR$2,'Designer Shutter Data'!$BR$9)</f>
        <v>Fluffy_Strip_Fauxwood</v>
      </c>
      <c r="ER9" s="6" t="str">
        <f>IF(G9='Designer Shutter Data'!$E$26,'Designer Shutter Data'!$E$27,IF(G9='Designer Shutter Data'!$E$37,'Designer Shutter Data'!$E$38,'Designer Shutter Data'!$E$2))</f>
        <v>FauxwoodDesignerBladeSize</v>
      </c>
      <c r="ET9" s="6" t="str">
        <f>IF(G9=$EU$7,$EU$8,$EO$8)</f>
        <v>Stile T Post</v>
      </c>
      <c r="EU9" s="6" t="s">
        <v>822</v>
      </c>
      <c r="EW9" s="40" t="e">
        <f>MATCH(G9,'Designer Shutter Data'!$AV$27:$AV$30,0)</f>
        <v>#N/A</v>
      </c>
      <c r="EX9" s="40" t="e">
        <f>MATCH(AC9,'Designer Shutter Data'!$AW$26:$AX$26,0)</f>
        <v>#N/A</v>
      </c>
      <c r="EY9" s="136" t="e">
        <f>INDEX('Designer Shutter Data'!$AW$27:$AX$30,EW9,EX9)</f>
        <v>#N/A</v>
      </c>
      <c r="EZ9" s="6" t="str">
        <f>IF(G9='Designer Shutter Data'!$S$15,'Designer Shutter Data'!$S$16, IF(G9=$FB$7,'Designer Shutter Data'!$T$15,'Designer Shutter Data'!$S$2))</f>
        <v>FauxwoodDesignerTiltrod</v>
      </c>
      <c r="FA9" s="6" t="e">
        <f>IF(G9=$FB$7,"No",VLOOKUP(L9,'Designer Shutter Data'!$BJ$62:$BK$75,2,FALSE))</f>
        <v>#N/A</v>
      </c>
      <c r="FB9" s="6" t="e">
        <f>IF(FA9="Yes", 'Designer Shutter Data'!$T$2,IF(G9=$FB$7,'Designer Shutter Data'!$T$15,'Designer Shutters Page 1'!EZ9))</f>
        <v>#N/A</v>
      </c>
      <c r="FC9" s="6" t="e">
        <f>MATCH(G9,'Designer Shutter Data'!$IG$15:$IJ$15,0)</f>
        <v>#N/A</v>
      </c>
      <c r="FD9" s="6" t="e">
        <f>MATCH(E9,'Designer Shutter Data'!$IF$16:$IF$18,0)</f>
        <v>#N/A</v>
      </c>
      <c r="FE9" s="6" t="e">
        <f>INDEX('Designer Shutter Data'!$IG$16:$IJ$18, 'Designer Shutters Page 1'!FD9, 'Designer Shutters Page 1'!FC9)</f>
        <v>#N/A</v>
      </c>
      <c r="FH9" s="6" t="str">
        <f>IF(M9=$FH$2,$FH$3,$FI$3)</f>
        <v>SlidingSystemNA</v>
      </c>
      <c r="FJ9" s="6" t="e">
        <f>VLOOKUP(O9,'Designer Shutter Data'!$KP$2:$KR$44,3,FALSE)</f>
        <v>#N/A</v>
      </c>
      <c r="FL9" s="11" t="b">
        <f>IF(N9=$FL$7,'Designer Shutter Data'!$GH$98,DM9)</f>
        <v>0</v>
      </c>
    </row>
    <row r="10" spans="1:168" ht="36.75" customHeight="1" x14ac:dyDescent="0.2">
      <c r="A10" s="42">
        <v>2</v>
      </c>
      <c r="B10" s="43"/>
      <c r="C10" s="44"/>
      <c r="D10" s="31"/>
      <c r="E10" s="31"/>
      <c r="F10" s="31"/>
      <c r="G10" s="43"/>
      <c r="H10" s="234"/>
      <c r="I10" s="235"/>
      <c r="J10" s="44"/>
      <c r="K10" s="45"/>
      <c r="L10" s="45"/>
      <c r="M10" s="45"/>
      <c r="N10" s="45"/>
      <c r="O10" s="45"/>
      <c r="P10" s="236"/>
      <c r="Q10" s="236"/>
      <c r="R10" s="43"/>
      <c r="S10" s="43"/>
      <c r="T10" s="43"/>
      <c r="U10" s="43"/>
      <c r="V10" s="45"/>
      <c r="W10" s="45"/>
      <c r="X10" s="43"/>
      <c r="Y10" s="46"/>
      <c r="Z10" s="47"/>
      <c r="AA10" s="47"/>
      <c r="AB10" s="47"/>
      <c r="AC10" s="44"/>
      <c r="AD10" s="44"/>
      <c r="AE10" s="48" t="str">
        <f t="shared" si="0"/>
        <v/>
      </c>
      <c r="AI10" s="6">
        <f t="shared" ref="AI10:AI23" si="38">IF(M10=$AI$3,C10/1000,0)</f>
        <v>0</v>
      </c>
      <c r="AJ10" s="6">
        <f t="shared" ref="AJ10:AJ23" si="39">IF(M10=$AJ$3,C10/1000*AK10,0)</f>
        <v>0</v>
      </c>
      <c r="AK10" s="6">
        <f>IF(O10&lt;&gt;"",VLOOKUP(O10,'Designer Shutter Data'!$KP$2:$KQ$44,2,FALSE),0)</f>
        <v>0</v>
      </c>
      <c r="AT10" s="49" t="str">
        <f t="shared" si="1"/>
        <v/>
      </c>
      <c r="AV10" s="6" t="str">
        <f>IF(G10=$AV$7,'Designer Shutter Data'!$D$38,'Designer Shutter Data'!$D$2)</f>
        <v>FauxwoodDesignerColour</v>
      </c>
      <c r="AW10" s="130" t="e">
        <f t="shared" ref="AW10:AW23" si="40">IF(CT10&gt;650, "Yes", "No")</f>
        <v>#N/A</v>
      </c>
      <c r="AX10" s="130" t="e">
        <f>VLOOKUP(M10,'Designer Shutter Data'!$JK$2:$JL$7,2,FALSE)</f>
        <v>#N/A</v>
      </c>
      <c r="AY10" s="38" t="b">
        <v>0</v>
      </c>
      <c r="AZ10" s="38" t="str">
        <f t="shared" si="2"/>
        <v>No</v>
      </c>
      <c r="BA10" s="38" t="e">
        <f t="shared" si="3"/>
        <v>#DIV/0!</v>
      </c>
      <c r="BB10" s="38" t="e">
        <f t="shared" si="4"/>
        <v>#DIV/0!</v>
      </c>
      <c r="BC10" s="38" t="e">
        <f t="shared" si="5"/>
        <v>#DIV/0!</v>
      </c>
      <c r="BD10" s="38" t="str">
        <f t="shared" si="6"/>
        <v>No</v>
      </c>
      <c r="BE10" s="38" t="e">
        <f>IF(OR(AND(C10&gt;0,#REF!="")), "Required","NotRequired")</f>
        <v>#REF!</v>
      </c>
      <c r="BF10" s="38" t="b">
        <v>0</v>
      </c>
      <c r="BG10" s="38" t="e">
        <f t="shared" ref="BG10:BG23" si="41">IF(OR(AND(AY10="FauxwoodY",BB10="Yes")), "Highlight","NoHighlight")</f>
        <v>#DIV/0!</v>
      </c>
      <c r="BH10" s="39" t="str">
        <f t="shared" si="7"/>
        <v>NoHighlight</v>
      </c>
      <c r="BI10" s="38" t="str">
        <f t="shared" si="8"/>
        <v>FauxwoodRPNo</v>
      </c>
      <c r="BJ10" s="110" t="str">
        <f>IF(SUM(--ISNUMBER(SEARCH({"t","T"}, O10))),"Yes","No")</f>
        <v>No</v>
      </c>
      <c r="BK10" s="127" t="str">
        <f t="shared" si="9"/>
        <v>OK</v>
      </c>
      <c r="BL10" s="127" t="str">
        <f t="shared" si="10"/>
        <v>OK</v>
      </c>
      <c r="BM10" s="127" t="str">
        <f t="shared" si="11"/>
        <v>OK</v>
      </c>
      <c r="BN10" s="39" t="str">
        <f t="shared" si="12"/>
        <v>OK</v>
      </c>
      <c r="BO10" s="39" t="str">
        <f t="shared" si="13"/>
        <v>FauxwoodAINo</v>
      </c>
      <c r="BP10" s="39" t="str">
        <f>IF(SUM(--ISNUMBER(SEARCH({"combo","Combo","COMBO"}, B27))),"Yes","No")</f>
        <v>No</v>
      </c>
      <c r="BQ10" s="39" t="str">
        <f t="shared" ref="BQ10:BQ23" si="42">IF(OR(AND(BJ10="Yes",BP10="Yes")),"Yes","No")</f>
        <v>No</v>
      </c>
      <c r="BR10" s="39" t="str">
        <f>IF(SUM(--ISNUMBER(SEARCH({"c","C","b","B"}, L10))),"Yes","No")</f>
        <v>No</v>
      </c>
      <c r="BS10" s="11">
        <f t="shared" si="14"/>
        <v>0</v>
      </c>
      <c r="BT10" s="11" t="s">
        <v>820</v>
      </c>
      <c r="BU10" s="11" t="s">
        <v>820</v>
      </c>
      <c r="BV10" s="40">
        <f t="shared" si="15"/>
        <v>0</v>
      </c>
      <c r="BW10" s="40">
        <f t="shared" si="16"/>
        <v>0</v>
      </c>
      <c r="BX10" s="11" t="e">
        <f t="shared" si="17"/>
        <v>#DIV/0!</v>
      </c>
      <c r="BY10" s="11" t="b">
        <v>0</v>
      </c>
      <c r="BZ10" s="11" t="b">
        <v>0</v>
      </c>
      <c r="CA10" s="11" t="e">
        <v>#REF!</v>
      </c>
      <c r="CB10" s="11" t="s">
        <v>82</v>
      </c>
      <c r="CC10" s="11" t="e">
        <f t="shared" si="18"/>
        <v>#DIV/0!</v>
      </c>
      <c r="CD10" s="11" t="e">
        <f>VLOOKUP(P10,'Designer Shutter Data'!$H$3:$I$19,2,FALSE)</f>
        <v>#N/A</v>
      </c>
      <c r="CE10" s="11" t="s">
        <v>820</v>
      </c>
      <c r="CF10" s="11" t="str">
        <f>IF(SUM(--ISNUMBER(SEARCH({"z","Z"}, P10))),"Yes","No")</f>
        <v>No</v>
      </c>
      <c r="CG10" s="11" t="str">
        <f t="shared" si="19"/>
        <v>OK</v>
      </c>
      <c r="CH10" s="11">
        <f t="shared" si="20"/>
        <v>0</v>
      </c>
      <c r="CI10" s="120" t="e">
        <f>IF(O10="N/A","N/A",VLOOKUP(O10,'Designer Shutter Data'!$AO$3:$AP$171,2,FALSE))</f>
        <v>#N/A</v>
      </c>
      <c r="CJ10" s="120" t="e">
        <f t="shared" si="21"/>
        <v>#N/A</v>
      </c>
      <c r="CK10" s="40"/>
      <c r="CL10" s="40" t="s">
        <v>486</v>
      </c>
      <c r="CM10" s="40" t="str">
        <f>IF(COUNTIF(L9:L23,'Designer Shutter Data'!BJ5),'Designer Shutter Data'!BL5,"")</f>
        <v/>
      </c>
      <c r="CN10" s="41" t="str">
        <f t="shared" si="22"/>
        <v>OK</v>
      </c>
      <c r="CO10" s="129" t="b">
        <f t="shared" si="23"/>
        <v>0</v>
      </c>
      <c r="CP10" s="129" t="b">
        <f t="shared" si="24"/>
        <v>0</v>
      </c>
      <c r="CQ10" s="40">
        <f t="shared" si="25"/>
        <v>0</v>
      </c>
      <c r="CR10" s="133">
        <f t="shared" si="26"/>
        <v>0</v>
      </c>
      <c r="CS10" s="40">
        <f t="shared" ref="CS10:CS23" si="43">CP10*CQ10</f>
        <v>0</v>
      </c>
      <c r="CT10" s="133" t="e">
        <f t="shared" si="27"/>
        <v>#N/A</v>
      </c>
      <c r="CU10" s="11" t="b">
        <v>0</v>
      </c>
      <c r="CV10" s="11" t="b">
        <v>0</v>
      </c>
      <c r="CW10" s="11" t="b">
        <v>0</v>
      </c>
      <c r="CX10" s="11" t="b">
        <v>0</v>
      </c>
      <c r="CY10" s="40" t="e">
        <f>IF(OR(AND(#REF!&gt;0,#REF!="")), "Error","OK")</f>
        <v>#REF!</v>
      </c>
      <c r="CZ10" s="11" t="e">
        <v>#REF!</v>
      </c>
      <c r="DA10" s="6" t="str">
        <f t="shared" si="28"/>
        <v/>
      </c>
      <c r="DD10" s="6" t="s">
        <v>84</v>
      </c>
      <c r="DE10" s="6" t="b">
        <f>IF(M10='Designer Shutter Data'!$F$3,'Designer Shutter Data'!$FY$7,IF(M10='Designer Shutter Data'!$F$4,'Designer Shutter Data'!$FZ$2,IF(M10='Designer Shutter Data'!$F$5,FJ10, IF(M10='Designer Shutter Data'!$F$6,'Designer Shutter Data'!$GA$2,IF(M10='Designer Shutter Data'!$F$7,'Designer Shutter Data'!$FY$2, IF(M10='Designer Shutter Data'!$F$8,'Designer Shutter Data'!$FZ$7, IF(M10='Designer Shutter Data'!$F$14,'Designer Shutter Data'!$FZ$14)))))))</f>
        <v>0</v>
      </c>
      <c r="DF10" s="6" t="e">
        <f>VLOOKUP(M10,'Designer Shutter Data'!$M$2:$N$8,2,FALSE)</f>
        <v>#N/A</v>
      </c>
      <c r="DH10" s="123" t="e">
        <f>VLOOKUP(O10,'Designer Shutter Data'!$IN$2:$IO$169,2,FALSE)</f>
        <v>#N/A</v>
      </c>
      <c r="DI10" s="103" t="e">
        <f t="shared" si="29"/>
        <v>#N/A</v>
      </c>
      <c r="DJ10" s="103" t="e">
        <f t="shared" ref="DJ10:DJ23" si="44">IF(DI10=0,"OK", "Layout Code &amp; T Post Quantity Issue")</f>
        <v>#N/A</v>
      </c>
      <c r="DK10" s="7" t="b">
        <f>IF(P10='Designer Shutter Data'!$GC$2,'Designer Shutter Data'!$GD$2,IF(P10='Designer Shutter Data'!$GC$3,'Designer Shutter Data'!$GE$2,IF(P10='Designer Shutter Data'!$GC$4,'Designer Shutter Data'!$GF$2,IF(P10='Designer Shutter Data'!$GC$5,'Designer Shutter Data'!$GG$2,IF(P10='Designer Shutter Data'!$GC$6,'Designer Shutter Data'!$GH$2,IF(P10='Designer Shutter Data'!$GC$7,'Designer Shutter Data'!$GI$2,IF(P10='Designer Shutter Data'!$GC$8,'Designer Shutter Data'!$GJ$2,IF(P10='Designer Shutter Data'!$GC$9,'Designer Shutter Data'!$GK$2,IF(P10='Designer Shutter Data'!$GC$10,'Designer Shutter Data'!$GL$2,IF(P10='Designer Shutter Data'!$GC$11,'Designer Shutter Data'!$GM$2,IF(P10='Designer Shutter Data'!$GC$12,'Designer Shutter Data'!$GN$2,IF(P10='Designer Shutter Data'!$GC$13,'Designer Shutter Data'!$GO$2,IF(P10='Designer Shutter Data'!$GC$14,'Designer Shutter Data'!$GP$2,IF(P10='Designer Shutter Data'!$GC$15,'Designer Shutter Data'!$GD$15,IF(P10='Designer Shutter Data'!$GC$16,'Designer Shutter Data'!$GE$15,IF(P10='Designer Shutter Data'!$GC$17,'Designer Shutter Data'!$GF$15,IF(P10='Designer Shutter Data'!$GC$18,'Designer Shutter Data'!$GG$15,IF(P10='Designer Shutter Data'!$GC$19,'Designer Shutter Data'!$GD$73,IF(P10='Designer Shutter Data'!$GC$20,'Designer Shutter Data'!$GD$88, IF(P10='Designer Shutter Data'!$GC$21,'Designer Shutter Data'!$GH$15, IF(P10='Designer Shutter Data'!$GC$22,'Designer Shutter Data'!$GJ$2, IF(P10='Designer Shutter Data'!$GC$23,'Designer Shutter Data'!$GL$2))))))))))))))))))))))</f>
        <v>0</v>
      </c>
      <c r="DL10" s="7" t="b">
        <f>IF(P10='Designer Shutter Data'!$GC$2,'Designer Shutter Data'!$GD$25,IF(P10='Designer Shutter Data'!$GC$3,'Designer Shutter Data'!$GE$25,IF(P10='Designer Shutter Data'!$GC$4,'Designer Shutter Data'!$GF$25,IF(P10='Designer Shutter Data'!$GC$5,'Designer Shutter Data'!$GG$25,IF(P10='Designer Shutter Data'!$GC$6,'Designer Shutter Data'!$GH$25,IF(P10='Designer Shutter Data'!$GC$7,'Designer Shutter Data'!$GI$25,IF(P10='Designer Shutter Data'!$GC$8,'Designer Shutter Data'!$GJ$25,IF(P10='Designer Shutter Data'!$GC$9,'Designer Shutter Data'!$GK$25,IF(P10='Designer Shutter Data'!$GC$10,'Designer Shutter Data'!$GL$25,IF(P10='Designer Shutter Data'!$GC$11,'Designer Shutter Data'!$GM$25,IF(P10='Designer Shutter Data'!$GC$12,'Designer Shutter Data'!$GN$25,IF(P10='Designer Shutter Data'!$GC$13,'Designer Shutter Data'!$GO$25,IF(P10='Designer Shutter Data'!$GC$14,'Designer Shutter Data'!$GP$25,IF(P10='Designer Shutter Data'!$GC$15,'Designer Shutter Data'!$GD$37,IF(P10='Designer Shutter Data'!$GC$15,'Designer Shutter Data'!$GD$37,IF(P10='Designer Shutter Data'!$GC$16,'Designer Shutter Data'!$GE$37,IF(P10='Designer Shutter Data'!$GC$17,'Designer Shutter Data'!$GF$37,IF(P10='Designer Shutter Data'!$GC$18,'Designer Shutter Data'!$GG$37, IF(P10='Designer Shutter Data'!$GC$19,'Designer Shutter Data'!$GD$73, IF(P10='Designer Shutter Data'!$GC$20,'Designer Shutter Data'!$GE$88, IF(P10='Designer Shutter Data'!$GC$21,'Designer Shutter Data'!$GH$37,IF(P10='Designer Shutter Data'!$GC$22,'Designer Shutter Data'!$GJ$25,IF(P10='Designer Shutter Data'!$GC$23,'Designer Shutter Data'!$GL$25)))))))))))))))))))))))</f>
        <v>0</v>
      </c>
      <c r="DM10" s="118" t="b">
        <f>IF(P10='Designer Shutter Data'!$GC$2,'Designer Shutter Data'!$GD$47,IF(P10='Designer Shutter Data'!$GC$3,'Designer Shutter Data'!$GE$47,IF(P10='Designer Shutter Data'!$GC$4,'Designer Shutter Data'!$GF$47,IF(P10='Designer Shutter Data'!$GC$5,'Designer Shutter Data'!$GG$47,IF(P10='Designer Shutter Data'!$GC$6,'Designer Shutter Data'!$GH$47,IF(P10='Designer Shutter Data'!$GC$7,'Designer Shutter Data'!$GI$47,IF(P10='Designer Shutter Data'!$GC$8,'Designer Shutter Data'!$GJ$47,IF(P10='Designer Shutter Data'!$GC$9,'Designer Shutter Data'!$GK$47,IF(P10='Designer Shutter Data'!$GC$10,'Designer Shutter Data'!$GL$47,IF(P10='Designer Shutter Data'!$GC$11,'Designer Shutter Data'!$GM$47,IF(P10='Designer Shutter Data'!$GC$12,'Designer Shutter Data'!$GN$47,IF(P10='Designer Shutter Data'!$GC$13,'Designer Shutter Data'!$GO$47,IF(P10='Designer Shutter Data'!$GC$14,'Designer Shutter Data'!$GP$47, IF(P10='Designer Shutter Data'!$GC$19,'Designer Shutter Data'!$GD$73, IF(P10='Designer Shutter Data'!$GC$20,'Designer Shutter Data'!$GF$88, IF(M10='Designer Shutter Data'!$F$5,'Designer Shutter Data'!$GE$59, IF(M10='Designer Shutter Data'!$F$6,'Designer Shutter Data'!$GD$59, IF(P10='Designer Shutter Data'!$GC$21,'Designer Shutter Data'!$GF$59,IF(P10='Designer Shutter Data'!$GC$22,'Designer Shutter Data'!$GJ$47,IF(P10='Designer Shutter Data'!$GC$23,'Designer Shutter Data'!$GL$47))))))))))))))))))))</f>
        <v>0</v>
      </c>
      <c r="DN10" s="107" t="str">
        <f t="shared" ref="DN10:DN23" si="45">IF(COUNTIF(BK10:BM10,$DN$7),"Required","")</f>
        <v/>
      </c>
      <c r="DO10" s="107" t="e">
        <f t="shared" ref="DO10:DO23" si="46">IF(OR(AND(DJ10="Layout Code &amp; T Post Quantity Issue"), AND(DN10="Required")),"Yes","No")</f>
        <v>#N/A</v>
      </c>
      <c r="DP10" s="107" t="str">
        <f t="shared" si="30"/>
        <v>OK</v>
      </c>
      <c r="DQ10" s="107" t="str">
        <f t="shared" si="31"/>
        <v>OK</v>
      </c>
      <c r="DR10" s="107" t="str">
        <f t="shared" si="32"/>
        <v>OK</v>
      </c>
      <c r="DS10" s="107" t="str">
        <f t="shared" si="33"/>
        <v>OK</v>
      </c>
      <c r="DT10" s="7" t="b">
        <f>IF(E10='Designer Shutter Data'!$GV$2,'Designer Shutter Data'!$GW$2,IF(E10='Designer Shutter Data'!$GV$3,'Designer Shutter Data'!$GX$2,IF(E10='Designer Shutter Data'!$GV$4,'Designer Shutter Data'!$GY$2)))</f>
        <v>0</v>
      </c>
      <c r="DU10" s="40" t="e">
        <f>MATCH(E10,'Designer Shutter Data'!$HB$1:$HD$1,0)</f>
        <v>#N/A</v>
      </c>
      <c r="DV10" s="40" t="e">
        <f>MATCH(M10,'Designer Shutter Data'!$HA$2:$HA$8,0)</f>
        <v>#N/A</v>
      </c>
      <c r="DW10" s="11" t="e">
        <f>INDEX('Designer Shutter Data'!$HB$2:$HD$8,DV10,DU10)</f>
        <v>#N/A</v>
      </c>
      <c r="DX10" s="11" t="b">
        <f>IF(E10='Designer Shutter Data'!$IG$1,'Designer Shutter Data'!$IG$2,IF(E10='Designer Shutter Data'!$IH$1,'Designer Shutter Data'!$IH$2, IF(E10='Designer Shutter Data'!$II$1,'Designer Shutter Data'!$II$2)))</f>
        <v>0</v>
      </c>
      <c r="DY10" s="11" t="str">
        <f>IF(E10="MS",'Designer Shutter Data'!$BI$2,IF(G10='Designer Shutter Data'!$BJ$34,'Designer Shutter Data'!$BJ$35,'Designer Shutter Data'!$BJ$2))</f>
        <v>FauxwoodDesignerWindowType</v>
      </c>
      <c r="DZ10" s="118" t="b">
        <f>IF(M10='Designer Shutter Data'!$F$3,'Designer Shutter Data'!$GF$88, IF(M10='Designer Shutter Data'!$F$4,'Designer Shutter Data'!$GE$59, IF(M10='Designer Shutter Data'!$F$5,'Designer Shutter Data'!$GD$59, IF(M10='Designer Shutter Data'!$F$6,'Designer Shutter Data'!$GD$59, IF(M10='Designer Shutter Data'!$F$7,'Designer Shutter Data'!$GD$73)))))</f>
        <v>0</v>
      </c>
      <c r="EA10" s="40"/>
      <c r="EB10" s="6" t="b">
        <f>IF(M10='Designer Shutter Data'!$IT$2,'Designer Shutter Data'!$JA$2, IF(M10='Designer Shutter Data'!$IT$3,'Designer Shutter Data'!$JC$2, IF(M10='Designer Shutter Data'!$IT$4,'Designer Shutter Data'!$JE$2, IF(M10='Designer Shutter Data'!$IT$5,'Designer Shutter Data'!$JG$2, IF(M10='Designer Shutter Data'!$IT$6,'Designer Shutter Data'!$JI$2, IF(M10='Designer Shutter Data'!$IT$7,'Designer Shutter Data'!$JZ$2, IF(M10='Designer Shutter Data'!$IT$8,'Designer Shutter Data'!$JI$16)))))))</f>
        <v>0</v>
      </c>
      <c r="EC10" s="6" t="str">
        <f t="shared" si="34"/>
        <v>NoHighlight</v>
      </c>
      <c r="ED10" s="7" t="e">
        <f>VLOOKUP(M10,'Designer Shutter Data'!$JW$5:$JX$10,2,FALSE)</f>
        <v>#N/A</v>
      </c>
      <c r="EE10" s="7" t="e">
        <f t="shared" si="35"/>
        <v>#N/A</v>
      </c>
      <c r="EF10" s="118" t="e">
        <f>VLOOKUP(O10,'Designer Shutter Data'!$AO$3:$AQ$171,1,FALSE)</f>
        <v>#N/A</v>
      </c>
      <c r="EG10" s="7" t="e">
        <f t="shared" si="36"/>
        <v>#N/A</v>
      </c>
      <c r="EH10" s="6" t="str">
        <f t="shared" si="37"/>
        <v/>
      </c>
      <c r="EJ10" s="40" t="e">
        <f>MATCH(M10,'Designer Shutter Data'!$KD$1:$KI$1,0)</f>
        <v>#N/A</v>
      </c>
      <c r="EK10" s="40" t="e">
        <f>MATCH(P10,'Designer Shutter Data'!$KC$2:$KC$21,0)</f>
        <v>#N/A</v>
      </c>
      <c r="EL10" s="136" t="e">
        <f>INDEX('Designer Shutter Data'!$KD$2:$KI$21,EK10,EJ10)</f>
        <v>#N/A</v>
      </c>
      <c r="EM10" s="73">
        <f>IF(COUNT('Designer Shutters Page 2'!C9:C23)&gt;0,2,0)</f>
        <v>0</v>
      </c>
      <c r="EN10" s="73" t="s">
        <v>777</v>
      </c>
      <c r="EO10" s="6" t="s">
        <v>823</v>
      </c>
      <c r="EP10" s="6" t="str">
        <f>IF(AC10&lt;&gt;$EO$4,'Designer Shutter Data'!$BR$2,'Designer Shutter Data'!$BR$9)</f>
        <v>Fluffy_Strip_Fauxwood</v>
      </c>
      <c r="ER10" s="6" t="str">
        <f>IF(G10='Designer Shutter Data'!$E$26,'Designer Shutter Data'!$E$27,IF(G10='Designer Shutter Data'!$E$37,'Designer Shutter Data'!$E$38,'Designer Shutter Data'!$E$2))</f>
        <v>FauxwoodDesignerBladeSize</v>
      </c>
      <c r="ET10" s="6" t="str">
        <f t="shared" ref="ET10:ET23" si="47">IF(G10=$EU$7,$EU$8,$EO$8)</f>
        <v>Stile T Post</v>
      </c>
      <c r="EW10" s="40" t="e">
        <f>MATCH(G10,'Designer Shutter Data'!$AV$27:$AV$30,0)</f>
        <v>#N/A</v>
      </c>
      <c r="EX10" s="40" t="e">
        <f>MATCH(AC10,'Designer Shutter Data'!$AW$26:$AX$26,0)</f>
        <v>#N/A</v>
      </c>
      <c r="EY10" s="136" t="e">
        <f>INDEX('Designer Shutter Data'!$AW$27:$AX$30,EW10,EX10)</f>
        <v>#N/A</v>
      </c>
      <c r="EZ10" s="6" t="str">
        <f>IF(G10='Designer Shutter Data'!$S$15,'Designer Shutter Data'!$S$16, IF(G10=$FB$7,'Designer Shutter Data'!$T$15,'Designer Shutter Data'!$S$2))</f>
        <v>FauxwoodDesignerTiltrod</v>
      </c>
      <c r="FA10" s="6" t="e">
        <f>IF(G10=$FB$7,"No",VLOOKUP(L10,'Designer Shutter Data'!$BJ$62:$BK$75,2,FALSE))</f>
        <v>#N/A</v>
      </c>
      <c r="FB10" s="6" t="e">
        <f>IF(FA10="Yes", 'Designer Shutter Data'!$T$2,IF(G10=$FB$7,'Designer Shutter Data'!$T$15,'Designer Shutters Page 1'!EZ10))</f>
        <v>#N/A</v>
      </c>
      <c r="FC10" s="6" t="e">
        <f>MATCH(G10,'Designer Shutter Data'!$IG$15:$IJ$15,0)</f>
        <v>#N/A</v>
      </c>
      <c r="FD10" s="6" t="e">
        <f>MATCH(E10,'Designer Shutter Data'!$IF$16:$IF$18,0)</f>
        <v>#N/A</v>
      </c>
      <c r="FE10" s="6" t="e">
        <f>INDEX('Designer Shutter Data'!$IG$16:$IJ$18, 'Designer Shutters Page 1'!FD10, 'Designer Shutters Page 1'!FC10)</f>
        <v>#N/A</v>
      </c>
      <c r="FH10" s="6" t="str">
        <f t="shared" ref="FH10:FH23" si="48">IF(M10=$FH$2,$FH$3,$FI$3)</f>
        <v>SlidingSystemNA</v>
      </c>
      <c r="FJ10" s="6" t="e">
        <f>VLOOKUP(O10,'Designer Shutter Data'!$KP$2:$KR$44,3,FALSE)</f>
        <v>#N/A</v>
      </c>
      <c r="FL10" s="11" t="b">
        <f>IF(N10=$FL$7,'Designer Shutter Data'!$GH$98,DM10)</f>
        <v>0</v>
      </c>
    </row>
    <row r="11" spans="1:168" ht="36.75" customHeight="1" x14ac:dyDescent="0.2">
      <c r="A11" s="50">
        <v>3</v>
      </c>
      <c r="B11" s="51"/>
      <c r="C11" s="44"/>
      <c r="D11" s="31"/>
      <c r="E11" s="31"/>
      <c r="F11" s="31"/>
      <c r="G11" s="43"/>
      <c r="H11" s="234"/>
      <c r="I11" s="235"/>
      <c r="J11" s="44"/>
      <c r="K11" s="45"/>
      <c r="L11" s="45"/>
      <c r="M11" s="45"/>
      <c r="N11" s="45"/>
      <c r="O11" s="45"/>
      <c r="P11" s="236"/>
      <c r="Q11" s="236"/>
      <c r="R11" s="43"/>
      <c r="S11" s="43"/>
      <c r="T11" s="43"/>
      <c r="U11" s="43"/>
      <c r="V11" s="45"/>
      <c r="W11" s="45"/>
      <c r="X11" s="43"/>
      <c r="Y11" s="46"/>
      <c r="Z11" s="47"/>
      <c r="AA11" s="47"/>
      <c r="AB11" s="47"/>
      <c r="AC11" s="44"/>
      <c r="AD11" s="44"/>
      <c r="AE11" s="48" t="str">
        <f t="shared" si="0"/>
        <v/>
      </c>
      <c r="AI11" s="6">
        <f t="shared" si="38"/>
        <v>0</v>
      </c>
      <c r="AJ11" s="6">
        <f t="shared" si="39"/>
        <v>0</v>
      </c>
      <c r="AK11" s="6">
        <f>IF(O11&lt;&gt;"",VLOOKUP(O11,'Designer Shutter Data'!$KP$2:$KQ$44,2,FALSE),0)</f>
        <v>0</v>
      </c>
      <c r="AT11" s="49" t="str">
        <f t="shared" si="1"/>
        <v/>
      </c>
      <c r="AV11" s="6" t="str">
        <f>IF(G11=$AV$7,'Designer Shutter Data'!$D$38,'Designer Shutter Data'!$D$2)</f>
        <v>FauxwoodDesignerColour</v>
      </c>
      <c r="AW11" s="130" t="e">
        <f t="shared" si="40"/>
        <v>#N/A</v>
      </c>
      <c r="AX11" s="130" t="e">
        <f>VLOOKUP(M11,'Designer Shutter Data'!$JK$2:$JL$7,2,FALSE)</f>
        <v>#N/A</v>
      </c>
      <c r="AY11" s="38" t="b">
        <v>0</v>
      </c>
      <c r="AZ11" s="38" t="str">
        <f t="shared" si="2"/>
        <v>No</v>
      </c>
      <c r="BA11" s="38" t="e">
        <f t="shared" si="3"/>
        <v>#DIV/0!</v>
      </c>
      <c r="BB11" s="38" t="e">
        <f t="shared" si="4"/>
        <v>#DIV/0!</v>
      </c>
      <c r="BC11" s="38" t="e">
        <f t="shared" si="5"/>
        <v>#DIV/0!</v>
      </c>
      <c r="BD11" s="38" t="str">
        <f t="shared" si="6"/>
        <v>No</v>
      </c>
      <c r="BE11" s="38" t="e">
        <f>IF(OR(AND(C11&gt;0,#REF!="")), "Required","NotRequired")</f>
        <v>#REF!</v>
      </c>
      <c r="BF11" s="38" t="b">
        <v>0</v>
      </c>
      <c r="BG11" s="38" t="e">
        <f t="shared" si="41"/>
        <v>#DIV/0!</v>
      </c>
      <c r="BH11" s="39" t="str">
        <f t="shared" si="7"/>
        <v>NoHighlight</v>
      </c>
      <c r="BI11" s="38" t="str">
        <f t="shared" si="8"/>
        <v>FauxwoodRPNo</v>
      </c>
      <c r="BJ11" s="110" t="str">
        <f>IF(SUM(--ISNUMBER(SEARCH({"t","T"}, O11))),"Yes","No")</f>
        <v>No</v>
      </c>
      <c r="BK11" s="127" t="str">
        <f t="shared" si="9"/>
        <v>OK</v>
      </c>
      <c r="BL11" s="127" t="str">
        <f t="shared" si="10"/>
        <v>OK</v>
      </c>
      <c r="BM11" s="127" t="str">
        <f t="shared" si="11"/>
        <v>OK</v>
      </c>
      <c r="BN11" s="39" t="str">
        <f t="shared" si="12"/>
        <v>OK</v>
      </c>
      <c r="BO11" s="39" t="str">
        <f t="shared" si="13"/>
        <v>FauxwoodAINo</v>
      </c>
      <c r="BP11" s="39" t="str">
        <f>IF(SUM(--ISNUMBER(SEARCH({"combo","Combo","COMBO"}, B28))),"Yes","No")</f>
        <v>No</v>
      </c>
      <c r="BQ11" s="39" t="str">
        <f t="shared" si="42"/>
        <v>No</v>
      </c>
      <c r="BR11" s="39" t="str">
        <f>IF(SUM(--ISNUMBER(SEARCH({"c","C","b","B"}, L11))),"Yes","No")</f>
        <v>No</v>
      </c>
      <c r="BS11" s="11">
        <f t="shared" si="14"/>
        <v>0</v>
      </c>
      <c r="BT11" s="11" t="s">
        <v>820</v>
      </c>
      <c r="BU11" s="11" t="s">
        <v>820</v>
      </c>
      <c r="BV11" s="40">
        <f t="shared" si="15"/>
        <v>0</v>
      </c>
      <c r="BW11" s="40">
        <f t="shared" si="16"/>
        <v>0</v>
      </c>
      <c r="BX11" s="11" t="e">
        <f t="shared" si="17"/>
        <v>#DIV/0!</v>
      </c>
      <c r="BY11" s="11" t="b">
        <v>0</v>
      </c>
      <c r="BZ11" s="11" t="b">
        <v>0</v>
      </c>
      <c r="CA11" s="11" t="e">
        <v>#REF!</v>
      </c>
      <c r="CB11" s="11" t="s">
        <v>82</v>
      </c>
      <c r="CC11" s="11" t="e">
        <f t="shared" si="18"/>
        <v>#DIV/0!</v>
      </c>
      <c r="CD11" s="11" t="e">
        <f>VLOOKUP(P11,'Designer Shutter Data'!$H$3:$I$19,2,FALSE)</f>
        <v>#N/A</v>
      </c>
      <c r="CE11" s="11" t="s">
        <v>820</v>
      </c>
      <c r="CF11" s="11" t="str">
        <f>IF(SUM(--ISNUMBER(SEARCH({"z","Z"}, P11))),"Yes","No")</f>
        <v>No</v>
      </c>
      <c r="CG11" s="11" t="str">
        <f t="shared" si="19"/>
        <v>OK</v>
      </c>
      <c r="CH11" s="11">
        <f t="shared" si="20"/>
        <v>0</v>
      </c>
      <c r="CI11" s="120" t="e">
        <f>IF(O11="N/A","N/A",VLOOKUP(O11,'Designer Shutter Data'!$AO$3:$AP$171,2,FALSE))</f>
        <v>#N/A</v>
      </c>
      <c r="CJ11" s="120" t="e">
        <f t="shared" si="21"/>
        <v>#N/A</v>
      </c>
      <c r="CK11" s="40"/>
      <c r="CL11" s="40" t="s">
        <v>487</v>
      </c>
      <c r="CM11" s="40" t="str">
        <f>IF(COUNTIF(L9:L23,'Designer Shutter Data'!BJ6)+COUNTIF(L9:L23,'Designer Shutter Data'!BJ51)+COUNTIF(L9:L23,'Designer Shutter Data'!BJ8)+COUNTIF(L9:L23,'Designer Shutter Data'!BJ9)+COUNTIF(L9:L23,'Designer Shutter Data'!BJ11)+COUNTIF(L9:L23,'Designer Shutter Data'!BJ12)+COUNTIF(L9:L23,'Designer Shutter Data'!BJ15),'Designer Shutter Data'!BL8,"")</f>
        <v/>
      </c>
      <c r="CN11" s="41" t="str">
        <f t="shared" si="22"/>
        <v>OK</v>
      </c>
      <c r="CO11" s="129" t="b">
        <f t="shared" si="23"/>
        <v>0</v>
      </c>
      <c r="CP11" s="129" t="b">
        <f t="shared" si="24"/>
        <v>0</v>
      </c>
      <c r="CQ11" s="40">
        <f t="shared" si="25"/>
        <v>0</v>
      </c>
      <c r="CR11" s="133">
        <f t="shared" si="26"/>
        <v>0</v>
      </c>
      <c r="CS11" s="40">
        <f t="shared" si="43"/>
        <v>0</v>
      </c>
      <c r="CT11" s="133" t="e">
        <f t="shared" si="27"/>
        <v>#N/A</v>
      </c>
      <c r="CU11" s="11" t="b">
        <v>0</v>
      </c>
      <c r="CV11" s="11" t="b">
        <v>0</v>
      </c>
      <c r="CW11" s="11" t="b">
        <v>0</v>
      </c>
      <c r="CX11" s="11" t="b">
        <v>0</v>
      </c>
      <c r="CY11" s="40" t="e">
        <f>IF(OR(AND(#REF!&gt;0,#REF!="")), "Error","OK")</f>
        <v>#REF!</v>
      </c>
      <c r="CZ11" s="11" t="e">
        <v>#REF!</v>
      </c>
      <c r="DA11" s="6" t="str">
        <f t="shared" si="28"/>
        <v/>
      </c>
      <c r="DD11" s="6" t="s">
        <v>84</v>
      </c>
      <c r="DE11" s="6" t="b">
        <f>IF(M11='Designer Shutter Data'!$F$3,'Designer Shutter Data'!$FY$7,IF(M11='Designer Shutter Data'!$F$4,'Designer Shutter Data'!$FZ$2,IF(M11='Designer Shutter Data'!$F$5,FJ11, IF(M11='Designer Shutter Data'!$F$6,'Designer Shutter Data'!$GA$2,IF(M11='Designer Shutter Data'!$F$7,'Designer Shutter Data'!$FY$2, IF(M11='Designer Shutter Data'!$F$8,'Designer Shutter Data'!$FZ$7, IF(M11='Designer Shutter Data'!$F$14,'Designer Shutter Data'!$FZ$14)))))))</f>
        <v>0</v>
      </c>
      <c r="DF11" s="6" t="e">
        <f>VLOOKUP(M11,'Designer Shutter Data'!$M$2:$N$8,2,FALSE)</f>
        <v>#N/A</v>
      </c>
      <c r="DH11" s="123" t="e">
        <f>VLOOKUP(O11,'Designer Shutter Data'!$IN$2:$IO$169,2,FALSE)</f>
        <v>#N/A</v>
      </c>
      <c r="DI11" s="103" t="e">
        <f t="shared" si="29"/>
        <v>#N/A</v>
      </c>
      <c r="DJ11" s="103" t="e">
        <f t="shared" si="44"/>
        <v>#N/A</v>
      </c>
      <c r="DK11" s="7" t="b">
        <f>IF(P11='Designer Shutter Data'!$GC$2,'Designer Shutter Data'!$GD$2,IF(P11='Designer Shutter Data'!$GC$3,'Designer Shutter Data'!$GE$2,IF(P11='Designer Shutter Data'!$GC$4,'Designer Shutter Data'!$GF$2,IF(P11='Designer Shutter Data'!$GC$5,'Designer Shutter Data'!$GG$2,IF(P11='Designer Shutter Data'!$GC$6,'Designer Shutter Data'!$GH$2,IF(P11='Designer Shutter Data'!$GC$7,'Designer Shutter Data'!$GI$2,IF(P11='Designer Shutter Data'!$GC$8,'Designer Shutter Data'!$GJ$2,IF(P11='Designer Shutter Data'!$GC$9,'Designer Shutter Data'!$GK$2,IF(P11='Designer Shutter Data'!$GC$10,'Designer Shutter Data'!$GL$2,IF(P11='Designer Shutter Data'!$GC$11,'Designer Shutter Data'!$GM$2,IF(P11='Designer Shutter Data'!$GC$12,'Designer Shutter Data'!$GN$2,IF(P11='Designer Shutter Data'!$GC$13,'Designer Shutter Data'!$GO$2,IF(P11='Designer Shutter Data'!$GC$14,'Designer Shutter Data'!$GP$2,IF(P11='Designer Shutter Data'!$GC$15,'Designer Shutter Data'!$GD$15,IF(P11='Designer Shutter Data'!$GC$16,'Designer Shutter Data'!$GE$15,IF(P11='Designer Shutter Data'!$GC$17,'Designer Shutter Data'!$GF$15,IF(P11='Designer Shutter Data'!$GC$18,'Designer Shutter Data'!$GG$15,IF(P11='Designer Shutter Data'!$GC$19,'Designer Shutter Data'!$GD$73,IF(P11='Designer Shutter Data'!$GC$20,'Designer Shutter Data'!$GD$88, IF(P11='Designer Shutter Data'!$GC$21,'Designer Shutter Data'!$GH$15, IF(P11='Designer Shutter Data'!$GC$22,'Designer Shutter Data'!$GJ$2, IF(P11='Designer Shutter Data'!$GC$23,'Designer Shutter Data'!$GL$2))))))))))))))))))))))</f>
        <v>0</v>
      </c>
      <c r="DL11" s="7" t="b">
        <f>IF(P11='Designer Shutter Data'!$GC$2,'Designer Shutter Data'!$GD$25,IF(P11='Designer Shutter Data'!$GC$3,'Designer Shutter Data'!$GE$25,IF(P11='Designer Shutter Data'!$GC$4,'Designer Shutter Data'!$GF$25,IF(P11='Designer Shutter Data'!$GC$5,'Designer Shutter Data'!$GG$25,IF(P11='Designer Shutter Data'!$GC$6,'Designer Shutter Data'!$GH$25,IF(P11='Designer Shutter Data'!$GC$7,'Designer Shutter Data'!$GI$25,IF(P11='Designer Shutter Data'!$GC$8,'Designer Shutter Data'!$GJ$25,IF(P11='Designer Shutter Data'!$GC$9,'Designer Shutter Data'!$GK$25,IF(P11='Designer Shutter Data'!$GC$10,'Designer Shutter Data'!$GL$25,IF(P11='Designer Shutter Data'!$GC$11,'Designer Shutter Data'!$GM$25,IF(P11='Designer Shutter Data'!$GC$12,'Designer Shutter Data'!$GN$25,IF(P11='Designer Shutter Data'!$GC$13,'Designer Shutter Data'!$GO$25,IF(P11='Designer Shutter Data'!$GC$14,'Designer Shutter Data'!$GP$25,IF(P11='Designer Shutter Data'!$GC$15,'Designer Shutter Data'!$GD$37,IF(P11='Designer Shutter Data'!$GC$15,'Designer Shutter Data'!$GD$37,IF(P11='Designer Shutter Data'!$GC$16,'Designer Shutter Data'!$GE$37,IF(P11='Designer Shutter Data'!$GC$17,'Designer Shutter Data'!$GF$37,IF(P11='Designer Shutter Data'!$GC$18,'Designer Shutter Data'!$GG$37, IF(P11='Designer Shutter Data'!$GC$19,'Designer Shutter Data'!$GD$73, IF(P11='Designer Shutter Data'!$GC$20,'Designer Shutter Data'!$GE$88, IF(P11='Designer Shutter Data'!$GC$21,'Designer Shutter Data'!$GH$37,IF(P11='Designer Shutter Data'!$GC$22,'Designer Shutter Data'!$GJ$25,IF(P11='Designer Shutter Data'!$GC$23,'Designer Shutter Data'!$GL$25)))))))))))))))))))))))</f>
        <v>0</v>
      </c>
      <c r="DM11" s="118" t="b">
        <f>IF(P11='Designer Shutter Data'!$GC$2,'Designer Shutter Data'!$GD$47,IF(P11='Designer Shutter Data'!$GC$3,'Designer Shutter Data'!$GE$47,IF(P11='Designer Shutter Data'!$GC$4,'Designer Shutter Data'!$GF$47,IF(P11='Designer Shutter Data'!$GC$5,'Designer Shutter Data'!$GG$47,IF(P11='Designer Shutter Data'!$GC$6,'Designer Shutter Data'!$GH$47,IF(P11='Designer Shutter Data'!$GC$7,'Designer Shutter Data'!$GI$47,IF(P11='Designer Shutter Data'!$GC$8,'Designer Shutter Data'!$GJ$47,IF(P11='Designer Shutter Data'!$GC$9,'Designer Shutter Data'!$GK$47,IF(P11='Designer Shutter Data'!$GC$10,'Designer Shutter Data'!$GL$47,IF(P11='Designer Shutter Data'!$GC$11,'Designer Shutter Data'!$GM$47,IF(P11='Designer Shutter Data'!$GC$12,'Designer Shutter Data'!$GN$47,IF(P11='Designer Shutter Data'!$GC$13,'Designer Shutter Data'!$GO$47,IF(P11='Designer Shutter Data'!$GC$14,'Designer Shutter Data'!$GP$47, IF(P11='Designer Shutter Data'!$GC$19,'Designer Shutter Data'!$GD$73, IF(P11='Designer Shutter Data'!$GC$20,'Designer Shutter Data'!$GF$88, IF(M11='Designer Shutter Data'!$F$5,'Designer Shutter Data'!$GE$59, IF(M11='Designer Shutter Data'!$F$6,'Designer Shutter Data'!$GD$59, IF(P11='Designer Shutter Data'!$GC$21,'Designer Shutter Data'!$GF$59,IF(P11='Designer Shutter Data'!$GC$22,'Designer Shutter Data'!$GJ$47,IF(P11='Designer Shutter Data'!$GC$23,'Designer Shutter Data'!$GL$47))))))))))))))))))))</f>
        <v>0</v>
      </c>
      <c r="DN11" s="107" t="str">
        <f t="shared" si="45"/>
        <v/>
      </c>
      <c r="DO11" s="107" t="e">
        <f t="shared" si="46"/>
        <v>#N/A</v>
      </c>
      <c r="DP11" s="107" t="str">
        <f t="shared" si="30"/>
        <v>OK</v>
      </c>
      <c r="DQ11" s="107" t="str">
        <f t="shared" si="31"/>
        <v>OK</v>
      </c>
      <c r="DR11" s="107" t="str">
        <f t="shared" si="32"/>
        <v>OK</v>
      </c>
      <c r="DS11" s="107" t="str">
        <f t="shared" si="33"/>
        <v>OK</v>
      </c>
      <c r="DT11" s="7" t="b">
        <f>IF(E11='Designer Shutter Data'!$GV$2,'Designer Shutter Data'!$GW$2,IF(E11='Designer Shutter Data'!$GV$3,'Designer Shutter Data'!$GX$2,IF(E11='Designer Shutter Data'!$GV$4,'Designer Shutter Data'!$GY$2)))</f>
        <v>0</v>
      </c>
      <c r="DU11" s="40" t="e">
        <f>MATCH(E11,'Designer Shutter Data'!$HB$1:$HD$1,0)</f>
        <v>#N/A</v>
      </c>
      <c r="DV11" s="40" t="e">
        <f>MATCH(M11,'Designer Shutter Data'!$HA$2:$HA$8,0)</f>
        <v>#N/A</v>
      </c>
      <c r="DW11" s="11" t="e">
        <f>INDEX('Designer Shutter Data'!$HB$2:$HD$8,DV11,DU11)</f>
        <v>#N/A</v>
      </c>
      <c r="DX11" s="11" t="b">
        <f>IF(E11='Designer Shutter Data'!$IG$1,'Designer Shutter Data'!$IG$2,IF(E11='Designer Shutter Data'!$IH$1,'Designer Shutter Data'!$IH$2, IF(E11='Designer Shutter Data'!$II$1,'Designer Shutter Data'!$II$2)))</f>
        <v>0</v>
      </c>
      <c r="DY11" s="11" t="str">
        <f>IF(E11="MS",'Designer Shutter Data'!$BI$2,IF(G11='Designer Shutter Data'!$BJ$34,'Designer Shutter Data'!$BJ$35,'Designer Shutter Data'!$BJ$2))</f>
        <v>FauxwoodDesignerWindowType</v>
      </c>
      <c r="DZ11" s="118" t="b">
        <f>IF(M11='Designer Shutter Data'!$F$3,'Designer Shutter Data'!$GF$88, IF(M11='Designer Shutter Data'!$F$4,'Designer Shutter Data'!$GE$59, IF(M11='Designer Shutter Data'!$F$5,'Designer Shutter Data'!$GD$59, IF(M11='Designer Shutter Data'!$F$6,'Designer Shutter Data'!$GD$59, IF(M11='Designer Shutter Data'!$F$7,'Designer Shutter Data'!$GD$73)))))</f>
        <v>0</v>
      </c>
      <c r="EA11" s="40" t="str">
        <f>EA9&amp;"       "&amp;EA6</f>
        <v xml:space="preserve">                    </v>
      </c>
      <c r="EB11" s="6" t="b">
        <f>IF(M11='Designer Shutter Data'!$IT$2,'Designer Shutter Data'!$JA$2, IF(M11='Designer Shutter Data'!$IT$3,'Designer Shutter Data'!$JC$2, IF(M11='Designer Shutter Data'!$IT$4,'Designer Shutter Data'!$JE$2, IF(M11='Designer Shutter Data'!$IT$5,'Designer Shutter Data'!$JG$2, IF(M11='Designer Shutter Data'!$IT$6,'Designer Shutter Data'!$JI$2, IF(M11='Designer Shutter Data'!$IT$7,'Designer Shutter Data'!$JZ$2, IF(M11='Designer Shutter Data'!$IT$8,'Designer Shutter Data'!$JI$16)))))))</f>
        <v>0</v>
      </c>
      <c r="EC11" s="6" t="str">
        <f t="shared" si="34"/>
        <v>NoHighlight</v>
      </c>
      <c r="ED11" s="7" t="e">
        <f>VLOOKUP(M11,'Designer Shutter Data'!$JW$5:$JX$10,2,FALSE)</f>
        <v>#N/A</v>
      </c>
      <c r="EE11" s="7" t="e">
        <f t="shared" si="35"/>
        <v>#N/A</v>
      </c>
      <c r="EF11" s="118" t="e">
        <f>VLOOKUP(O11,'Designer Shutter Data'!$AO$3:$AQ$171,1,FALSE)</f>
        <v>#N/A</v>
      </c>
      <c r="EG11" s="7" t="e">
        <f t="shared" si="36"/>
        <v>#N/A</v>
      </c>
      <c r="EH11" s="6" t="str">
        <f t="shared" si="37"/>
        <v/>
      </c>
      <c r="EJ11" s="40" t="e">
        <f>MATCH(M11,'Designer Shutter Data'!$KD$1:$KI$1,0)</f>
        <v>#N/A</v>
      </c>
      <c r="EK11" s="40" t="e">
        <f>MATCH(P11,'Designer Shutter Data'!$KC$2:$KC$21,0)</f>
        <v>#N/A</v>
      </c>
      <c r="EL11" s="136" t="e">
        <f>INDEX('Designer Shutter Data'!$KD$2:$KI$21,EK11,EJ11)</f>
        <v>#N/A</v>
      </c>
      <c r="EM11" s="73">
        <f>IF(COUNT('Designer Shutters Page 3'!C9:C23)&gt;0,3,0)</f>
        <v>0</v>
      </c>
      <c r="EN11" s="73" t="s">
        <v>778</v>
      </c>
      <c r="EP11" s="6" t="str">
        <f>IF(AC11&lt;&gt;$EO$4,'Designer Shutter Data'!$BR$2,'Designer Shutter Data'!$BR$9)</f>
        <v>Fluffy_Strip_Fauxwood</v>
      </c>
      <c r="ER11" s="6" t="str">
        <f>IF(G11='Designer Shutter Data'!$E$26,'Designer Shutter Data'!$E$27,IF(G11='Designer Shutter Data'!$E$37,'Designer Shutter Data'!$E$38,'Designer Shutter Data'!$E$2))</f>
        <v>FauxwoodDesignerBladeSize</v>
      </c>
      <c r="ET11" s="6" t="str">
        <f t="shared" si="47"/>
        <v>Stile T Post</v>
      </c>
      <c r="EW11" s="40" t="e">
        <f>MATCH(G11,'Designer Shutter Data'!$AV$27:$AV$30,0)</f>
        <v>#N/A</v>
      </c>
      <c r="EX11" s="40" t="e">
        <f>MATCH(AC11,'Designer Shutter Data'!$AW$26:$AX$26,0)</f>
        <v>#N/A</v>
      </c>
      <c r="EY11" s="136" t="e">
        <f>INDEX('Designer Shutter Data'!$AW$27:$AX$30,EW11,EX11)</f>
        <v>#N/A</v>
      </c>
      <c r="EZ11" s="6" t="str">
        <f>IF(G11='Designer Shutter Data'!$S$15,'Designer Shutter Data'!$S$16, IF(G11=$FB$7,'Designer Shutter Data'!$T$15,'Designer Shutter Data'!$S$2))</f>
        <v>FauxwoodDesignerTiltrod</v>
      </c>
      <c r="FA11" s="6" t="e">
        <f>IF(G11=$FB$7,"No",VLOOKUP(L11,'Designer Shutter Data'!$BJ$62:$BK$75,2,FALSE))</f>
        <v>#N/A</v>
      </c>
      <c r="FB11" s="6" t="e">
        <f>IF(FA11="Yes", 'Designer Shutter Data'!$T$2,IF(G11=$FB$7,'Designer Shutter Data'!$T$15,'Designer Shutters Page 1'!EZ11))</f>
        <v>#N/A</v>
      </c>
      <c r="FC11" s="6" t="e">
        <f>MATCH(G11,'Designer Shutter Data'!$IG$15:$IJ$15,0)</f>
        <v>#N/A</v>
      </c>
      <c r="FD11" s="6" t="e">
        <f>MATCH(E11,'Designer Shutter Data'!$IF$16:$IF$18,0)</f>
        <v>#N/A</v>
      </c>
      <c r="FE11" s="6" t="e">
        <f>INDEX('Designer Shutter Data'!$IG$16:$IJ$18, 'Designer Shutters Page 1'!FD11, 'Designer Shutters Page 1'!FC11)</f>
        <v>#N/A</v>
      </c>
      <c r="FH11" s="6" t="str">
        <f t="shared" si="48"/>
        <v>SlidingSystemNA</v>
      </c>
      <c r="FJ11" s="6" t="e">
        <f>VLOOKUP(O11,'Designer Shutter Data'!$KP$2:$KR$44,3,FALSE)</f>
        <v>#N/A</v>
      </c>
      <c r="FL11" s="11" t="b">
        <f>IF(N11=$FL$7,'Designer Shutter Data'!$GH$98,DM11)</f>
        <v>0</v>
      </c>
    </row>
    <row r="12" spans="1:168" ht="36.75" customHeight="1" x14ac:dyDescent="0.2">
      <c r="A12" s="50">
        <v>4</v>
      </c>
      <c r="B12" s="51"/>
      <c r="C12" s="44"/>
      <c r="D12" s="31"/>
      <c r="E12" s="44"/>
      <c r="F12" s="31"/>
      <c r="G12" s="43"/>
      <c r="H12" s="234"/>
      <c r="I12" s="235"/>
      <c r="J12" s="44"/>
      <c r="K12" s="45"/>
      <c r="L12" s="45"/>
      <c r="M12" s="45"/>
      <c r="N12" s="45"/>
      <c r="O12" s="45"/>
      <c r="P12" s="236"/>
      <c r="Q12" s="236"/>
      <c r="R12" s="43"/>
      <c r="S12" s="43"/>
      <c r="T12" s="43"/>
      <c r="U12" s="43"/>
      <c r="V12" s="45"/>
      <c r="W12" s="45"/>
      <c r="X12" s="43"/>
      <c r="Y12" s="46"/>
      <c r="Z12" s="47"/>
      <c r="AA12" s="47"/>
      <c r="AB12" s="47"/>
      <c r="AC12" s="44"/>
      <c r="AD12" s="44"/>
      <c r="AE12" s="48" t="str">
        <f t="shared" si="0"/>
        <v/>
      </c>
      <c r="AI12" s="6">
        <f t="shared" si="38"/>
        <v>0</v>
      </c>
      <c r="AJ12" s="6">
        <f t="shared" si="39"/>
        <v>0</v>
      </c>
      <c r="AK12" s="6">
        <f>IF(O12&lt;&gt;"",VLOOKUP(O12,'Designer Shutter Data'!$KP$2:$KQ$44,2,FALSE),0)</f>
        <v>0</v>
      </c>
      <c r="AT12" s="49" t="str">
        <f t="shared" si="1"/>
        <v/>
      </c>
      <c r="AV12" s="6" t="str">
        <f>IF(G12=$AV$7,'Designer Shutter Data'!$D$38,'Designer Shutter Data'!$D$2)</f>
        <v>FauxwoodDesignerColour</v>
      </c>
      <c r="AW12" s="130" t="e">
        <f t="shared" si="40"/>
        <v>#N/A</v>
      </c>
      <c r="AX12" s="130" t="e">
        <f>VLOOKUP(M12,'Designer Shutter Data'!$JK$2:$JL$7,2,FALSE)</f>
        <v>#N/A</v>
      </c>
      <c r="AY12" s="38" t="b">
        <v>0</v>
      </c>
      <c r="AZ12" s="38" t="str">
        <f t="shared" si="2"/>
        <v>No</v>
      </c>
      <c r="BA12" s="38" t="e">
        <f t="shared" si="3"/>
        <v>#DIV/0!</v>
      </c>
      <c r="BB12" s="38" t="e">
        <f t="shared" si="4"/>
        <v>#DIV/0!</v>
      </c>
      <c r="BC12" s="38" t="e">
        <f t="shared" si="5"/>
        <v>#DIV/0!</v>
      </c>
      <c r="BD12" s="38" t="str">
        <f t="shared" si="6"/>
        <v>No</v>
      </c>
      <c r="BE12" s="38" t="e">
        <f>IF(OR(AND(C12&gt;0,#REF!="")), "Required","NotRequired")</f>
        <v>#REF!</v>
      </c>
      <c r="BF12" s="38" t="b">
        <v>0</v>
      </c>
      <c r="BG12" s="38" t="e">
        <f t="shared" si="41"/>
        <v>#DIV/0!</v>
      </c>
      <c r="BH12" s="39" t="str">
        <f t="shared" si="7"/>
        <v>NoHighlight</v>
      </c>
      <c r="BI12" s="38" t="str">
        <f t="shared" si="8"/>
        <v>FauxwoodRPNo</v>
      </c>
      <c r="BJ12" s="110" t="str">
        <f>IF(SUM(--ISNUMBER(SEARCH({"t","T"}, O12))),"Yes","No")</f>
        <v>No</v>
      </c>
      <c r="BK12" s="127" t="str">
        <f t="shared" si="9"/>
        <v>OK</v>
      </c>
      <c r="BL12" s="127" t="str">
        <f t="shared" si="10"/>
        <v>OK</v>
      </c>
      <c r="BM12" s="127" t="str">
        <f t="shared" si="11"/>
        <v>OK</v>
      </c>
      <c r="BN12" s="39" t="str">
        <f t="shared" si="12"/>
        <v>OK</v>
      </c>
      <c r="BO12" s="39" t="str">
        <f t="shared" si="13"/>
        <v>FauxwoodAINo</v>
      </c>
      <c r="BP12" s="39" t="str">
        <f>IF(SUM(--ISNUMBER(SEARCH({"combo","Combo","COMBO"}, B29))),"Yes","No")</f>
        <v>No</v>
      </c>
      <c r="BQ12" s="39" t="str">
        <f t="shared" si="42"/>
        <v>No</v>
      </c>
      <c r="BR12" s="39" t="str">
        <f>IF(SUM(--ISNUMBER(SEARCH({"c","C","b","B"}, L12))),"Yes","No")</f>
        <v>No</v>
      </c>
      <c r="BS12" s="11">
        <f t="shared" si="14"/>
        <v>0</v>
      </c>
      <c r="BT12" s="11" t="s">
        <v>820</v>
      </c>
      <c r="BU12" s="11" t="s">
        <v>820</v>
      </c>
      <c r="BV12" s="40">
        <f t="shared" si="15"/>
        <v>0</v>
      </c>
      <c r="BW12" s="40">
        <f t="shared" si="16"/>
        <v>0</v>
      </c>
      <c r="BX12" s="11" t="e">
        <f t="shared" si="17"/>
        <v>#DIV/0!</v>
      </c>
      <c r="BY12" s="11" t="b">
        <v>0</v>
      </c>
      <c r="BZ12" s="11" t="b">
        <v>0</v>
      </c>
      <c r="CA12" s="11" t="e">
        <v>#REF!</v>
      </c>
      <c r="CB12" s="11" t="s">
        <v>82</v>
      </c>
      <c r="CC12" s="11" t="e">
        <f t="shared" si="18"/>
        <v>#DIV/0!</v>
      </c>
      <c r="CD12" s="11" t="e">
        <f>VLOOKUP(P12,'Designer Shutter Data'!$H$3:$I$19,2,FALSE)</f>
        <v>#N/A</v>
      </c>
      <c r="CE12" s="11" t="s">
        <v>820</v>
      </c>
      <c r="CF12" s="11" t="str">
        <f>IF(SUM(--ISNUMBER(SEARCH({"z","Z"}, P12))),"Yes","No")</f>
        <v>No</v>
      </c>
      <c r="CG12" s="11" t="str">
        <f t="shared" si="19"/>
        <v>OK</v>
      </c>
      <c r="CH12" s="11">
        <f t="shared" si="20"/>
        <v>0</v>
      </c>
      <c r="CI12" s="120" t="e">
        <f>IF(O12="N/A","N/A",VLOOKUP(O12,'Designer Shutter Data'!$AO$3:$AP$171,2,FALSE))</f>
        <v>#N/A</v>
      </c>
      <c r="CJ12" s="120" t="e">
        <f t="shared" si="21"/>
        <v>#N/A</v>
      </c>
      <c r="CK12" s="40"/>
      <c r="CL12" s="40" t="s">
        <v>488</v>
      </c>
      <c r="CM12" s="40" t="str">
        <f>IF(COUNTIF(L9:L23,'Designer Shutter Data'!BJ7)+COUNTIF(L9:L23,'Designer Shutter Data'!BJ10)+COUNTIF(L9:L23,'Designer Shutter Data'!BJ13)+COUNTIF(L9:L23,'Designer Shutter Data'!BJ14),'Designer Shutter Data'!BL7,"")</f>
        <v/>
      </c>
      <c r="CN12" s="41" t="str">
        <f t="shared" si="22"/>
        <v>OK</v>
      </c>
      <c r="CO12" s="129" t="b">
        <f t="shared" si="23"/>
        <v>0</v>
      </c>
      <c r="CP12" s="129" t="b">
        <f t="shared" si="24"/>
        <v>0</v>
      </c>
      <c r="CQ12" s="40">
        <f t="shared" si="25"/>
        <v>0</v>
      </c>
      <c r="CR12" s="133">
        <f t="shared" si="26"/>
        <v>0</v>
      </c>
      <c r="CS12" s="40">
        <f t="shared" si="43"/>
        <v>0</v>
      </c>
      <c r="CT12" s="133" t="e">
        <f t="shared" si="27"/>
        <v>#N/A</v>
      </c>
      <c r="CU12" s="11" t="b">
        <v>0</v>
      </c>
      <c r="CV12" s="11" t="b">
        <v>0</v>
      </c>
      <c r="CW12" s="11" t="b">
        <v>0</v>
      </c>
      <c r="CX12" s="11" t="b">
        <v>0</v>
      </c>
      <c r="CY12" s="40" t="e">
        <f>IF(OR(AND(#REF!&gt;0,#REF!="")), "Error","OK")</f>
        <v>#REF!</v>
      </c>
      <c r="CZ12" s="11" t="e">
        <v>#REF!</v>
      </c>
      <c r="DA12" s="6" t="str">
        <f t="shared" si="28"/>
        <v/>
      </c>
      <c r="DD12" s="6" t="s">
        <v>84</v>
      </c>
      <c r="DE12" s="6" t="b">
        <f>IF(M12='Designer Shutter Data'!$F$3,'Designer Shutter Data'!$FY$7,IF(M12='Designer Shutter Data'!$F$4,'Designer Shutter Data'!$FZ$2,IF(M12='Designer Shutter Data'!$F$5,FJ12, IF(M12='Designer Shutter Data'!$F$6,'Designer Shutter Data'!$GA$2,IF(M12='Designer Shutter Data'!$F$7,'Designer Shutter Data'!$FY$2, IF(M12='Designer Shutter Data'!$F$8,'Designer Shutter Data'!$FZ$7, IF(M12='Designer Shutter Data'!$F$14,'Designer Shutter Data'!$FZ$14)))))))</f>
        <v>0</v>
      </c>
      <c r="DF12" s="6" t="e">
        <f>VLOOKUP(M12,'Designer Shutter Data'!$M$2:$N$8,2,FALSE)</f>
        <v>#N/A</v>
      </c>
      <c r="DH12" s="123" t="e">
        <f>VLOOKUP(O12,'Designer Shutter Data'!$IN$2:$IO$169,2,FALSE)</f>
        <v>#N/A</v>
      </c>
      <c r="DI12" s="103" t="e">
        <f t="shared" si="29"/>
        <v>#N/A</v>
      </c>
      <c r="DJ12" s="103" t="e">
        <f t="shared" si="44"/>
        <v>#N/A</v>
      </c>
      <c r="DK12" s="7" t="b">
        <f>IF(P12='Designer Shutter Data'!$GC$2,'Designer Shutter Data'!$GD$2,IF(P12='Designer Shutter Data'!$GC$3,'Designer Shutter Data'!$GE$2,IF(P12='Designer Shutter Data'!$GC$4,'Designer Shutter Data'!$GF$2,IF(P12='Designer Shutter Data'!$GC$5,'Designer Shutter Data'!$GG$2,IF(P12='Designer Shutter Data'!$GC$6,'Designer Shutter Data'!$GH$2,IF(P12='Designer Shutter Data'!$GC$7,'Designer Shutter Data'!$GI$2,IF(P12='Designer Shutter Data'!$GC$8,'Designer Shutter Data'!$GJ$2,IF(P12='Designer Shutter Data'!$GC$9,'Designer Shutter Data'!$GK$2,IF(P12='Designer Shutter Data'!$GC$10,'Designer Shutter Data'!$GL$2,IF(P12='Designer Shutter Data'!$GC$11,'Designer Shutter Data'!$GM$2,IF(P12='Designer Shutter Data'!$GC$12,'Designer Shutter Data'!$GN$2,IF(P12='Designer Shutter Data'!$GC$13,'Designer Shutter Data'!$GO$2,IF(P12='Designer Shutter Data'!$GC$14,'Designer Shutter Data'!$GP$2,IF(P12='Designer Shutter Data'!$GC$15,'Designer Shutter Data'!$GD$15,IF(P12='Designer Shutter Data'!$GC$16,'Designer Shutter Data'!$GE$15,IF(P12='Designer Shutter Data'!$GC$17,'Designer Shutter Data'!$GF$15,IF(P12='Designer Shutter Data'!$GC$18,'Designer Shutter Data'!$GG$15,IF(P12='Designer Shutter Data'!$GC$19,'Designer Shutter Data'!$GD$73,IF(P12='Designer Shutter Data'!$GC$20,'Designer Shutter Data'!$GD$88, IF(P12='Designer Shutter Data'!$GC$21,'Designer Shutter Data'!$GH$15, IF(P12='Designer Shutter Data'!$GC$22,'Designer Shutter Data'!$GJ$2, IF(P12='Designer Shutter Data'!$GC$23,'Designer Shutter Data'!$GL$2))))))))))))))))))))))</f>
        <v>0</v>
      </c>
      <c r="DL12" s="7" t="b">
        <f>IF(P12='Designer Shutter Data'!$GC$2,'Designer Shutter Data'!$GD$25,IF(P12='Designer Shutter Data'!$GC$3,'Designer Shutter Data'!$GE$25,IF(P12='Designer Shutter Data'!$GC$4,'Designer Shutter Data'!$GF$25,IF(P12='Designer Shutter Data'!$GC$5,'Designer Shutter Data'!$GG$25,IF(P12='Designer Shutter Data'!$GC$6,'Designer Shutter Data'!$GH$25,IF(P12='Designer Shutter Data'!$GC$7,'Designer Shutter Data'!$GI$25,IF(P12='Designer Shutter Data'!$GC$8,'Designer Shutter Data'!$GJ$25,IF(P12='Designer Shutter Data'!$GC$9,'Designer Shutter Data'!$GK$25,IF(P12='Designer Shutter Data'!$GC$10,'Designer Shutter Data'!$GL$25,IF(P12='Designer Shutter Data'!$GC$11,'Designer Shutter Data'!$GM$25,IF(P12='Designer Shutter Data'!$GC$12,'Designer Shutter Data'!$GN$25,IF(P12='Designer Shutter Data'!$GC$13,'Designer Shutter Data'!$GO$25,IF(P12='Designer Shutter Data'!$GC$14,'Designer Shutter Data'!$GP$25,IF(P12='Designer Shutter Data'!$GC$15,'Designer Shutter Data'!$GD$37,IF(P12='Designer Shutter Data'!$GC$15,'Designer Shutter Data'!$GD$37,IF(P12='Designer Shutter Data'!$GC$16,'Designer Shutter Data'!$GE$37,IF(P12='Designer Shutter Data'!$GC$17,'Designer Shutter Data'!$GF$37,IF(P12='Designer Shutter Data'!$GC$18,'Designer Shutter Data'!$GG$37, IF(P12='Designer Shutter Data'!$GC$19,'Designer Shutter Data'!$GD$73, IF(P12='Designer Shutter Data'!$GC$20,'Designer Shutter Data'!$GE$88, IF(P12='Designer Shutter Data'!$GC$21,'Designer Shutter Data'!$GH$37,IF(P12='Designer Shutter Data'!$GC$22,'Designer Shutter Data'!$GJ$25,IF(P12='Designer Shutter Data'!$GC$23,'Designer Shutter Data'!$GL$25)))))))))))))))))))))))</f>
        <v>0</v>
      </c>
      <c r="DM12" s="118" t="b">
        <f>IF(P12='Designer Shutter Data'!$GC$2,'Designer Shutter Data'!$GD$47,IF(P12='Designer Shutter Data'!$GC$3,'Designer Shutter Data'!$GE$47,IF(P12='Designer Shutter Data'!$GC$4,'Designer Shutter Data'!$GF$47,IF(P12='Designer Shutter Data'!$GC$5,'Designer Shutter Data'!$GG$47,IF(P12='Designer Shutter Data'!$GC$6,'Designer Shutter Data'!$GH$47,IF(P12='Designer Shutter Data'!$GC$7,'Designer Shutter Data'!$GI$47,IF(P12='Designer Shutter Data'!$GC$8,'Designer Shutter Data'!$GJ$47,IF(P12='Designer Shutter Data'!$GC$9,'Designer Shutter Data'!$GK$47,IF(P12='Designer Shutter Data'!$GC$10,'Designer Shutter Data'!$GL$47,IF(P12='Designer Shutter Data'!$GC$11,'Designer Shutter Data'!$GM$47,IF(P12='Designer Shutter Data'!$GC$12,'Designer Shutter Data'!$GN$47,IF(P12='Designer Shutter Data'!$GC$13,'Designer Shutter Data'!$GO$47,IF(P12='Designer Shutter Data'!$GC$14,'Designer Shutter Data'!$GP$47, IF(P12='Designer Shutter Data'!$GC$19,'Designer Shutter Data'!$GD$73, IF(P12='Designer Shutter Data'!$GC$20,'Designer Shutter Data'!$GF$88, IF(M12='Designer Shutter Data'!$F$5,'Designer Shutter Data'!$GE$59, IF(M12='Designer Shutter Data'!$F$6,'Designer Shutter Data'!$GD$59, IF(P12='Designer Shutter Data'!$GC$21,'Designer Shutter Data'!$GF$59,IF(P12='Designer Shutter Data'!$GC$22,'Designer Shutter Data'!$GJ$47,IF(P12='Designer Shutter Data'!$GC$23,'Designer Shutter Data'!$GL$47))))))))))))))))))))</f>
        <v>0</v>
      </c>
      <c r="DN12" s="107" t="str">
        <f t="shared" si="45"/>
        <v/>
      </c>
      <c r="DO12" s="107" t="e">
        <f t="shared" si="46"/>
        <v>#N/A</v>
      </c>
      <c r="DP12" s="107" t="str">
        <f t="shared" si="30"/>
        <v>OK</v>
      </c>
      <c r="DQ12" s="107" t="str">
        <f t="shared" si="31"/>
        <v>OK</v>
      </c>
      <c r="DR12" s="107" t="str">
        <f t="shared" si="32"/>
        <v>OK</v>
      </c>
      <c r="DS12" s="107" t="str">
        <f t="shared" si="33"/>
        <v>OK</v>
      </c>
      <c r="DT12" s="7" t="b">
        <f>IF(E12='Designer Shutter Data'!$GV$2,'Designer Shutter Data'!$GW$2,IF(E12='Designer Shutter Data'!$GV$3,'Designer Shutter Data'!$GX$2,IF(E12='Designer Shutter Data'!$GV$4,'Designer Shutter Data'!$GY$2)))</f>
        <v>0</v>
      </c>
      <c r="DU12" s="40" t="e">
        <f>MATCH(E12,'Designer Shutter Data'!$HB$1:$HD$1,0)</f>
        <v>#N/A</v>
      </c>
      <c r="DV12" s="40" t="e">
        <f>MATCH(M12,'Designer Shutter Data'!$HA$2:$HA$8,0)</f>
        <v>#N/A</v>
      </c>
      <c r="DW12" s="11" t="e">
        <f>INDEX('Designer Shutter Data'!$HB$2:$HD$8,DV12,DU12)</f>
        <v>#N/A</v>
      </c>
      <c r="DX12" s="11" t="b">
        <f>IF(E12='Designer Shutter Data'!$IG$1,'Designer Shutter Data'!$IG$2,IF(E12='Designer Shutter Data'!$IH$1,'Designer Shutter Data'!$IH$2, IF(E12='Designer Shutter Data'!$II$1,'Designer Shutter Data'!$II$2)))</f>
        <v>0</v>
      </c>
      <c r="DY12" s="11" t="str">
        <f>IF(E12="MS",'Designer Shutter Data'!$BI$2,IF(G12='Designer Shutter Data'!$BJ$34,'Designer Shutter Data'!$BJ$35,'Designer Shutter Data'!$BJ$2))</f>
        <v>FauxwoodDesignerWindowType</v>
      </c>
      <c r="DZ12" s="118" t="b">
        <f>IF(M12='Designer Shutter Data'!$F$3,'Designer Shutter Data'!$GF$88, IF(M12='Designer Shutter Data'!$F$4,'Designer Shutter Data'!$GE$59, IF(M12='Designer Shutter Data'!$F$5,'Designer Shutter Data'!$GD$59, IF(M12='Designer Shutter Data'!$F$6,'Designer Shutter Data'!$GD$59, IF(M12='Designer Shutter Data'!$F$7,'Designer Shutter Data'!$GD$73)))))</f>
        <v>0</v>
      </c>
      <c r="EB12" s="6" t="b">
        <f>IF(M12='Designer Shutter Data'!$IT$2,'Designer Shutter Data'!$JA$2, IF(M12='Designer Shutter Data'!$IT$3,'Designer Shutter Data'!$JC$2, IF(M12='Designer Shutter Data'!$IT$4,'Designer Shutter Data'!$JE$2, IF(M12='Designer Shutter Data'!$IT$5,'Designer Shutter Data'!$JG$2, IF(M12='Designer Shutter Data'!$IT$6,'Designer Shutter Data'!$JI$2, IF(M12='Designer Shutter Data'!$IT$7,'Designer Shutter Data'!$JZ$2, IF(M12='Designer Shutter Data'!$IT$8,'Designer Shutter Data'!$JI$16)))))))</f>
        <v>0</v>
      </c>
      <c r="EC12" s="6" t="str">
        <f t="shared" si="34"/>
        <v>NoHighlight</v>
      </c>
      <c r="ED12" s="7" t="e">
        <f>VLOOKUP(M12,'Designer Shutter Data'!$JW$5:$JX$10,2,FALSE)</f>
        <v>#N/A</v>
      </c>
      <c r="EE12" s="7" t="e">
        <f t="shared" si="35"/>
        <v>#N/A</v>
      </c>
      <c r="EF12" s="118" t="e">
        <f>VLOOKUP(O12,'Designer Shutter Data'!$AO$3:$AQ$171,1,FALSE)</f>
        <v>#N/A</v>
      </c>
      <c r="EG12" s="7" t="e">
        <f t="shared" si="36"/>
        <v>#N/A</v>
      </c>
      <c r="EH12" s="6" t="str">
        <f t="shared" si="37"/>
        <v/>
      </c>
      <c r="EJ12" s="40" t="e">
        <f>MATCH(M12,'Designer Shutter Data'!$KD$1:$KI$1,0)</f>
        <v>#N/A</v>
      </c>
      <c r="EK12" s="40" t="e">
        <f>MATCH(P12,'Designer Shutter Data'!$KC$2:$KC$21,0)</f>
        <v>#N/A</v>
      </c>
      <c r="EL12" s="136" t="e">
        <f>INDEX('Designer Shutter Data'!$KD$2:$KI$21,EK12,EJ12)</f>
        <v>#N/A</v>
      </c>
      <c r="EM12" s="73">
        <f>MAX(EM9:EM11)</f>
        <v>0</v>
      </c>
      <c r="EN12" s="73"/>
      <c r="EP12" s="6" t="str">
        <f>IF(AC12&lt;&gt;$EO$4,'Designer Shutter Data'!$BR$2,'Designer Shutter Data'!$BR$9)</f>
        <v>Fluffy_Strip_Fauxwood</v>
      </c>
      <c r="ER12" s="6" t="str">
        <f>IF(G12='Designer Shutter Data'!$E$26,'Designer Shutter Data'!$E$27,IF(G12='Designer Shutter Data'!$E$37,'Designer Shutter Data'!$E$38,'Designer Shutter Data'!$E$2))</f>
        <v>FauxwoodDesignerBladeSize</v>
      </c>
      <c r="ET12" s="6" t="str">
        <f t="shared" si="47"/>
        <v>Stile T Post</v>
      </c>
      <c r="EW12" s="40" t="e">
        <f>MATCH(G12,'Designer Shutter Data'!$AV$27:$AV$30,0)</f>
        <v>#N/A</v>
      </c>
      <c r="EX12" s="40" t="e">
        <f>MATCH(AC12,'Designer Shutter Data'!$AW$26:$AX$26,0)</f>
        <v>#N/A</v>
      </c>
      <c r="EY12" s="136" t="e">
        <f>INDEX('Designer Shutter Data'!$AW$27:$AX$30,EW12,EX12)</f>
        <v>#N/A</v>
      </c>
      <c r="EZ12" s="6" t="str">
        <f>IF(G12='Designer Shutter Data'!$S$15,'Designer Shutter Data'!$S$16, IF(G12=$FB$7,'Designer Shutter Data'!$T$15,'Designer Shutter Data'!$S$2))</f>
        <v>FauxwoodDesignerTiltrod</v>
      </c>
      <c r="FA12" s="6" t="e">
        <f>IF(G12=$FB$7,"No",VLOOKUP(L12,'Designer Shutter Data'!$BJ$62:$BK$75,2,FALSE))</f>
        <v>#N/A</v>
      </c>
      <c r="FB12" s="6" t="e">
        <f>IF(FA12="Yes", 'Designer Shutter Data'!$T$2,IF(G12=$FB$7,'Designer Shutter Data'!$T$15,'Designer Shutters Page 1'!EZ12))</f>
        <v>#N/A</v>
      </c>
      <c r="FC12" s="6" t="e">
        <f>MATCH(G12,'Designer Shutter Data'!$IG$15:$IJ$15,0)</f>
        <v>#N/A</v>
      </c>
      <c r="FD12" s="6" t="e">
        <f>MATCH(E12,'Designer Shutter Data'!$IF$16:$IF$18,0)</f>
        <v>#N/A</v>
      </c>
      <c r="FE12" s="6" t="e">
        <f>INDEX('Designer Shutter Data'!$IG$16:$IJ$18, 'Designer Shutters Page 1'!FD12, 'Designer Shutters Page 1'!FC12)</f>
        <v>#N/A</v>
      </c>
      <c r="FH12" s="6" t="str">
        <f t="shared" si="48"/>
        <v>SlidingSystemNA</v>
      </c>
      <c r="FJ12" s="6" t="e">
        <f>VLOOKUP(O12,'Designer Shutter Data'!$KP$2:$KR$44,3,FALSE)</f>
        <v>#N/A</v>
      </c>
      <c r="FL12" s="11" t="b">
        <f>IF(N12=$FL$7,'Designer Shutter Data'!$GH$98,DM12)</f>
        <v>0</v>
      </c>
    </row>
    <row r="13" spans="1:168" ht="36.75" customHeight="1" x14ac:dyDescent="0.2">
      <c r="A13" s="50">
        <v>5</v>
      </c>
      <c r="B13" s="51"/>
      <c r="C13" s="44"/>
      <c r="D13" s="31"/>
      <c r="E13" s="44"/>
      <c r="F13" s="31"/>
      <c r="G13" s="43"/>
      <c r="H13" s="234"/>
      <c r="I13" s="235"/>
      <c r="J13" s="44"/>
      <c r="K13" s="45"/>
      <c r="L13" s="45"/>
      <c r="M13" s="45"/>
      <c r="N13" s="45"/>
      <c r="O13" s="45"/>
      <c r="P13" s="236"/>
      <c r="Q13" s="236"/>
      <c r="R13" s="43"/>
      <c r="S13" s="43"/>
      <c r="T13" s="43"/>
      <c r="U13" s="43"/>
      <c r="V13" s="45"/>
      <c r="W13" s="45"/>
      <c r="X13" s="43"/>
      <c r="Y13" s="46"/>
      <c r="Z13" s="47"/>
      <c r="AA13" s="47"/>
      <c r="AB13" s="47"/>
      <c r="AC13" s="44"/>
      <c r="AD13" s="44"/>
      <c r="AE13" s="48" t="str">
        <f t="shared" si="0"/>
        <v/>
      </c>
      <c r="AI13" s="6">
        <f t="shared" si="38"/>
        <v>0</v>
      </c>
      <c r="AJ13" s="6">
        <f t="shared" si="39"/>
        <v>0</v>
      </c>
      <c r="AK13" s="6">
        <f>IF(O13&lt;&gt;"",VLOOKUP(O13,'Designer Shutter Data'!$KP$2:$KQ$44,2,FALSE),0)</f>
        <v>0</v>
      </c>
      <c r="AT13" s="49" t="str">
        <f t="shared" si="1"/>
        <v/>
      </c>
      <c r="AV13" s="6" t="str">
        <f>IF(G13=$AV$7,'Designer Shutter Data'!$D$38,'Designer Shutter Data'!$D$2)</f>
        <v>FauxwoodDesignerColour</v>
      </c>
      <c r="AW13" s="130" t="e">
        <f t="shared" si="40"/>
        <v>#N/A</v>
      </c>
      <c r="AX13" s="130" t="e">
        <f>VLOOKUP(M13,'Designer Shutter Data'!$JK$2:$JL$7,2,FALSE)</f>
        <v>#N/A</v>
      </c>
      <c r="AY13" s="38" t="b">
        <v>0</v>
      </c>
      <c r="AZ13" s="38" t="str">
        <f t="shared" si="2"/>
        <v>No</v>
      </c>
      <c r="BA13" s="38" t="e">
        <f t="shared" si="3"/>
        <v>#DIV/0!</v>
      </c>
      <c r="BB13" s="38" t="e">
        <f t="shared" si="4"/>
        <v>#DIV/0!</v>
      </c>
      <c r="BC13" s="38" t="e">
        <f t="shared" si="5"/>
        <v>#DIV/0!</v>
      </c>
      <c r="BD13" s="38" t="str">
        <f t="shared" si="6"/>
        <v>No</v>
      </c>
      <c r="BE13" s="38" t="e">
        <f>IF(OR(AND(C13&gt;0,#REF!="")), "Required","NotRequired")</f>
        <v>#REF!</v>
      </c>
      <c r="BF13" s="38" t="b">
        <v>0</v>
      </c>
      <c r="BG13" s="38" t="e">
        <f t="shared" si="41"/>
        <v>#DIV/0!</v>
      </c>
      <c r="BH13" s="39" t="str">
        <f t="shared" si="7"/>
        <v>NoHighlight</v>
      </c>
      <c r="BI13" s="38" t="str">
        <f t="shared" si="8"/>
        <v>FauxwoodRPNo</v>
      </c>
      <c r="BJ13" s="110" t="str">
        <f>IF(SUM(--ISNUMBER(SEARCH({"t","T"}, O13))),"Yes","No")</f>
        <v>No</v>
      </c>
      <c r="BK13" s="127" t="str">
        <f t="shared" si="9"/>
        <v>OK</v>
      </c>
      <c r="BL13" s="127" t="str">
        <f t="shared" si="10"/>
        <v>OK</v>
      </c>
      <c r="BM13" s="127" t="str">
        <f t="shared" si="11"/>
        <v>OK</v>
      </c>
      <c r="BN13" s="39" t="str">
        <f t="shared" si="12"/>
        <v>OK</v>
      </c>
      <c r="BO13" s="39" t="str">
        <f t="shared" si="13"/>
        <v>FauxwoodAINo</v>
      </c>
      <c r="BP13" s="39" t="str">
        <f>IF(SUM(--ISNUMBER(SEARCH({"combo","Combo","COMBO"}, B30))),"Yes","No")</f>
        <v>No</v>
      </c>
      <c r="BQ13" s="39" t="str">
        <f t="shared" si="42"/>
        <v>No</v>
      </c>
      <c r="BR13" s="39" t="str">
        <f>IF(SUM(--ISNUMBER(SEARCH({"c","C","b","B"}, L13))),"Yes","No")</f>
        <v>No</v>
      </c>
      <c r="BS13" s="11">
        <f t="shared" si="14"/>
        <v>0</v>
      </c>
      <c r="BT13" s="11" t="s">
        <v>820</v>
      </c>
      <c r="BU13" s="11" t="s">
        <v>820</v>
      </c>
      <c r="BV13" s="40">
        <f t="shared" si="15"/>
        <v>0</v>
      </c>
      <c r="BW13" s="40">
        <f t="shared" si="16"/>
        <v>0</v>
      </c>
      <c r="BX13" s="11" t="e">
        <f t="shared" si="17"/>
        <v>#DIV/0!</v>
      </c>
      <c r="BY13" s="11" t="b">
        <v>0</v>
      </c>
      <c r="BZ13" s="11" t="b">
        <v>0</v>
      </c>
      <c r="CA13" s="11" t="e">
        <v>#REF!</v>
      </c>
      <c r="CB13" s="11" t="s">
        <v>82</v>
      </c>
      <c r="CC13" s="11" t="e">
        <f t="shared" si="18"/>
        <v>#DIV/0!</v>
      </c>
      <c r="CD13" s="11" t="e">
        <f>VLOOKUP(P13,'Designer Shutter Data'!$H$3:$I$19,2,FALSE)</f>
        <v>#N/A</v>
      </c>
      <c r="CE13" s="11" t="s">
        <v>820</v>
      </c>
      <c r="CF13" s="11" t="str">
        <f>IF(SUM(--ISNUMBER(SEARCH({"z","Z"}, P13))),"Yes","No")</f>
        <v>No</v>
      </c>
      <c r="CG13" s="11" t="str">
        <f t="shared" si="19"/>
        <v>OK</v>
      </c>
      <c r="CH13" s="11">
        <f t="shared" si="20"/>
        <v>0</v>
      </c>
      <c r="CI13" s="120" t="e">
        <f>IF(O13="N/A","N/A",VLOOKUP(O13,'Designer Shutter Data'!$AO$3:$AP$171,2,FALSE))</f>
        <v>#N/A</v>
      </c>
      <c r="CJ13" s="120" t="e">
        <f t="shared" si="21"/>
        <v>#N/A</v>
      </c>
      <c r="CK13" s="40"/>
      <c r="CL13" s="40"/>
      <c r="CM13" s="40" t="str">
        <f>CM9&amp;"       "&amp;CM10&amp;"   "&amp;CM11&amp;"   "&amp;CM12</f>
        <v xml:space="preserve">             </v>
      </c>
      <c r="CN13" s="41" t="str">
        <f t="shared" si="22"/>
        <v>OK</v>
      </c>
      <c r="CO13" s="129" t="b">
        <f t="shared" si="23"/>
        <v>0</v>
      </c>
      <c r="CP13" s="129" t="b">
        <f t="shared" si="24"/>
        <v>0</v>
      </c>
      <c r="CQ13" s="40">
        <f t="shared" si="25"/>
        <v>0</v>
      </c>
      <c r="CR13" s="133">
        <f t="shared" si="26"/>
        <v>0</v>
      </c>
      <c r="CS13" s="40">
        <f t="shared" si="43"/>
        <v>0</v>
      </c>
      <c r="CT13" s="133" t="e">
        <f t="shared" si="27"/>
        <v>#N/A</v>
      </c>
      <c r="CU13" s="11" t="b">
        <v>0</v>
      </c>
      <c r="CV13" s="11" t="b">
        <v>0</v>
      </c>
      <c r="CW13" s="11" t="b">
        <v>0</v>
      </c>
      <c r="CX13" s="11" t="b">
        <v>0</v>
      </c>
      <c r="CY13" s="40" t="e">
        <f>IF(OR(AND(#REF!&gt;0,#REF!="")), "Error","OK")</f>
        <v>#REF!</v>
      </c>
      <c r="CZ13" s="11" t="e">
        <v>#REF!</v>
      </c>
      <c r="DA13" s="6" t="str">
        <f t="shared" si="28"/>
        <v/>
      </c>
      <c r="DD13" s="6" t="s">
        <v>84</v>
      </c>
      <c r="DE13" s="6" t="b">
        <f>IF(M13='Designer Shutter Data'!$F$3,'Designer Shutter Data'!$FY$7,IF(M13='Designer Shutter Data'!$F$4,'Designer Shutter Data'!$FZ$2,IF(M13='Designer Shutter Data'!$F$5,FJ13, IF(M13='Designer Shutter Data'!$F$6,'Designer Shutter Data'!$GA$2,IF(M13='Designer Shutter Data'!$F$7,'Designer Shutter Data'!$FY$2, IF(M13='Designer Shutter Data'!$F$8,'Designer Shutter Data'!$FZ$7, IF(M13='Designer Shutter Data'!$F$14,'Designer Shutter Data'!$FZ$14)))))))</f>
        <v>0</v>
      </c>
      <c r="DF13" s="6" t="e">
        <f>VLOOKUP(M13,'Designer Shutter Data'!$M$2:$N$8,2,FALSE)</f>
        <v>#N/A</v>
      </c>
      <c r="DH13" s="123" t="e">
        <f>VLOOKUP(O13,'Designer Shutter Data'!$IN$2:$IO$169,2,FALSE)</f>
        <v>#N/A</v>
      </c>
      <c r="DI13" s="103" t="e">
        <f t="shared" si="29"/>
        <v>#N/A</v>
      </c>
      <c r="DJ13" s="103" t="e">
        <f t="shared" si="44"/>
        <v>#N/A</v>
      </c>
      <c r="DK13" s="7" t="b">
        <f>IF(P13='Designer Shutter Data'!$GC$2,'Designer Shutter Data'!$GD$2,IF(P13='Designer Shutter Data'!$GC$3,'Designer Shutter Data'!$GE$2,IF(P13='Designer Shutter Data'!$GC$4,'Designer Shutter Data'!$GF$2,IF(P13='Designer Shutter Data'!$GC$5,'Designer Shutter Data'!$GG$2,IF(P13='Designer Shutter Data'!$GC$6,'Designer Shutter Data'!$GH$2,IF(P13='Designer Shutter Data'!$GC$7,'Designer Shutter Data'!$GI$2,IF(P13='Designer Shutter Data'!$GC$8,'Designer Shutter Data'!$GJ$2,IF(P13='Designer Shutter Data'!$GC$9,'Designer Shutter Data'!$GK$2,IF(P13='Designer Shutter Data'!$GC$10,'Designer Shutter Data'!$GL$2,IF(P13='Designer Shutter Data'!$GC$11,'Designer Shutter Data'!$GM$2,IF(P13='Designer Shutter Data'!$GC$12,'Designer Shutter Data'!$GN$2,IF(P13='Designer Shutter Data'!$GC$13,'Designer Shutter Data'!$GO$2,IF(P13='Designer Shutter Data'!$GC$14,'Designer Shutter Data'!$GP$2,IF(P13='Designer Shutter Data'!$GC$15,'Designer Shutter Data'!$GD$15,IF(P13='Designer Shutter Data'!$GC$16,'Designer Shutter Data'!$GE$15,IF(P13='Designer Shutter Data'!$GC$17,'Designer Shutter Data'!$GF$15,IF(P13='Designer Shutter Data'!$GC$18,'Designer Shutter Data'!$GG$15,IF(P13='Designer Shutter Data'!$GC$19,'Designer Shutter Data'!$GD$73,IF(P13='Designer Shutter Data'!$GC$20,'Designer Shutter Data'!$GD$88, IF(P13='Designer Shutter Data'!$GC$21,'Designer Shutter Data'!$GH$15, IF(P13='Designer Shutter Data'!$GC$22,'Designer Shutter Data'!$GJ$2, IF(P13='Designer Shutter Data'!$GC$23,'Designer Shutter Data'!$GL$2))))))))))))))))))))))</f>
        <v>0</v>
      </c>
      <c r="DL13" s="7" t="b">
        <f>IF(P13='Designer Shutter Data'!$GC$2,'Designer Shutter Data'!$GD$25,IF(P13='Designer Shutter Data'!$GC$3,'Designer Shutter Data'!$GE$25,IF(P13='Designer Shutter Data'!$GC$4,'Designer Shutter Data'!$GF$25,IF(P13='Designer Shutter Data'!$GC$5,'Designer Shutter Data'!$GG$25,IF(P13='Designer Shutter Data'!$GC$6,'Designer Shutter Data'!$GH$25,IF(P13='Designer Shutter Data'!$GC$7,'Designer Shutter Data'!$GI$25,IF(P13='Designer Shutter Data'!$GC$8,'Designer Shutter Data'!$GJ$25,IF(P13='Designer Shutter Data'!$GC$9,'Designer Shutter Data'!$GK$25,IF(P13='Designer Shutter Data'!$GC$10,'Designer Shutter Data'!$GL$25,IF(P13='Designer Shutter Data'!$GC$11,'Designer Shutter Data'!$GM$25,IF(P13='Designer Shutter Data'!$GC$12,'Designer Shutter Data'!$GN$25,IF(P13='Designer Shutter Data'!$GC$13,'Designer Shutter Data'!$GO$25,IF(P13='Designer Shutter Data'!$GC$14,'Designer Shutter Data'!$GP$25,IF(P13='Designer Shutter Data'!$GC$15,'Designer Shutter Data'!$GD$37,IF(P13='Designer Shutter Data'!$GC$15,'Designer Shutter Data'!$GD$37,IF(P13='Designer Shutter Data'!$GC$16,'Designer Shutter Data'!$GE$37,IF(P13='Designer Shutter Data'!$GC$17,'Designer Shutter Data'!$GF$37,IF(P13='Designer Shutter Data'!$GC$18,'Designer Shutter Data'!$GG$37, IF(P13='Designer Shutter Data'!$GC$19,'Designer Shutter Data'!$GD$73, IF(P13='Designer Shutter Data'!$GC$20,'Designer Shutter Data'!$GE$88, IF(P13='Designer Shutter Data'!$GC$21,'Designer Shutter Data'!$GH$37,IF(P13='Designer Shutter Data'!$GC$22,'Designer Shutter Data'!$GJ$25,IF(P13='Designer Shutter Data'!$GC$23,'Designer Shutter Data'!$GL$25)))))))))))))))))))))))</f>
        <v>0</v>
      </c>
      <c r="DM13" s="118" t="b">
        <f>IF(P13='Designer Shutter Data'!$GC$2,'Designer Shutter Data'!$GD$47,IF(P13='Designer Shutter Data'!$GC$3,'Designer Shutter Data'!$GE$47,IF(P13='Designer Shutter Data'!$GC$4,'Designer Shutter Data'!$GF$47,IF(P13='Designer Shutter Data'!$GC$5,'Designer Shutter Data'!$GG$47,IF(P13='Designer Shutter Data'!$GC$6,'Designer Shutter Data'!$GH$47,IF(P13='Designer Shutter Data'!$GC$7,'Designer Shutter Data'!$GI$47,IF(P13='Designer Shutter Data'!$GC$8,'Designer Shutter Data'!$GJ$47,IF(P13='Designer Shutter Data'!$GC$9,'Designer Shutter Data'!$GK$47,IF(P13='Designer Shutter Data'!$GC$10,'Designer Shutter Data'!$GL$47,IF(P13='Designer Shutter Data'!$GC$11,'Designer Shutter Data'!$GM$47,IF(P13='Designer Shutter Data'!$GC$12,'Designer Shutter Data'!$GN$47,IF(P13='Designer Shutter Data'!$GC$13,'Designer Shutter Data'!$GO$47,IF(P13='Designer Shutter Data'!$GC$14,'Designer Shutter Data'!$GP$47, IF(P13='Designer Shutter Data'!$GC$19,'Designer Shutter Data'!$GD$73, IF(P13='Designer Shutter Data'!$GC$20,'Designer Shutter Data'!$GF$88, IF(M13='Designer Shutter Data'!$F$5,'Designer Shutter Data'!$GE$59, IF(M13='Designer Shutter Data'!$F$6,'Designer Shutter Data'!$GD$59, IF(P13='Designer Shutter Data'!$GC$21,'Designer Shutter Data'!$GF$59,IF(P13='Designer Shutter Data'!$GC$22,'Designer Shutter Data'!$GJ$47,IF(P13='Designer Shutter Data'!$GC$23,'Designer Shutter Data'!$GL$47))))))))))))))))))))</f>
        <v>0</v>
      </c>
      <c r="DN13" s="107" t="str">
        <f t="shared" si="45"/>
        <v/>
      </c>
      <c r="DO13" s="107" t="e">
        <f t="shared" si="46"/>
        <v>#N/A</v>
      </c>
      <c r="DP13" s="107" t="str">
        <f t="shared" si="30"/>
        <v>OK</v>
      </c>
      <c r="DQ13" s="107" t="str">
        <f t="shared" si="31"/>
        <v>OK</v>
      </c>
      <c r="DR13" s="107" t="str">
        <f t="shared" si="32"/>
        <v>OK</v>
      </c>
      <c r="DS13" s="107" t="str">
        <f t="shared" si="33"/>
        <v>OK</v>
      </c>
      <c r="DT13" s="7" t="b">
        <f>IF(E13='Designer Shutter Data'!$GV$2,'Designer Shutter Data'!$GW$2,IF(E13='Designer Shutter Data'!$GV$3,'Designer Shutter Data'!$GX$2,IF(E13='Designer Shutter Data'!$GV$4,'Designer Shutter Data'!$GY$2)))</f>
        <v>0</v>
      </c>
      <c r="DU13" s="40" t="e">
        <f>MATCH(E13,'Designer Shutter Data'!$HB$1:$HD$1,0)</f>
        <v>#N/A</v>
      </c>
      <c r="DV13" s="40" t="e">
        <f>MATCH(M13,'Designer Shutter Data'!$HA$2:$HA$8,0)</f>
        <v>#N/A</v>
      </c>
      <c r="DW13" s="11" t="e">
        <f>INDEX('Designer Shutter Data'!$HB$2:$HD$8,DV13,DU13)</f>
        <v>#N/A</v>
      </c>
      <c r="DX13" s="11" t="b">
        <f>IF(E13='Designer Shutter Data'!$IG$1,'Designer Shutter Data'!$IG$2,IF(E13='Designer Shutter Data'!$IH$1,'Designer Shutter Data'!$IH$2, IF(E13='Designer Shutter Data'!$II$1,'Designer Shutter Data'!$II$2)))</f>
        <v>0</v>
      </c>
      <c r="DY13" s="11" t="str">
        <f>IF(E13="MS",'Designer Shutter Data'!$BI$2,IF(G13='Designer Shutter Data'!$BJ$34,'Designer Shutter Data'!$BJ$35,'Designer Shutter Data'!$BJ$2))</f>
        <v>FauxwoodDesignerWindowType</v>
      </c>
      <c r="DZ13" s="118" t="b">
        <f>IF(M13='Designer Shutter Data'!$F$3,'Designer Shutter Data'!$GF$88, IF(M13='Designer Shutter Data'!$F$4,'Designer Shutter Data'!$GE$59, IF(M13='Designer Shutter Data'!$F$5,'Designer Shutter Data'!$GD$59, IF(M13='Designer Shutter Data'!$F$6,'Designer Shutter Data'!$GD$59, IF(M13='Designer Shutter Data'!$F$7,'Designer Shutter Data'!$GD$73)))))</f>
        <v>0</v>
      </c>
      <c r="EB13" s="6" t="b">
        <f>IF(M13='Designer Shutter Data'!$IT$2,'Designer Shutter Data'!$JA$2, IF(M13='Designer Shutter Data'!$IT$3,'Designer Shutter Data'!$JC$2, IF(M13='Designer Shutter Data'!$IT$4,'Designer Shutter Data'!$JE$2, IF(M13='Designer Shutter Data'!$IT$5,'Designer Shutter Data'!$JG$2, IF(M13='Designer Shutter Data'!$IT$6,'Designer Shutter Data'!$JI$2, IF(M13='Designer Shutter Data'!$IT$7,'Designer Shutter Data'!$JZ$2, IF(M13='Designer Shutter Data'!$IT$8,'Designer Shutter Data'!$JI$16)))))))</f>
        <v>0</v>
      </c>
      <c r="EC13" s="6" t="str">
        <f t="shared" si="34"/>
        <v>NoHighlight</v>
      </c>
      <c r="ED13" s="7" t="e">
        <f>VLOOKUP(M13,'Designer Shutter Data'!$JW$5:$JX$10,2,FALSE)</f>
        <v>#N/A</v>
      </c>
      <c r="EE13" s="7" t="e">
        <f t="shared" si="35"/>
        <v>#N/A</v>
      </c>
      <c r="EF13" s="118" t="e">
        <f>VLOOKUP(O13,'Designer Shutter Data'!$AO$3:$AQ$171,1,FALSE)</f>
        <v>#N/A</v>
      </c>
      <c r="EG13" s="7" t="e">
        <f t="shared" si="36"/>
        <v>#N/A</v>
      </c>
      <c r="EH13" s="6" t="str">
        <f t="shared" si="37"/>
        <v/>
      </c>
      <c r="EJ13" s="40" t="e">
        <f>MATCH(M13,'Designer Shutter Data'!$KD$1:$KI$1,0)</f>
        <v>#N/A</v>
      </c>
      <c r="EK13" s="40" t="e">
        <f>MATCH(P13,'Designer Shutter Data'!$KC$2:$KC$21,0)</f>
        <v>#N/A</v>
      </c>
      <c r="EL13" s="136" t="e">
        <f>INDEX('Designer Shutter Data'!$KD$2:$KI$21,EK13,EJ13)</f>
        <v>#N/A</v>
      </c>
      <c r="EP13" s="6" t="str">
        <f>IF(AC13&lt;&gt;$EO$4,'Designer Shutter Data'!$BR$2,'Designer Shutter Data'!$BR$9)</f>
        <v>Fluffy_Strip_Fauxwood</v>
      </c>
      <c r="ER13" s="6" t="str">
        <f>IF(G13='Designer Shutter Data'!$E$26,'Designer Shutter Data'!$E$27,IF(G13='Designer Shutter Data'!$E$37,'Designer Shutter Data'!$E$38,'Designer Shutter Data'!$E$2))</f>
        <v>FauxwoodDesignerBladeSize</v>
      </c>
      <c r="ET13" s="6" t="str">
        <f t="shared" si="47"/>
        <v>Stile T Post</v>
      </c>
      <c r="EW13" s="40" t="e">
        <f>MATCH(G13,'Designer Shutter Data'!$AV$27:$AV$30,0)</f>
        <v>#N/A</v>
      </c>
      <c r="EX13" s="40" t="e">
        <f>MATCH(AC13,'Designer Shutter Data'!$AW$26:$AX$26,0)</f>
        <v>#N/A</v>
      </c>
      <c r="EY13" s="136" t="e">
        <f>INDEX('Designer Shutter Data'!$AW$27:$AX$30,EW13,EX13)</f>
        <v>#N/A</v>
      </c>
      <c r="EZ13" s="6" t="str">
        <f>IF(G13='Designer Shutter Data'!$S$15,'Designer Shutter Data'!$S$16, IF(G13=$FB$7,'Designer Shutter Data'!$T$15,'Designer Shutter Data'!$S$2))</f>
        <v>FauxwoodDesignerTiltrod</v>
      </c>
      <c r="FA13" s="6" t="e">
        <f>IF(G13=$FB$7,"No",VLOOKUP(L13,'Designer Shutter Data'!$BJ$62:$BK$75,2,FALSE))</f>
        <v>#N/A</v>
      </c>
      <c r="FB13" s="6" t="e">
        <f>IF(FA13="Yes", 'Designer Shutter Data'!$T$2,IF(G13=$FB$7,'Designer Shutter Data'!$T$15,'Designer Shutters Page 1'!EZ13))</f>
        <v>#N/A</v>
      </c>
      <c r="FC13" s="6" t="e">
        <f>MATCH(G13,'Designer Shutter Data'!$IG$15:$IJ$15,0)</f>
        <v>#N/A</v>
      </c>
      <c r="FD13" s="6" t="e">
        <f>MATCH(E13,'Designer Shutter Data'!$IF$16:$IF$18,0)</f>
        <v>#N/A</v>
      </c>
      <c r="FE13" s="6" t="e">
        <f>INDEX('Designer Shutter Data'!$IG$16:$IJ$18, 'Designer Shutters Page 1'!FD13, 'Designer Shutters Page 1'!FC13)</f>
        <v>#N/A</v>
      </c>
      <c r="FH13" s="6" t="str">
        <f t="shared" si="48"/>
        <v>SlidingSystemNA</v>
      </c>
      <c r="FJ13" s="6" t="e">
        <f>VLOOKUP(O13,'Designer Shutter Data'!$KP$2:$KR$44,3,FALSE)</f>
        <v>#N/A</v>
      </c>
      <c r="FL13" s="11" t="b">
        <f>IF(N13=$FL$7,'Designer Shutter Data'!$GH$98,DM13)</f>
        <v>0</v>
      </c>
    </row>
    <row r="14" spans="1:168" ht="36.75" customHeight="1" x14ac:dyDescent="0.2">
      <c r="A14" s="50">
        <v>6</v>
      </c>
      <c r="B14" s="51"/>
      <c r="C14" s="44"/>
      <c r="D14" s="31"/>
      <c r="E14" s="44"/>
      <c r="F14" s="31"/>
      <c r="G14" s="43"/>
      <c r="H14" s="234"/>
      <c r="I14" s="235"/>
      <c r="J14" s="44"/>
      <c r="K14" s="45"/>
      <c r="L14" s="45"/>
      <c r="M14" s="45"/>
      <c r="N14" s="45"/>
      <c r="O14" s="45"/>
      <c r="P14" s="236"/>
      <c r="Q14" s="236"/>
      <c r="R14" s="43"/>
      <c r="S14" s="43"/>
      <c r="T14" s="43"/>
      <c r="U14" s="43"/>
      <c r="V14" s="45"/>
      <c r="W14" s="45"/>
      <c r="X14" s="43"/>
      <c r="Y14" s="46"/>
      <c r="Z14" s="47"/>
      <c r="AA14" s="47"/>
      <c r="AB14" s="47"/>
      <c r="AC14" s="44"/>
      <c r="AD14" s="44"/>
      <c r="AE14" s="48" t="str">
        <f t="shared" si="0"/>
        <v/>
      </c>
      <c r="AI14" s="6">
        <f t="shared" si="38"/>
        <v>0</v>
      </c>
      <c r="AJ14" s="6">
        <f t="shared" si="39"/>
        <v>0</v>
      </c>
      <c r="AK14" s="6">
        <f>IF(O14&lt;&gt;"",VLOOKUP(O14,'Designer Shutter Data'!$KP$2:$KQ$44,2,FALSE),0)</f>
        <v>0</v>
      </c>
      <c r="AT14" s="49" t="str">
        <f t="shared" si="1"/>
        <v/>
      </c>
      <c r="AV14" s="6" t="str">
        <f>IF(G14=$AV$7,'Designer Shutter Data'!$D$38,'Designer Shutter Data'!$D$2)</f>
        <v>FauxwoodDesignerColour</v>
      </c>
      <c r="AW14" s="130" t="e">
        <f t="shared" si="40"/>
        <v>#N/A</v>
      </c>
      <c r="AX14" s="130" t="e">
        <f>VLOOKUP(M14,'Designer Shutter Data'!$JK$2:$JL$7,2,FALSE)</f>
        <v>#N/A</v>
      </c>
      <c r="AY14" s="38" t="b">
        <v>0</v>
      </c>
      <c r="AZ14" s="38" t="str">
        <f t="shared" si="2"/>
        <v>No</v>
      </c>
      <c r="BA14" s="38" t="e">
        <f t="shared" si="3"/>
        <v>#DIV/0!</v>
      </c>
      <c r="BB14" s="38" t="e">
        <f t="shared" si="4"/>
        <v>#DIV/0!</v>
      </c>
      <c r="BC14" s="38" t="e">
        <f t="shared" si="5"/>
        <v>#DIV/0!</v>
      </c>
      <c r="BD14" s="38" t="str">
        <f t="shared" si="6"/>
        <v>No</v>
      </c>
      <c r="BE14" s="38" t="e">
        <f>IF(OR(AND(C14&gt;0,#REF!="")), "Required","NotRequired")</f>
        <v>#REF!</v>
      </c>
      <c r="BF14" s="38" t="b">
        <v>0</v>
      </c>
      <c r="BG14" s="38" t="e">
        <f t="shared" si="41"/>
        <v>#DIV/0!</v>
      </c>
      <c r="BH14" s="39" t="str">
        <f t="shared" si="7"/>
        <v>NoHighlight</v>
      </c>
      <c r="BI14" s="38" t="str">
        <f t="shared" si="8"/>
        <v>FauxwoodRPNo</v>
      </c>
      <c r="BJ14" s="110" t="str">
        <f>IF(SUM(--ISNUMBER(SEARCH({"t","T"}, O14))),"Yes","No")</f>
        <v>No</v>
      </c>
      <c r="BK14" s="127" t="str">
        <f t="shared" si="9"/>
        <v>OK</v>
      </c>
      <c r="BL14" s="127" t="str">
        <f t="shared" si="10"/>
        <v>OK</v>
      </c>
      <c r="BM14" s="127" t="str">
        <f t="shared" si="11"/>
        <v>OK</v>
      </c>
      <c r="BN14" s="39" t="str">
        <f t="shared" si="12"/>
        <v>OK</v>
      </c>
      <c r="BO14" s="39" t="str">
        <f t="shared" si="13"/>
        <v>FauxwoodAINo</v>
      </c>
      <c r="BP14" s="39" t="str">
        <f>IF(SUM(--ISNUMBER(SEARCH({"combo","Combo","COMBO"}, B31))),"Yes","No")</f>
        <v>No</v>
      </c>
      <c r="BQ14" s="39" t="str">
        <f t="shared" si="42"/>
        <v>No</v>
      </c>
      <c r="BR14" s="39" t="str">
        <f>IF(SUM(--ISNUMBER(SEARCH({"c","C","b","B"}, L14))),"Yes","No")</f>
        <v>No</v>
      </c>
      <c r="BS14" s="11">
        <f t="shared" si="14"/>
        <v>0</v>
      </c>
      <c r="BT14" s="11" t="s">
        <v>820</v>
      </c>
      <c r="BU14" s="11" t="s">
        <v>820</v>
      </c>
      <c r="BV14" s="40">
        <f t="shared" si="15"/>
        <v>0</v>
      </c>
      <c r="BW14" s="40">
        <f t="shared" si="16"/>
        <v>0</v>
      </c>
      <c r="BX14" s="11" t="e">
        <f t="shared" si="17"/>
        <v>#DIV/0!</v>
      </c>
      <c r="BY14" s="11" t="b">
        <v>0</v>
      </c>
      <c r="BZ14" s="11" t="b">
        <v>0</v>
      </c>
      <c r="CA14" s="11" t="e">
        <v>#REF!</v>
      </c>
      <c r="CB14" s="11" t="s">
        <v>82</v>
      </c>
      <c r="CC14" s="11" t="e">
        <f t="shared" si="18"/>
        <v>#DIV/0!</v>
      </c>
      <c r="CD14" s="11" t="e">
        <f>VLOOKUP(P14,'Designer Shutter Data'!$H$3:$I$19,2,FALSE)</f>
        <v>#N/A</v>
      </c>
      <c r="CE14" s="11" t="s">
        <v>820</v>
      </c>
      <c r="CF14" s="11" t="str">
        <f>IF(SUM(--ISNUMBER(SEARCH({"z","Z"}, P14))),"Yes","No")</f>
        <v>No</v>
      </c>
      <c r="CG14" s="11" t="str">
        <f t="shared" si="19"/>
        <v>OK</v>
      </c>
      <c r="CH14" s="11">
        <f t="shared" si="20"/>
        <v>0</v>
      </c>
      <c r="CI14" s="120" t="e">
        <f>IF(O14="N/A","N/A",VLOOKUP(O14,'Designer Shutter Data'!$AO$3:$AP$171,2,FALSE))</f>
        <v>#N/A</v>
      </c>
      <c r="CJ14" s="120" t="e">
        <f t="shared" si="21"/>
        <v>#N/A</v>
      </c>
      <c r="CK14" s="40"/>
      <c r="CL14" s="40"/>
      <c r="CM14" s="40"/>
      <c r="CN14" s="41" t="str">
        <f t="shared" si="22"/>
        <v>OK</v>
      </c>
      <c r="CO14" s="129" t="b">
        <f t="shared" si="23"/>
        <v>0</v>
      </c>
      <c r="CP14" s="129" t="b">
        <f t="shared" si="24"/>
        <v>0</v>
      </c>
      <c r="CQ14" s="40">
        <f t="shared" si="25"/>
        <v>0</v>
      </c>
      <c r="CR14" s="133">
        <f t="shared" si="26"/>
        <v>0</v>
      </c>
      <c r="CS14" s="40">
        <f t="shared" si="43"/>
        <v>0</v>
      </c>
      <c r="CT14" s="133" t="e">
        <f t="shared" si="27"/>
        <v>#N/A</v>
      </c>
      <c r="CU14" s="11" t="b">
        <v>0</v>
      </c>
      <c r="CV14" s="11" t="b">
        <v>0</v>
      </c>
      <c r="CW14" s="11" t="b">
        <v>0</v>
      </c>
      <c r="CX14" s="11" t="b">
        <v>0</v>
      </c>
      <c r="CY14" s="40" t="e">
        <f>IF(OR(AND(#REF!&gt;0,#REF!="")), "Error","OK")</f>
        <v>#REF!</v>
      </c>
      <c r="CZ14" s="11" t="e">
        <v>#REF!</v>
      </c>
      <c r="DA14" s="6" t="str">
        <f t="shared" si="28"/>
        <v/>
      </c>
      <c r="DD14" s="6" t="s">
        <v>84</v>
      </c>
      <c r="DE14" s="6" t="b">
        <f>IF(M14='Designer Shutter Data'!$F$3,'Designer Shutter Data'!$FY$7,IF(M14='Designer Shutter Data'!$F$4,'Designer Shutter Data'!$FZ$2,IF(M14='Designer Shutter Data'!$F$5,FJ14, IF(M14='Designer Shutter Data'!$F$6,'Designer Shutter Data'!$GA$2,IF(M14='Designer Shutter Data'!$F$7,'Designer Shutter Data'!$FY$2, IF(M14='Designer Shutter Data'!$F$8,'Designer Shutter Data'!$FZ$7, IF(M14='Designer Shutter Data'!$F$14,'Designer Shutter Data'!$FZ$14)))))))</f>
        <v>0</v>
      </c>
      <c r="DF14" s="6" t="e">
        <f>VLOOKUP(M14,'Designer Shutter Data'!$M$2:$N$8,2,FALSE)</f>
        <v>#N/A</v>
      </c>
      <c r="DH14" s="123" t="e">
        <f>VLOOKUP(O14,'Designer Shutter Data'!$IN$2:$IO$169,2,FALSE)</f>
        <v>#N/A</v>
      </c>
      <c r="DI14" s="103" t="e">
        <f t="shared" si="29"/>
        <v>#N/A</v>
      </c>
      <c r="DJ14" s="103" t="e">
        <f t="shared" si="44"/>
        <v>#N/A</v>
      </c>
      <c r="DK14" s="7" t="b">
        <f>IF(P14='Designer Shutter Data'!$GC$2,'Designer Shutter Data'!$GD$2,IF(P14='Designer Shutter Data'!$GC$3,'Designer Shutter Data'!$GE$2,IF(P14='Designer Shutter Data'!$GC$4,'Designer Shutter Data'!$GF$2,IF(P14='Designer Shutter Data'!$GC$5,'Designer Shutter Data'!$GG$2,IF(P14='Designer Shutter Data'!$GC$6,'Designer Shutter Data'!$GH$2,IF(P14='Designer Shutter Data'!$GC$7,'Designer Shutter Data'!$GI$2,IF(P14='Designer Shutter Data'!$GC$8,'Designer Shutter Data'!$GJ$2,IF(P14='Designer Shutter Data'!$GC$9,'Designer Shutter Data'!$GK$2,IF(P14='Designer Shutter Data'!$GC$10,'Designer Shutter Data'!$GL$2,IF(P14='Designer Shutter Data'!$GC$11,'Designer Shutter Data'!$GM$2,IF(P14='Designer Shutter Data'!$GC$12,'Designer Shutter Data'!$GN$2,IF(P14='Designer Shutter Data'!$GC$13,'Designer Shutter Data'!$GO$2,IF(P14='Designer Shutter Data'!$GC$14,'Designer Shutter Data'!$GP$2,IF(P14='Designer Shutter Data'!$GC$15,'Designer Shutter Data'!$GD$15,IF(P14='Designer Shutter Data'!$GC$16,'Designer Shutter Data'!$GE$15,IF(P14='Designer Shutter Data'!$GC$17,'Designer Shutter Data'!$GF$15,IF(P14='Designer Shutter Data'!$GC$18,'Designer Shutter Data'!$GG$15,IF(P14='Designer Shutter Data'!$GC$19,'Designer Shutter Data'!$GD$73,IF(P14='Designer Shutter Data'!$GC$20,'Designer Shutter Data'!$GD$88, IF(P14='Designer Shutter Data'!$GC$21,'Designer Shutter Data'!$GH$15, IF(P14='Designer Shutter Data'!$GC$22,'Designer Shutter Data'!$GJ$2, IF(P14='Designer Shutter Data'!$GC$23,'Designer Shutter Data'!$GL$2))))))))))))))))))))))</f>
        <v>0</v>
      </c>
      <c r="DL14" s="7" t="b">
        <f>IF(P14='Designer Shutter Data'!$GC$2,'Designer Shutter Data'!$GD$25,IF(P14='Designer Shutter Data'!$GC$3,'Designer Shutter Data'!$GE$25,IF(P14='Designer Shutter Data'!$GC$4,'Designer Shutter Data'!$GF$25,IF(P14='Designer Shutter Data'!$GC$5,'Designer Shutter Data'!$GG$25,IF(P14='Designer Shutter Data'!$GC$6,'Designer Shutter Data'!$GH$25,IF(P14='Designer Shutter Data'!$GC$7,'Designer Shutter Data'!$GI$25,IF(P14='Designer Shutter Data'!$GC$8,'Designer Shutter Data'!$GJ$25,IF(P14='Designer Shutter Data'!$GC$9,'Designer Shutter Data'!$GK$25,IF(P14='Designer Shutter Data'!$GC$10,'Designer Shutter Data'!$GL$25,IF(P14='Designer Shutter Data'!$GC$11,'Designer Shutter Data'!$GM$25,IF(P14='Designer Shutter Data'!$GC$12,'Designer Shutter Data'!$GN$25,IF(P14='Designer Shutter Data'!$GC$13,'Designer Shutter Data'!$GO$25,IF(P14='Designer Shutter Data'!$GC$14,'Designer Shutter Data'!$GP$25,IF(P14='Designer Shutter Data'!$GC$15,'Designer Shutter Data'!$GD$37,IF(P14='Designer Shutter Data'!$GC$15,'Designer Shutter Data'!$GD$37,IF(P14='Designer Shutter Data'!$GC$16,'Designer Shutter Data'!$GE$37,IF(P14='Designer Shutter Data'!$GC$17,'Designer Shutter Data'!$GF$37,IF(P14='Designer Shutter Data'!$GC$18,'Designer Shutter Data'!$GG$37, IF(P14='Designer Shutter Data'!$GC$19,'Designer Shutter Data'!$GD$73, IF(P14='Designer Shutter Data'!$GC$20,'Designer Shutter Data'!$GE$88, IF(P14='Designer Shutter Data'!$GC$21,'Designer Shutter Data'!$GH$37,IF(P14='Designer Shutter Data'!$GC$22,'Designer Shutter Data'!$GJ$25,IF(P14='Designer Shutter Data'!$GC$23,'Designer Shutter Data'!$GL$25)))))))))))))))))))))))</f>
        <v>0</v>
      </c>
      <c r="DM14" s="118" t="b">
        <f>IF(P14='Designer Shutter Data'!$GC$2,'Designer Shutter Data'!$GD$47,IF(P14='Designer Shutter Data'!$GC$3,'Designer Shutter Data'!$GE$47,IF(P14='Designer Shutter Data'!$GC$4,'Designer Shutter Data'!$GF$47,IF(P14='Designer Shutter Data'!$GC$5,'Designer Shutter Data'!$GG$47,IF(P14='Designer Shutter Data'!$GC$6,'Designer Shutter Data'!$GH$47,IF(P14='Designer Shutter Data'!$GC$7,'Designer Shutter Data'!$GI$47,IF(P14='Designer Shutter Data'!$GC$8,'Designer Shutter Data'!$GJ$47,IF(P14='Designer Shutter Data'!$GC$9,'Designer Shutter Data'!$GK$47,IF(P14='Designer Shutter Data'!$GC$10,'Designer Shutter Data'!$GL$47,IF(P14='Designer Shutter Data'!$GC$11,'Designer Shutter Data'!$GM$47,IF(P14='Designer Shutter Data'!$GC$12,'Designer Shutter Data'!$GN$47,IF(P14='Designer Shutter Data'!$GC$13,'Designer Shutter Data'!$GO$47,IF(P14='Designer Shutter Data'!$GC$14,'Designer Shutter Data'!$GP$47, IF(P14='Designer Shutter Data'!$GC$19,'Designer Shutter Data'!$GD$73, IF(P14='Designer Shutter Data'!$GC$20,'Designer Shutter Data'!$GF$88, IF(M14='Designer Shutter Data'!$F$5,'Designer Shutter Data'!$GE$59, IF(M14='Designer Shutter Data'!$F$6,'Designer Shutter Data'!$GD$59, IF(P14='Designer Shutter Data'!$GC$21,'Designer Shutter Data'!$GF$59,IF(P14='Designer Shutter Data'!$GC$22,'Designer Shutter Data'!$GJ$47,IF(P14='Designer Shutter Data'!$GC$23,'Designer Shutter Data'!$GL$47))))))))))))))))))))</f>
        <v>0</v>
      </c>
      <c r="DN14" s="107" t="str">
        <f t="shared" si="45"/>
        <v/>
      </c>
      <c r="DO14" s="107" t="e">
        <f t="shared" si="46"/>
        <v>#N/A</v>
      </c>
      <c r="DP14" s="107" t="str">
        <f t="shared" si="30"/>
        <v>OK</v>
      </c>
      <c r="DQ14" s="107" t="str">
        <f t="shared" si="31"/>
        <v>OK</v>
      </c>
      <c r="DR14" s="107" t="str">
        <f t="shared" si="32"/>
        <v>OK</v>
      </c>
      <c r="DS14" s="107" t="str">
        <f t="shared" si="33"/>
        <v>OK</v>
      </c>
      <c r="DT14" s="7" t="b">
        <f>IF(E14='Designer Shutter Data'!$GV$2,'Designer Shutter Data'!$GW$2,IF(E14='Designer Shutter Data'!$GV$3,'Designer Shutter Data'!$GX$2,IF(E14='Designer Shutter Data'!$GV$4,'Designer Shutter Data'!$GY$2)))</f>
        <v>0</v>
      </c>
      <c r="DU14" s="40" t="e">
        <f>MATCH(E14,'Designer Shutter Data'!$HB$1:$HD$1,0)</f>
        <v>#N/A</v>
      </c>
      <c r="DV14" s="40" t="e">
        <f>MATCH(M14,'Designer Shutter Data'!$HA$2:$HA$8,0)</f>
        <v>#N/A</v>
      </c>
      <c r="DW14" s="11" t="e">
        <f>INDEX('Designer Shutter Data'!$HB$2:$HD$8,DV14,DU14)</f>
        <v>#N/A</v>
      </c>
      <c r="DX14" s="11" t="b">
        <f>IF(E14='Designer Shutter Data'!$IG$1,'Designer Shutter Data'!$IG$2,IF(E14='Designer Shutter Data'!$IH$1,'Designer Shutter Data'!$IH$2, IF(E14='Designer Shutter Data'!$II$1,'Designer Shutter Data'!$II$2)))</f>
        <v>0</v>
      </c>
      <c r="DY14" s="11" t="str">
        <f>IF(E14="MS",'Designer Shutter Data'!$BI$2,IF(G14='Designer Shutter Data'!$BJ$34,'Designer Shutter Data'!$BJ$35,'Designer Shutter Data'!$BJ$2))</f>
        <v>FauxwoodDesignerWindowType</v>
      </c>
      <c r="DZ14" s="118" t="b">
        <f>IF(M14='Designer Shutter Data'!$F$3,'Designer Shutter Data'!$GF$88, IF(M14='Designer Shutter Data'!$F$4,'Designer Shutter Data'!$GE$59, IF(M14='Designer Shutter Data'!$F$5,'Designer Shutter Data'!$GD$59, IF(M14='Designer Shutter Data'!$F$6,'Designer Shutter Data'!$GD$59, IF(M14='Designer Shutter Data'!$F$7,'Designer Shutter Data'!$GD$73)))))</f>
        <v>0</v>
      </c>
      <c r="EB14" s="6" t="b">
        <f>IF(M14='Designer Shutter Data'!$IT$2,'Designer Shutter Data'!$JA$2, IF(M14='Designer Shutter Data'!$IT$3,'Designer Shutter Data'!$JC$2, IF(M14='Designer Shutter Data'!$IT$4,'Designer Shutter Data'!$JE$2, IF(M14='Designer Shutter Data'!$IT$5,'Designer Shutter Data'!$JG$2, IF(M14='Designer Shutter Data'!$IT$6,'Designer Shutter Data'!$JI$2, IF(M14='Designer Shutter Data'!$IT$7,'Designer Shutter Data'!$JZ$2, IF(M14='Designer Shutter Data'!$IT$8,'Designer Shutter Data'!$JI$16)))))))</f>
        <v>0</v>
      </c>
      <c r="EC14" s="6" t="str">
        <f t="shared" si="34"/>
        <v>NoHighlight</v>
      </c>
      <c r="ED14" s="7" t="e">
        <f>VLOOKUP(M14,'Designer Shutter Data'!$JW$5:$JX$10,2,FALSE)</f>
        <v>#N/A</v>
      </c>
      <c r="EE14" s="7" t="e">
        <f t="shared" si="35"/>
        <v>#N/A</v>
      </c>
      <c r="EF14" s="118" t="e">
        <f>VLOOKUP(O14,'Designer Shutter Data'!$AO$3:$AQ$171,1,FALSE)</f>
        <v>#N/A</v>
      </c>
      <c r="EG14" s="7" t="e">
        <f t="shared" si="36"/>
        <v>#N/A</v>
      </c>
      <c r="EH14" s="6" t="str">
        <f t="shared" si="37"/>
        <v/>
      </c>
      <c r="EJ14" s="40" t="e">
        <f>MATCH(M14,'Designer Shutter Data'!$KD$1:$KI$1,0)</f>
        <v>#N/A</v>
      </c>
      <c r="EK14" s="40" t="e">
        <f>MATCH(P14,'Designer Shutter Data'!$KC$2:$KC$21,0)</f>
        <v>#N/A</v>
      </c>
      <c r="EL14" s="136" t="e">
        <f>INDEX('Designer Shutter Data'!$KD$2:$KI$21,EK14,EJ14)</f>
        <v>#N/A</v>
      </c>
      <c r="EP14" s="6" t="str">
        <f>IF(AC14&lt;&gt;$EO$4,'Designer Shutter Data'!$BR$2,'Designer Shutter Data'!$BR$9)</f>
        <v>Fluffy_Strip_Fauxwood</v>
      </c>
      <c r="ER14" s="6" t="str">
        <f>IF(G14='Designer Shutter Data'!$E$26,'Designer Shutter Data'!$E$27,IF(G14='Designer Shutter Data'!$E$37,'Designer Shutter Data'!$E$38,'Designer Shutter Data'!$E$2))</f>
        <v>FauxwoodDesignerBladeSize</v>
      </c>
      <c r="ET14" s="6" t="str">
        <f t="shared" si="47"/>
        <v>Stile T Post</v>
      </c>
      <c r="EW14" s="40" t="e">
        <f>MATCH(G14,'Designer Shutter Data'!$AV$27:$AV$30,0)</f>
        <v>#N/A</v>
      </c>
      <c r="EX14" s="40" t="e">
        <f>MATCH(AC14,'Designer Shutter Data'!$AW$26:$AX$26,0)</f>
        <v>#N/A</v>
      </c>
      <c r="EY14" s="136" t="e">
        <f>INDEX('Designer Shutter Data'!$AW$27:$AX$30,EW14,EX14)</f>
        <v>#N/A</v>
      </c>
      <c r="EZ14" s="6" t="str">
        <f>IF(G14='Designer Shutter Data'!$S$15,'Designer Shutter Data'!$S$16, IF(G14=$FB$7,'Designer Shutter Data'!$T$15,'Designer Shutter Data'!$S$2))</f>
        <v>FauxwoodDesignerTiltrod</v>
      </c>
      <c r="FA14" s="6" t="e">
        <f>IF(G14=$FB$7,"No",VLOOKUP(L14,'Designer Shutter Data'!$BJ$62:$BK$75,2,FALSE))</f>
        <v>#N/A</v>
      </c>
      <c r="FB14" s="6" t="e">
        <f>IF(FA14="Yes", 'Designer Shutter Data'!$T$2,IF(G14=$FB$7,'Designer Shutter Data'!$T$15,'Designer Shutters Page 1'!EZ14))</f>
        <v>#N/A</v>
      </c>
      <c r="FC14" s="6" t="e">
        <f>MATCH(G14,'Designer Shutter Data'!$IG$15:$IJ$15,0)</f>
        <v>#N/A</v>
      </c>
      <c r="FD14" s="6" t="e">
        <f>MATCH(E14,'Designer Shutter Data'!$IF$16:$IF$18,0)</f>
        <v>#N/A</v>
      </c>
      <c r="FE14" s="6" t="e">
        <f>INDEX('Designer Shutter Data'!$IG$16:$IJ$18, 'Designer Shutters Page 1'!FD14, 'Designer Shutters Page 1'!FC14)</f>
        <v>#N/A</v>
      </c>
      <c r="FH14" s="6" t="str">
        <f t="shared" si="48"/>
        <v>SlidingSystemNA</v>
      </c>
      <c r="FJ14" s="6" t="e">
        <f>VLOOKUP(O14,'Designer Shutter Data'!$KP$2:$KR$44,3,FALSE)</f>
        <v>#N/A</v>
      </c>
      <c r="FL14" s="11" t="b">
        <f>IF(N14=$FL$7,'Designer Shutter Data'!$GH$98,DM14)</f>
        <v>0</v>
      </c>
    </row>
    <row r="15" spans="1:168" ht="36.75" customHeight="1" x14ac:dyDescent="0.2">
      <c r="A15" s="50">
        <v>7</v>
      </c>
      <c r="B15" s="51"/>
      <c r="C15" s="44"/>
      <c r="D15" s="31"/>
      <c r="E15" s="44"/>
      <c r="F15" s="31"/>
      <c r="G15" s="43"/>
      <c r="H15" s="234"/>
      <c r="I15" s="235"/>
      <c r="J15" s="44"/>
      <c r="K15" s="45"/>
      <c r="L15" s="45"/>
      <c r="M15" s="45"/>
      <c r="N15" s="45"/>
      <c r="O15" s="45"/>
      <c r="P15" s="236"/>
      <c r="Q15" s="236"/>
      <c r="R15" s="43"/>
      <c r="S15" s="43"/>
      <c r="T15" s="43"/>
      <c r="U15" s="43"/>
      <c r="V15" s="45"/>
      <c r="W15" s="45"/>
      <c r="X15" s="43"/>
      <c r="Y15" s="46"/>
      <c r="Z15" s="47"/>
      <c r="AA15" s="47"/>
      <c r="AB15" s="47"/>
      <c r="AC15" s="44"/>
      <c r="AD15" s="44"/>
      <c r="AE15" s="48" t="str">
        <f t="shared" si="0"/>
        <v/>
      </c>
      <c r="AI15" s="6">
        <f t="shared" si="38"/>
        <v>0</v>
      </c>
      <c r="AJ15" s="6">
        <f t="shared" si="39"/>
        <v>0</v>
      </c>
      <c r="AK15" s="6">
        <f>IF(O15&lt;&gt;"",VLOOKUP(O15,'Designer Shutter Data'!$KP$2:$KQ$44,2,FALSE),0)</f>
        <v>0</v>
      </c>
      <c r="AT15" s="49" t="str">
        <f t="shared" si="1"/>
        <v/>
      </c>
      <c r="AV15" s="6" t="str">
        <f>IF(G15=$AV$7,'Designer Shutter Data'!$D$38,'Designer Shutter Data'!$D$2)</f>
        <v>FauxwoodDesignerColour</v>
      </c>
      <c r="AW15" s="130" t="e">
        <f t="shared" si="40"/>
        <v>#N/A</v>
      </c>
      <c r="AX15" s="130" t="e">
        <f>VLOOKUP(M15,'Designer Shutter Data'!$JK$2:$JL$7,2,FALSE)</f>
        <v>#N/A</v>
      </c>
      <c r="AY15" s="38" t="b">
        <v>0</v>
      </c>
      <c r="AZ15" s="38" t="str">
        <f t="shared" si="2"/>
        <v>No</v>
      </c>
      <c r="BA15" s="38" t="e">
        <f t="shared" si="3"/>
        <v>#DIV/0!</v>
      </c>
      <c r="BB15" s="38" t="e">
        <f t="shared" si="4"/>
        <v>#DIV/0!</v>
      </c>
      <c r="BC15" s="38" t="e">
        <f t="shared" si="5"/>
        <v>#DIV/0!</v>
      </c>
      <c r="BD15" s="38" t="str">
        <f t="shared" si="6"/>
        <v>No</v>
      </c>
      <c r="BE15" s="38" t="e">
        <f>IF(OR(AND(C15&gt;0,#REF!="")), "Required","NotRequired")</f>
        <v>#REF!</v>
      </c>
      <c r="BF15" s="38" t="b">
        <v>0</v>
      </c>
      <c r="BG15" s="38" t="e">
        <f t="shared" si="41"/>
        <v>#DIV/0!</v>
      </c>
      <c r="BH15" s="39" t="str">
        <f t="shared" si="7"/>
        <v>NoHighlight</v>
      </c>
      <c r="BI15" s="38" t="str">
        <f t="shared" si="8"/>
        <v>FauxwoodRPNo</v>
      </c>
      <c r="BJ15" s="110" t="str">
        <f>IF(SUM(--ISNUMBER(SEARCH({"t","T"}, O15))),"Yes","No")</f>
        <v>No</v>
      </c>
      <c r="BK15" s="127" t="str">
        <f t="shared" si="9"/>
        <v>OK</v>
      </c>
      <c r="BL15" s="127" t="str">
        <f t="shared" si="10"/>
        <v>OK</v>
      </c>
      <c r="BM15" s="127" t="str">
        <f t="shared" si="11"/>
        <v>OK</v>
      </c>
      <c r="BN15" s="39" t="str">
        <f t="shared" si="12"/>
        <v>OK</v>
      </c>
      <c r="BO15" s="39" t="str">
        <f t="shared" si="13"/>
        <v>FauxwoodAINo</v>
      </c>
      <c r="BP15" s="39" t="str">
        <f>IF(SUM(--ISNUMBER(SEARCH({"combo","Combo","COMBO"}, B32))),"Yes","No")</f>
        <v>No</v>
      </c>
      <c r="BQ15" s="39" t="str">
        <f t="shared" si="42"/>
        <v>No</v>
      </c>
      <c r="BR15" s="39" t="str">
        <f>IF(SUM(--ISNUMBER(SEARCH({"c","C","b","B"}, L15))),"Yes","No")</f>
        <v>No</v>
      </c>
      <c r="BS15" s="11">
        <f t="shared" si="14"/>
        <v>0</v>
      </c>
      <c r="BT15" s="11" t="s">
        <v>820</v>
      </c>
      <c r="BU15" s="11" t="s">
        <v>820</v>
      </c>
      <c r="BV15" s="40">
        <f t="shared" si="15"/>
        <v>0</v>
      </c>
      <c r="BW15" s="40">
        <f t="shared" si="16"/>
        <v>0</v>
      </c>
      <c r="BX15" s="11" t="e">
        <f t="shared" si="17"/>
        <v>#DIV/0!</v>
      </c>
      <c r="BY15" s="11" t="b">
        <v>0</v>
      </c>
      <c r="BZ15" s="11" t="b">
        <v>0</v>
      </c>
      <c r="CA15" s="11" t="e">
        <v>#REF!</v>
      </c>
      <c r="CB15" s="11" t="s">
        <v>82</v>
      </c>
      <c r="CC15" s="11" t="e">
        <f t="shared" si="18"/>
        <v>#DIV/0!</v>
      </c>
      <c r="CD15" s="11" t="e">
        <f>VLOOKUP(P15,'Designer Shutter Data'!$H$3:$I$19,2,FALSE)</f>
        <v>#N/A</v>
      </c>
      <c r="CE15" s="11" t="s">
        <v>820</v>
      </c>
      <c r="CF15" s="11" t="str">
        <f>IF(SUM(--ISNUMBER(SEARCH({"z","Z"}, P15))),"Yes","No")</f>
        <v>No</v>
      </c>
      <c r="CG15" s="11" t="str">
        <f t="shared" si="19"/>
        <v>OK</v>
      </c>
      <c r="CH15" s="11">
        <f t="shared" si="20"/>
        <v>0</v>
      </c>
      <c r="CI15" s="120" t="e">
        <f>IF(O15="N/A","N/A",VLOOKUP(O15,'Designer Shutter Data'!$AO$3:$AP$171,2,FALSE))</f>
        <v>#N/A</v>
      </c>
      <c r="CJ15" s="120" t="e">
        <f t="shared" si="21"/>
        <v>#N/A</v>
      </c>
      <c r="CK15" s="40"/>
      <c r="CL15" s="40"/>
      <c r="CM15" s="40"/>
      <c r="CN15" s="41" t="str">
        <f t="shared" si="22"/>
        <v>OK</v>
      </c>
      <c r="CO15" s="129" t="b">
        <f t="shared" si="23"/>
        <v>0</v>
      </c>
      <c r="CP15" s="129" t="b">
        <f t="shared" si="24"/>
        <v>0</v>
      </c>
      <c r="CQ15" s="40">
        <f t="shared" si="25"/>
        <v>0</v>
      </c>
      <c r="CR15" s="133">
        <f t="shared" si="26"/>
        <v>0</v>
      </c>
      <c r="CS15" s="40">
        <f t="shared" si="43"/>
        <v>0</v>
      </c>
      <c r="CT15" s="133" t="e">
        <f t="shared" si="27"/>
        <v>#N/A</v>
      </c>
      <c r="CU15" s="11" t="b">
        <v>0</v>
      </c>
      <c r="CV15" s="11" t="b">
        <v>0</v>
      </c>
      <c r="CW15" s="11" t="b">
        <v>0</v>
      </c>
      <c r="CX15" s="11" t="b">
        <v>0</v>
      </c>
      <c r="CY15" s="40" t="e">
        <f>IF(OR(AND(#REF!&gt;0,#REF!="")), "Error","OK")</f>
        <v>#REF!</v>
      </c>
      <c r="CZ15" s="11" t="e">
        <v>#REF!</v>
      </c>
      <c r="DA15" s="6" t="str">
        <f t="shared" si="28"/>
        <v/>
      </c>
      <c r="DD15" s="6" t="s">
        <v>84</v>
      </c>
      <c r="DE15" s="6" t="b">
        <f>IF(M15='Designer Shutter Data'!$F$3,'Designer Shutter Data'!$FY$7,IF(M15='Designer Shutter Data'!$F$4,'Designer Shutter Data'!$FZ$2,IF(M15='Designer Shutter Data'!$F$5,FJ15, IF(M15='Designer Shutter Data'!$F$6,'Designer Shutter Data'!$GA$2,IF(M15='Designer Shutter Data'!$F$7,'Designer Shutter Data'!$FY$2, IF(M15='Designer Shutter Data'!$F$8,'Designer Shutter Data'!$FZ$7, IF(M15='Designer Shutter Data'!$F$14,'Designer Shutter Data'!$FZ$14)))))))</f>
        <v>0</v>
      </c>
      <c r="DF15" s="6" t="e">
        <f>VLOOKUP(M15,'Designer Shutter Data'!$M$2:$N$8,2,FALSE)</f>
        <v>#N/A</v>
      </c>
      <c r="DH15" s="123" t="e">
        <f>VLOOKUP(O15,'Designer Shutter Data'!$IN$2:$IO$169,2,FALSE)</f>
        <v>#N/A</v>
      </c>
      <c r="DI15" s="103" t="e">
        <f t="shared" si="29"/>
        <v>#N/A</v>
      </c>
      <c r="DJ15" s="103" t="e">
        <f t="shared" si="44"/>
        <v>#N/A</v>
      </c>
      <c r="DK15" s="7" t="b">
        <f>IF(P15='Designer Shutter Data'!$GC$2,'Designer Shutter Data'!$GD$2,IF(P15='Designer Shutter Data'!$GC$3,'Designer Shutter Data'!$GE$2,IF(P15='Designer Shutter Data'!$GC$4,'Designer Shutter Data'!$GF$2,IF(P15='Designer Shutter Data'!$GC$5,'Designer Shutter Data'!$GG$2,IF(P15='Designer Shutter Data'!$GC$6,'Designer Shutter Data'!$GH$2,IF(P15='Designer Shutter Data'!$GC$7,'Designer Shutter Data'!$GI$2,IF(P15='Designer Shutter Data'!$GC$8,'Designer Shutter Data'!$GJ$2,IF(P15='Designer Shutter Data'!$GC$9,'Designer Shutter Data'!$GK$2,IF(P15='Designer Shutter Data'!$GC$10,'Designer Shutter Data'!$GL$2,IF(P15='Designer Shutter Data'!$GC$11,'Designer Shutter Data'!$GM$2,IF(P15='Designer Shutter Data'!$GC$12,'Designer Shutter Data'!$GN$2,IF(P15='Designer Shutter Data'!$GC$13,'Designer Shutter Data'!$GO$2,IF(P15='Designer Shutter Data'!$GC$14,'Designer Shutter Data'!$GP$2,IF(P15='Designer Shutter Data'!$GC$15,'Designer Shutter Data'!$GD$15,IF(P15='Designer Shutter Data'!$GC$16,'Designer Shutter Data'!$GE$15,IF(P15='Designer Shutter Data'!$GC$17,'Designer Shutter Data'!$GF$15,IF(P15='Designer Shutter Data'!$GC$18,'Designer Shutter Data'!$GG$15,IF(P15='Designer Shutter Data'!$GC$19,'Designer Shutter Data'!$GD$73,IF(P15='Designer Shutter Data'!$GC$20,'Designer Shutter Data'!$GD$88, IF(P15='Designer Shutter Data'!$GC$21,'Designer Shutter Data'!$GH$15, IF(P15='Designer Shutter Data'!$GC$22,'Designer Shutter Data'!$GJ$2, IF(P15='Designer Shutter Data'!$GC$23,'Designer Shutter Data'!$GL$2))))))))))))))))))))))</f>
        <v>0</v>
      </c>
      <c r="DL15" s="7" t="b">
        <f>IF(P15='Designer Shutter Data'!$GC$2,'Designer Shutter Data'!$GD$25,IF(P15='Designer Shutter Data'!$GC$3,'Designer Shutter Data'!$GE$25,IF(P15='Designer Shutter Data'!$GC$4,'Designer Shutter Data'!$GF$25,IF(P15='Designer Shutter Data'!$GC$5,'Designer Shutter Data'!$GG$25,IF(P15='Designer Shutter Data'!$GC$6,'Designer Shutter Data'!$GH$25,IF(P15='Designer Shutter Data'!$GC$7,'Designer Shutter Data'!$GI$25,IF(P15='Designer Shutter Data'!$GC$8,'Designer Shutter Data'!$GJ$25,IF(P15='Designer Shutter Data'!$GC$9,'Designer Shutter Data'!$GK$25,IF(P15='Designer Shutter Data'!$GC$10,'Designer Shutter Data'!$GL$25,IF(P15='Designer Shutter Data'!$GC$11,'Designer Shutter Data'!$GM$25,IF(P15='Designer Shutter Data'!$GC$12,'Designer Shutter Data'!$GN$25,IF(P15='Designer Shutter Data'!$GC$13,'Designer Shutter Data'!$GO$25,IF(P15='Designer Shutter Data'!$GC$14,'Designer Shutter Data'!$GP$25,IF(P15='Designer Shutter Data'!$GC$15,'Designer Shutter Data'!$GD$37,IF(P15='Designer Shutter Data'!$GC$15,'Designer Shutter Data'!$GD$37,IF(P15='Designer Shutter Data'!$GC$16,'Designer Shutter Data'!$GE$37,IF(P15='Designer Shutter Data'!$GC$17,'Designer Shutter Data'!$GF$37,IF(P15='Designer Shutter Data'!$GC$18,'Designer Shutter Data'!$GG$37, IF(P15='Designer Shutter Data'!$GC$19,'Designer Shutter Data'!$GD$73, IF(P15='Designer Shutter Data'!$GC$20,'Designer Shutter Data'!$GE$88, IF(P15='Designer Shutter Data'!$GC$21,'Designer Shutter Data'!$GH$37,IF(P15='Designer Shutter Data'!$GC$22,'Designer Shutter Data'!$GJ$25,IF(P15='Designer Shutter Data'!$GC$23,'Designer Shutter Data'!$GL$25)))))))))))))))))))))))</f>
        <v>0</v>
      </c>
      <c r="DM15" s="118" t="b">
        <f>IF(P15='Designer Shutter Data'!$GC$2,'Designer Shutter Data'!$GD$47,IF(P15='Designer Shutter Data'!$GC$3,'Designer Shutter Data'!$GE$47,IF(P15='Designer Shutter Data'!$GC$4,'Designer Shutter Data'!$GF$47,IF(P15='Designer Shutter Data'!$GC$5,'Designer Shutter Data'!$GG$47,IF(P15='Designer Shutter Data'!$GC$6,'Designer Shutter Data'!$GH$47,IF(P15='Designer Shutter Data'!$GC$7,'Designer Shutter Data'!$GI$47,IF(P15='Designer Shutter Data'!$GC$8,'Designer Shutter Data'!$GJ$47,IF(P15='Designer Shutter Data'!$GC$9,'Designer Shutter Data'!$GK$47,IF(P15='Designer Shutter Data'!$GC$10,'Designer Shutter Data'!$GL$47,IF(P15='Designer Shutter Data'!$GC$11,'Designer Shutter Data'!$GM$47,IF(P15='Designer Shutter Data'!$GC$12,'Designer Shutter Data'!$GN$47,IF(P15='Designer Shutter Data'!$GC$13,'Designer Shutter Data'!$GO$47,IF(P15='Designer Shutter Data'!$GC$14,'Designer Shutter Data'!$GP$47, IF(P15='Designer Shutter Data'!$GC$19,'Designer Shutter Data'!$GD$73, IF(P15='Designer Shutter Data'!$GC$20,'Designer Shutter Data'!$GF$88, IF(M15='Designer Shutter Data'!$F$5,'Designer Shutter Data'!$GE$59, IF(M15='Designer Shutter Data'!$F$6,'Designer Shutter Data'!$GD$59, IF(P15='Designer Shutter Data'!$GC$21,'Designer Shutter Data'!$GF$59,IF(P15='Designer Shutter Data'!$GC$22,'Designer Shutter Data'!$GJ$47,IF(P15='Designer Shutter Data'!$GC$23,'Designer Shutter Data'!$GL$47))))))))))))))))))))</f>
        <v>0</v>
      </c>
      <c r="DN15" s="107" t="str">
        <f t="shared" si="45"/>
        <v/>
      </c>
      <c r="DO15" s="107" t="e">
        <f t="shared" si="46"/>
        <v>#N/A</v>
      </c>
      <c r="DP15" s="107" t="str">
        <f t="shared" si="30"/>
        <v>OK</v>
      </c>
      <c r="DQ15" s="107" t="str">
        <f t="shared" si="31"/>
        <v>OK</v>
      </c>
      <c r="DR15" s="107" t="str">
        <f t="shared" si="32"/>
        <v>OK</v>
      </c>
      <c r="DS15" s="107" t="str">
        <f t="shared" si="33"/>
        <v>OK</v>
      </c>
      <c r="DT15" s="7" t="b">
        <f>IF(E15='Designer Shutter Data'!$GV$2,'Designer Shutter Data'!$GW$2,IF(E15='Designer Shutter Data'!$GV$3,'Designer Shutter Data'!$GX$2,IF(E15='Designer Shutter Data'!$GV$4,'Designer Shutter Data'!$GY$2)))</f>
        <v>0</v>
      </c>
      <c r="DU15" s="40" t="e">
        <f>MATCH(E15,'Designer Shutter Data'!$HB$1:$HD$1,0)</f>
        <v>#N/A</v>
      </c>
      <c r="DV15" s="40" t="e">
        <f>MATCH(M15,'Designer Shutter Data'!$HA$2:$HA$8,0)</f>
        <v>#N/A</v>
      </c>
      <c r="DW15" s="11" t="e">
        <f>INDEX('Designer Shutter Data'!$HB$2:$HD$8,DV15,DU15)</f>
        <v>#N/A</v>
      </c>
      <c r="DX15" s="11" t="b">
        <f>IF(E15='Designer Shutter Data'!$IG$1,'Designer Shutter Data'!$IG$2,IF(E15='Designer Shutter Data'!$IH$1,'Designer Shutter Data'!$IH$2, IF(E15='Designer Shutter Data'!$II$1,'Designer Shutter Data'!$II$2)))</f>
        <v>0</v>
      </c>
      <c r="DY15" s="11" t="str">
        <f>IF(E15="MS",'Designer Shutter Data'!$BI$2,IF(G15='Designer Shutter Data'!$BJ$34,'Designer Shutter Data'!$BJ$35,'Designer Shutter Data'!$BJ$2))</f>
        <v>FauxwoodDesignerWindowType</v>
      </c>
      <c r="DZ15" s="118" t="b">
        <f>IF(M15='Designer Shutter Data'!$F$3,'Designer Shutter Data'!$GF$88, IF(M15='Designer Shutter Data'!$F$4,'Designer Shutter Data'!$GE$59, IF(M15='Designer Shutter Data'!$F$5,'Designer Shutter Data'!$GD$59, IF(M15='Designer Shutter Data'!$F$6,'Designer Shutter Data'!$GD$59, IF(M15='Designer Shutter Data'!$F$7,'Designer Shutter Data'!$GD$73)))))</f>
        <v>0</v>
      </c>
      <c r="EB15" s="6" t="b">
        <f>IF(M15='Designer Shutter Data'!$IT$2,'Designer Shutter Data'!$JA$2, IF(M15='Designer Shutter Data'!$IT$3,'Designer Shutter Data'!$JC$2, IF(M15='Designer Shutter Data'!$IT$4,'Designer Shutter Data'!$JE$2, IF(M15='Designer Shutter Data'!$IT$5,'Designer Shutter Data'!$JG$2, IF(M15='Designer Shutter Data'!$IT$6,'Designer Shutter Data'!$JI$2, IF(M15='Designer Shutter Data'!$IT$7,'Designer Shutter Data'!$JZ$2, IF(M15='Designer Shutter Data'!$IT$8,'Designer Shutter Data'!$JI$16)))))))</f>
        <v>0</v>
      </c>
      <c r="EC15" s="6" t="str">
        <f t="shared" si="34"/>
        <v>NoHighlight</v>
      </c>
      <c r="ED15" s="7" t="e">
        <f>VLOOKUP(M15,'Designer Shutter Data'!$JW$5:$JX$10,2,FALSE)</f>
        <v>#N/A</v>
      </c>
      <c r="EE15" s="7" t="e">
        <f t="shared" si="35"/>
        <v>#N/A</v>
      </c>
      <c r="EF15" s="118" t="e">
        <f>VLOOKUP(O15,'Designer Shutter Data'!$AO$3:$AQ$171,1,FALSE)</f>
        <v>#N/A</v>
      </c>
      <c r="EG15" s="7" t="e">
        <f t="shared" si="36"/>
        <v>#N/A</v>
      </c>
      <c r="EH15" s="6" t="str">
        <f t="shared" si="37"/>
        <v/>
      </c>
      <c r="EJ15" s="40" t="e">
        <f>MATCH(M15,'Designer Shutter Data'!$KD$1:$KI$1,0)</f>
        <v>#N/A</v>
      </c>
      <c r="EK15" s="40" t="e">
        <f>MATCH(P15,'Designer Shutter Data'!$KC$2:$KC$21,0)</f>
        <v>#N/A</v>
      </c>
      <c r="EL15" s="136" t="e">
        <f>INDEX('Designer Shutter Data'!$KD$2:$KI$21,EK15,EJ15)</f>
        <v>#N/A</v>
      </c>
      <c r="EP15" s="6" t="str">
        <f>IF(AC15&lt;&gt;$EO$4,'Designer Shutter Data'!$BR$2,'Designer Shutter Data'!$BR$9)</f>
        <v>Fluffy_Strip_Fauxwood</v>
      </c>
      <c r="ER15" s="6" t="str">
        <f>IF(G15='Designer Shutter Data'!$E$26,'Designer Shutter Data'!$E$27,IF(G15='Designer Shutter Data'!$E$37,'Designer Shutter Data'!$E$38,'Designer Shutter Data'!$E$2))</f>
        <v>FauxwoodDesignerBladeSize</v>
      </c>
      <c r="ET15" s="6" t="str">
        <f t="shared" si="47"/>
        <v>Stile T Post</v>
      </c>
      <c r="EW15" s="40" t="e">
        <f>MATCH(G15,'Designer Shutter Data'!$AV$27:$AV$30,0)</f>
        <v>#N/A</v>
      </c>
      <c r="EX15" s="40" t="e">
        <f>MATCH(AC15,'Designer Shutter Data'!$AW$26:$AX$26,0)</f>
        <v>#N/A</v>
      </c>
      <c r="EY15" s="136" t="e">
        <f>INDEX('Designer Shutter Data'!$AW$27:$AX$30,EW15,EX15)</f>
        <v>#N/A</v>
      </c>
      <c r="EZ15" s="6" t="str">
        <f>IF(G15='Designer Shutter Data'!$S$15,'Designer Shutter Data'!$S$16, IF(G15=$FB$7,'Designer Shutter Data'!$T$15,'Designer Shutter Data'!$S$2))</f>
        <v>FauxwoodDesignerTiltrod</v>
      </c>
      <c r="FA15" s="6" t="e">
        <f>IF(G15=$FB$7,"No",VLOOKUP(L15,'Designer Shutter Data'!$BJ$62:$BK$75,2,FALSE))</f>
        <v>#N/A</v>
      </c>
      <c r="FB15" s="6" t="e">
        <f>IF(FA15="Yes", 'Designer Shutter Data'!$T$2,IF(G15=$FB$7,'Designer Shutter Data'!$T$15,'Designer Shutters Page 1'!EZ15))</f>
        <v>#N/A</v>
      </c>
      <c r="FC15" s="6" t="e">
        <f>MATCH(G15,'Designer Shutter Data'!$IG$15:$IJ$15,0)</f>
        <v>#N/A</v>
      </c>
      <c r="FD15" s="6" t="e">
        <f>MATCH(E15,'Designer Shutter Data'!$IF$16:$IF$18,0)</f>
        <v>#N/A</v>
      </c>
      <c r="FE15" s="6" t="e">
        <f>INDEX('Designer Shutter Data'!$IG$16:$IJ$18, 'Designer Shutters Page 1'!FD15, 'Designer Shutters Page 1'!FC15)</f>
        <v>#N/A</v>
      </c>
      <c r="FH15" s="6" t="str">
        <f t="shared" si="48"/>
        <v>SlidingSystemNA</v>
      </c>
      <c r="FJ15" s="6" t="e">
        <f>VLOOKUP(O15,'Designer Shutter Data'!$KP$2:$KR$44,3,FALSE)</f>
        <v>#N/A</v>
      </c>
      <c r="FL15" s="11" t="b">
        <f>IF(N15=$FL$7,'Designer Shutter Data'!$GH$98,DM15)</f>
        <v>0</v>
      </c>
    </row>
    <row r="16" spans="1:168" ht="36.75" customHeight="1" x14ac:dyDescent="0.2">
      <c r="A16" s="50">
        <v>8</v>
      </c>
      <c r="B16" s="51"/>
      <c r="C16" s="44"/>
      <c r="D16" s="31"/>
      <c r="E16" s="44"/>
      <c r="F16" s="31"/>
      <c r="G16" s="43"/>
      <c r="H16" s="234"/>
      <c r="I16" s="235"/>
      <c r="J16" s="44"/>
      <c r="K16" s="45"/>
      <c r="L16" s="45"/>
      <c r="M16" s="45"/>
      <c r="N16" s="45"/>
      <c r="O16" s="45"/>
      <c r="P16" s="236"/>
      <c r="Q16" s="236"/>
      <c r="R16" s="43"/>
      <c r="S16" s="43"/>
      <c r="T16" s="43"/>
      <c r="U16" s="43"/>
      <c r="V16" s="45"/>
      <c r="W16" s="45"/>
      <c r="X16" s="43"/>
      <c r="Y16" s="46"/>
      <c r="Z16" s="47"/>
      <c r="AA16" s="47"/>
      <c r="AB16" s="47"/>
      <c r="AC16" s="44"/>
      <c r="AD16" s="44"/>
      <c r="AE16" s="48" t="str">
        <f t="shared" si="0"/>
        <v/>
      </c>
      <c r="AI16" s="6">
        <f t="shared" si="38"/>
        <v>0</v>
      </c>
      <c r="AJ16" s="6">
        <f t="shared" si="39"/>
        <v>0</v>
      </c>
      <c r="AK16" s="6">
        <f>IF(O16&lt;&gt;"",VLOOKUP(O16,'Designer Shutter Data'!$KP$2:$KQ$44,2,FALSE),0)</f>
        <v>0</v>
      </c>
      <c r="AT16" s="49" t="str">
        <f t="shared" si="1"/>
        <v/>
      </c>
      <c r="AV16" s="6" t="str">
        <f>IF(G16=$AV$7,'Designer Shutter Data'!$D$38,'Designer Shutter Data'!$D$2)</f>
        <v>FauxwoodDesignerColour</v>
      </c>
      <c r="AW16" s="130" t="e">
        <f t="shared" si="40"/>
        <v>#N/A</v>
      </c>
      <c r="AX16" s="130" t="e">
        <f>VLOOKUP(M16,'Designer Shutter Data'!$JK$2:$JL$7,2,FALSE)</f>
        <v>#N/A</v>
      </c>
      <c r="AY16" s="38" t="b">
        <v>0</v>
      </c>
      <c r="AZ16" s="38" t="str">
        <f t="shared" si="2"/>
        <v>No</v>
      </c>
      <c r="BA16" s="38" t="e">
        <f t="shared" si="3"/>
        <v>#DIV/0!</v>
      </c>
      <c r="BB16" s="38" t="e">
        <f t="shared" si="4"/>
        <v>#DIV/0!</v>
      </c>
      <c r="BC16" s="38" t="e">
        <f t="shared" si="5"/>
        <v>#DIV/0!</v>
      </c>
      <c r="BD16" s="38" t="str">
        <f t="shared" si="6"/>
        <v>No</v>
      </c>
      <c r="BE16" s="38" t="e">
        <f>IF(OR(AND(C16&gt;0,#REF!="")), "Required","NotRequired")</f>
        <v>#REF!</v>
      </c>
      <c r="BF16" s="38" t="b">
        <v>0</v>
      </c>
      <c r="BG16" s="38" t="e">
        <f t="shared" si="41"/>
        <v>#DIV/0!</v>
      </c>
      <c r="BH16" s="39" t="str">
        <f t="shared" si="7"/>
        <v>NoHighlight</v>
      </c>
      <c r="BI16" s="38" t="str">
        <f t="shared" si="8"/>
        <v>FauxwoodRPNo</v>
      </c>
      <c r="BJ16" s="110" t="str">
        <f>IF(SUM(--ISNUMBER(SEARCH({"t","T"}, O16))),"Yes","No")</f>
        <v>No</v>
      </c>
      <c r="BK16" s="127" t="str">
        <f t="shared" si="9"/>
        <v>OK</v>
      </c>
      <c r="BL16" s="127" t="str">
        <f t="shared" si="10"/>
        <v>OK</v>
      </c>
      <c r="BM16" s="127" t="str">
        <f t="shared" si="11"/>
        <v>OK</v>
      </c>
      <c r="BN16" s="39" t="str">
        <f t="shared" si="12"/>
        <v>OK</v>
      </c>
      <c r="BO16" s="39" t="str">
        <f t="shared" si="13"/>
        <v>FauxwoodAINo</v>
      </c>
      <c r="BP16" s="39" t="str">
        <f>IF(SUM(--ISNUMBER(SEARCH({"combo","Combo","COMBO"}, B33))),"Yes","No")</f>
        <v>No</v>
      </c>
      <c r="BQ16" s="39" t="str">
        <f t="shared" si="42"/>
        <v>No</v>
      </c>
      <c r="BR16" s="39" t="str">
        <f>IF(SUM(--ISNUMBER(SEARCH({"c","C","b","B"}, L16))),"Yes","No")</f>
        <v>No</v>
      </c>
      <c r="BS16" s="11">
        <f t="shared" si="14"/>
        <v>0</v>
      </c>
      <c r="BT16" s="11" t="s">
        <v>820</v>
      </c>
      <c r="BU16" s="11" t="s">
        <v>820</v>
      </c>
      <c r="BV16" s="40">
        <f t="shared" si="15"/>
        <v>0</v>
      </c>
      <c r="BW16" s="40">
        <f t="shared" si="16"/>
        <v>0</v>
      </c>
      <c r="BX16" s="11" t="e">
        <f t="shared" si="17"/>
        <v>#DIV/0!</v>
      </c>
      <c r="BY16" s="11" t="b">
        <v>0</v>
      </c>
      <c r="BZ16" s="11" t="b">
        <v>0</v>
      </c>
      <c r="CA16" s="11" t="e">
        <v>#REF!</v>
      </c>
      <c r="CB16" s="11" t="s">
        <v>82</v>
      </c>
      <c r="CC16" s="11" t="e">
        <f t="shared" si="18"/>
        <v>#DIV/0!</v>
      </c>
      <c r="CD16" s="11" t="e">
        <f>VLOOKUP(P16,'Designer Shutter Data'!$H$3:$I$19,2,FALSE)</f>
        <v>#N/A</v>
      </c>
      <c r="CE16" s="11" t="s">
        <v>820</v>
      </c>
      <c r="CF16" s="11" t="str">
        <f>IF(SUM(--ISNUMBER(SEARCH({"z","Z"}, P16))),"Yes","No")</f>
        <v>No</v>
      </c>
      <c r="CG16" s="11" t="str">
        <f t="shared" si="19"/>
        <v>OK</v>
      </c>
      <c r="CH16" s="11">
        <f t="shared" si="20"/>
        <v>0</v>
      </c>
      <c r="CI16" s="120" t="e">
        <f>IF(O16="N/A","N/A",VLOOKUP(O16,'Designer Shutter Data'!$AO$3:$AP$171,2,FALSE))</f>
        <v>#N/A</v>
      </c>
      <c r="CJ16" s="120" t="e">
        <f t="shared" si="21"/>
        <v>#N/A</v>
      </c>
      <c r="CK16" s="40"/>
      <c r="CL16" s="40"/>
      <c r="CM16" s="40"/>
      <c r="CN16" s="41" t="str">
        <f t="shared" si="22"/>
        <v>OK</v>
      </c>
      <c r="CO16" s="129" t="b">
        <f t="shared" si="23"/>
        <v>0</v>
      </c>
      <c r="CP16" s="129" t="b">
        <f t="shared" si="24"/>
        <v>0</v>
      </c>
      <c r="CQ16" s="40">
        <f t="shared" si="25"/>
        <v>0</v>
      </c>
      <c r="CR16" s="133">
        <f t="shared" si="26"/>
        <v>0</v>
      </c>
      <c r="CS16" s="40">
        <f t="shared" si="43"/>
        <v>0</v>
      </c>
      <c r="CT16" s="133" t="e">
        <f t="shared" si="27"/>
        <v>#N/A</v>
      </c>
      <c r="CU16" s="11" t="b">
        <v>0</v>
      </c>
      <c r="CV16" s="11" t="b">
        <v>0</v>
      </c>
      <c r="CW16" s="11" t="b">
        <v>0</v>
      </c>
      <c r="CX16" s="11" t="b">
        <v>0</v>
      </c>
      <c r="CY16" s="40" t="e">
        <f>IF(OR(AND(#REF!&gt;0,#REF!="")), "Error","OK")</f>
        <v>#REF!</v>
      </c>
      <c r="CZ16" s="11" t="e">
        <v>#REF!</v>
      </c>
      <c r="DA16" s="6" t="str">
        <f t="shared" si="28"/>
        <v/>
      </c>
      <c r="DD16" s="6" t="s">
        <v>84</v>
      </c>
      <c r="DE16" s="6" t="b">
        <f>IF(M16='Designer Shutter Data'!$F$3,'Designer Shutter Data'!$FY$7,IF(M16='Designer Shutter Data'!$F$4,'Designer Shutter Data'!$FZ$2,IF(M16='Designer Shutter Data'!$F$5,FJ16, IF(M16='Designer Shutter Data'!$F$6,'Designer Shutter Data'!$GA$2,IF(M16='Designer Shutter Data'!$F$7,'Designer Shutter Data'!$FY$2, IF(M16='Designer Shutter Data'!$F$8,'Designer Shutter Data'!$FZ$7, IF(M16='Designer Shutter Data'!$F$14,'Designer Shutter Data'!$FZ$14)))))))</f>
        <v>0</v>
      </c>
      <c r="DF16" s="6" t="e">
        <f>VLOOKUP(M16,'Designer Shutter Data'!$M$2:$N$8,2,FALSE)</f>
        <v>#N/A</v>
      </c>
      <c r="DH16" s="123" t="e">
        <f>VLOOKUP(O16,'Designer Shutter Data'!$IN$2:$IO$169,2,FALSE)</f>
        <v>#N/A</v>
      </c>
      <c r="DI16" s="103" t="e">
        <f t="shared" si="29"/>
        <v>#N/A</v>
      </c>
      <c r="DJ16" s="103" t="e">
        <f t="shared" si="44"/>
        <v>#N/A</v>
      </c>
      <c r="DK16" s="7" t="b">
        <f>IF(P16='Designer Shutter Data'!$GC$2,'Designer Shutter Data'!$GD$2,IF(P16='Designer Shutter Data'!$GC$3,'Designer Shutter Data'!$GE$2,IF(P16='Designer Shutter Data'!$GC$4,'Designer Shutter Data'!$GF$2,IF(P16='Designer Shutter Data'!$GC$5,'Designer Shutter Data'!$GG$2,IF(P16='Designer Shutter Data'!$GC$6,'Designer Shutter Data'!$GH$2,IF(P16='Designer Shutter Data'!$GC$7,'Designer Shutter Data'!$GI$2,IF(P16='Designer Shutter Data'!$GC$8,'Designer Shutter Data'!$GJ$2,IF(P16='Designer Shutter Data'!$GC$9,'Designer Shutter Data'!$GK$2,IF(P16='Designer Shutter Data'!$GC$10,'Designer Shutter Data'!$GL$2,IF(P16='Designer Shutter Data'!$GC$11,'Designer Shutter Data'!$GM$2,IF(P16='Designer Shutter Data'!$GC$12,'Designer Shutter Data'!$GN$2,IF(P16='Designer Shutter Data'!$GC$13,'Designer Shutter Data'!$GO$2,IF(P16='Designer Shutter Data'!$GC$14,'Designer Shutter Data'!$GP$2,IF(P16='Designer Shutter Data'!$GC$15,'Designer Shutter Data'!$GD$15,IF(P16='Designer Shutter Data'!$GC$16,'Designer Shutter Data'!$GE$15,IF(P16='Designer Shutter Data'!$GC$17,'Designer Shutter Data'!$GF$15,IF(P16='Designer Shutter Data'!$GC$18,'Designer Shutter Data'!$GG$15,IF(P16='Designer Shutter Data'!$GC$19,'Designer Shutter Data'!$GD$73,IF(P16='Designer Shutter Data'!$GC$20,'Designer Shutter Data'!$GD$88, IF(P16='Designer Shutter Data'!$GC$21,'Designer Shutter Data'!$GH$15, IF(P16='Designer Shutter Data'!$GC$22,'Designer Shutter Data'!$GJ$2, IF(P16='Designer Shutter Data'!$GC$23,'Designer Shutter Data'!$GL$2))))))))))))))))))))))</f>
        <v>0</v>
      </c>
      <c r="DL16" s="7" t="b">
        <f>IF(P16='Designer Shutter Data'!$GC$2,'Designer Shutter Data'!$GD$25,IF(P16='Designer Shutter Data'!$GC$3,'Designer Shutter Data'!$GE$25,IF(P16='Designer Shutter Data'!$GC$4,'Designer Shutter Data'!$GF$25,IF(P16='Designer Shutter Data'!$GC$5,'Designer Shutter Data'!$GG$25,IF(P16='Designer Shutter Data'!$GC$6,'Designer Shutter Data'!$GH$25,IF(P16='Designer Shutter Data'!$GC$7,'Designer Shutter Data'!$GI$25,IF(P16='Designer Shutter Data'!$GC$8,'Designer Shutter Data'!$GJ$25,IF(P16='Designer Shutter Data'!$GC$9,'Designer Shutter Data'!$GK$25,IF(P16='Designer Shutter Data'!$GC$10,'Designer Shutter Data'!$GL$25,IF(P16='Designer Shutter Data'!$GC$11,'Designer Shutter Data'!$GM$25,IF(P16='Designer Shutter Data'!$GC$12,'Designer Shutter Data'!$GN$25,IF(P16='Designer Shutter Data'!$GC$13,'Designer Shutter Data'!$GO$25,IF(P16='Designer Shutter Data'!$GC$14,'Designer Shutter Data'!$GP$25,IF(P16='Designer Shutter Data'!$GC$15,'Designer Shutter Data'!$GD$37,IF(P16='Designer Shutter Data'!$GC$15,'Designer Shutter Data'!$GD$37,IF(P16='Designer Shutter Data'!$GC$16,'Designer Shutter Data'!$GE$37,IF(P16='Designer Shutter Data'!$GC$17,'Designer Shutter Data'!$GF$37,IF(P16='Designer Shutter Data'!$GC$18,'Designer Shutter Data'!$GG$37, IF(P16='Designer Shutter Data'!$GC$19,'Designer Shutter Data'!$GD$73, IF(P16='Designer Shutter Data'!$GC$20,'Designer Shutter Data'!$GE$88, IF(P16='Designer Shutter Data'!$GC$21,'Designer Shutter Data'!$GH$37,IF(P16='Designer Shutter Data'!$GC$22,'Designer Shutter Data'!$GJ$25,IF(P16='Designer Shutter Data'!$GC$23,'Designer Shutter Data'!$GL$25)))))))))))))))))))))))</f>
        <v>0</v>
      </c>
      <c r="DM16" s="118" t="b">
        <f>IF(P16='Designer Shutter Data'!$GC$2,'Designer Shutter Data'!$GD$47,IF(P16='Designer Shutter Data'!$GC$3,'Designer Shutter Data'!$GE$47,IF(P16='Designer Shutter Data'!$GC$4,'Designer Shutter Data'!$GF$47,IF(P16='Designer Shutter Data'!$GC$5,'Designer Shutter Data'!$GG$47,IF(P16='Designer Shutter Data'!$GC$6,'Designer Shutter Data'!$GH$47,IF(P16='Designer Shutter Data'!$GC$7,'Designer Shutter Data'!$GI$47,IF(P16='Designer Shutter Data'!$GC$8,'Designer Shutter Data'!$GJ$47,IF(P16='Designer Shutter Data'!$GC$9,'Designer Shutter Data'!$GK$47,IF(P16='Designer Shutter Data'!$GC$10,'Designer Shutter Data'!$GL$47,IF(P16='Designer Shutter Data'!$GC$11,'Designer Shutter Data'!$GM$47,IF(P16='Designer Shutter Data'!$GC$12,'Designer Shutter Data'!$GN$47,IF(P16='Designer Shutter Data'!$GC$13,'Designer Shutter Data'!$GO$47,IF(P16='Designer Shutter Data'!$GC$14,'Designer Shutter Data'!$GP$47, IF(P16='Designer Shutter Data'!$GC$19,'Designer Shutter Data'!$GD$73, IF(P16='Designer Shutter Data'!$GC$20,'Designer Shutter Data'!$GF$88, IF(M16='Designer Shutter Data'!$F$5,'Designer Shutter Data'!$GE$59, IF(M16='Designer Shutter Data'!$F$6,'Designer Shutter Data'!$GD$59, IF(P16='Designer Shutter Data'!$GC$21,'Designer Shutter Data'!$GF$59,IF(P16='Designer Shutter Data'!$GC$22,'Designer Shutter Data'!$GJ$47,IF(P16='Designer Shutter Data'!$GC$23,'Designer Shutter Data'!$GL$47))))))))))))))))))))</f>
        <v>0</v>
      </c>
      <c r="DN16" s="107" t="str">
        <f t="shared" si="45"/>
        <v/>
      </c>
      <c r="DO16" s="107" t="e">
        <f t="shared" si="46"/>
        <v>#N/A</v>
      </c>
      <c r="DP16" s="107" t="str">
        <f t="shared" si="30"/>
        <v>OK</v>
      </c>
      <c r="DQ16" s="107" t="str">
        <f t="shared" si="31"/>
        <v>OK</v>
      </c>
      <c r="DR16" s="107" t="str">
        <f t="shared" si="32"/>
        <v>OK</v>
      </c>
      <c r="DS16" s="107" t="str">
        <f t="shared" si="33"/>
        <v>OK</v>
      </c>
      <c r="DT16" s="7" t="b">
        <f>IF(E16='Designer Shutter Data'!$GV$2,'Designer Shutter Data'!$GW$2,IF(E16='Designer Shutter Data'!$GV$3,'Designer Shutter Data'!$GX$2,IF(E16='Designer Shutter Data'!$GV$4,'Designer Shutter Data'!$GY$2)))</f>
        <v>0</v>
      </c>
      <c r="DU16" s="40" t="e">
        <f>MATCH(E16,'Designer Shutter Data'!$HB$1:$HD$1,0)</f>
        <v>#N/A</v>
      </c>
      <c r="DV16" s="40" t="e">
        <f>MATCH(M16,'Designer Shutter Data'!$HA$2:$HA$8,0)</f>
        <v>#N/A</v>
      </c>
      <c r="DW16" s="11" t="e">
        <f>INDEX('Designer Shutter Data'!$HB$2:$HD$8,DV16,DU16)</f>
        <v>#N/A</v>
      </c>
      <c r="DX16" s="11" t="b">
        <f>IF(E16='Designer Shutter Data'!$IG$1,'Designer Shutter Data'!$IG$2,IF(E16='Designer Shutter Data'!$IH$1,'Designer Shutter Data'!$IH$2, IF(E16='Designer Shutter Data'!$II$1,'Designer Shutter Data'!$II$2)))</f>
        <v>0</v>
      </c>
      <c r="DY16" s="11" t="str">
        <f>IF(E16="MS",'Designer Shutter Data'!$BI$2,IF(G16='Designer Shutter Data'!$BJ$34,'Designer Shutter Data'!$BJ$35,'Designer Shutter Data'!$BJ$2))</f>
        <v>FauxwoodDesignerWindowType</v>
      </c>
      <c r="DZ16" s="118" t="b">
        <f>IF(M16='Designer Shutter Data'!$F$3,'Designer Shutter Data'!$GF$88, IF(M16='Designer Shutter Data'!$F$4,'Designer Shutter Data'!$GE$59, IF(M16='Designer Shutter Data'!$F$5,'Designer Shutter Data'!$GD$59, IF(M16='Designer Shutter Data'!$F$6,'Designer Shutter Data'!$GD$59, IF(M16='Designer Shutter Data'!$F$7,'Designer Shutter Data'!$GD$73)))))</f>
        <v>0</v>
      </c>
      <c r="EB16" s="6" t="b">
        <f>IF(M16='Designer Shutter Data'!$IT$2,'Designer Shutter Data'!$JA$2, IF(M16='Designer Shutter Data'!$IT$3,'Designer Shutter Data'!$JC$2, IF(M16='Designer Shutter Data'!$IT$4,'Designer Shutter Data'!$JE$2, IF(M16='Designer Shutter Data'!$IT$5,'Designer Shutter Data'!$JG$2, IF(M16='Designer Shutter Data'!$IT$6,'Designer Shutter Data'!$JI$2, IF(M16='Designer Shutter Data'!$IT$7,'Designer Shutter Data'!$JZ$2, IF(M16='Designer Shutter Data'!$IT$8,'Designer Shutter Data'!$JI$16)))))))</f>
        <v>0</v>
      </c>
      <c r="EC16" s="6" t="str">
        <f t="shared" si="34"/>
        <v>NoHighlight</v>
      </c>
      <c r="ED16" s="7" t="e">
        <f>VLOOKUP(M16,'Designer Shutter Data'!$JW$5:$JX$10,2,FALSE)</f>
        <v>#N/A</v>
      </c>
      <c r="EE16" s="7" t="e">
        <f t="shared" si="35"/>
        <v>#N/A</v>
      </c>
      <c r="EF16" s="118" t="e">
        <f>VLOOKUP(O16,'Designer Shutter Data'!$AO$3:$AQ$171,1,FALSE)</f>
        <v>#N/A</v>
      </c>
      <c r="EG16" s="7" t="e">
        <f t="shared" si="36"/>
        <v>#N/A</v>
      </c>
      <c r="EH16" s="6" t="str">
        <f t="shared" si="37"/>
        <v/>
      </c>
      <c r="EJ16" s="40" t="e">
        <f>MATCH(M16,'Designer Shutter Data'!$KD$1:$KI$1,0)</f>
        <v>#N/A</v>
      </c>
      <c r="EK16" s="40" t="e">
        <f>MATCH(P16,'Designer Shutter Data'!$KC$2:$KC$21,0)</f>
        <v>#N/A</v>
      </c>
      <c r="EL16" s="136" t="e">
        <f>INDEX('Designer Shutter Data'!$KD$2:$KI$21,EK16,EJ16)</f>
        <v>#N/A</v>
      </c>
      <c r="EP16" s="6" t="str">
        <f>IF(AC16&lt;&gt;$EO$4,'Designer Shutter Data'!$BR$2,'Designer Shutter Data'!$BR$9)</f>
        <v>Fluffy_Strip_Fauxwood</v>
      </c>
      <c r="ER16" s="6" t="str">
        <f>IF(G16='Designer Shutter Data'!$E$26,'Designer Shutter Data'!$E$27,IF(G16='Designer Shutter Data'!$E$37,'Designer Shutter Data'!$E$38,'Designer Shutter Data'!$E$2))</f>
        <v>FauxwoodDesignerBladeSize</v>
      </c>
      <c r="ET16" s="6" t="str">
        <f t="shared" si="47"/>
        <v>Stile T Post</v>
      </c>
      <c r="EW16" s="40" t="e">
        <f>MATCH(G16,'Designer Shutter Data'!$AV$27:$AV$30,0)</f>
        <v>#N/A</v>
      </c>
      <c r="EX16" s="40" t="e">
        <f>MATCH(AC16,'Designer Shutter Data'!$AW$26:$AX$26,0)</f>
        <v>#N/A</v>
      </c>
      <c r="EY16" s="136" t="e">
        <f>INDEX('Designer Shutter Data'!$AW$27:$AX$30,EW16,EX16)</f>
        <v>#N/A</v>
      </c>
      <c r="EZ16" s="6" t="str">
        <f>IF(G16='Designer Shutter Data'!$S$15,'Designer Shutter Data'!$S$16, IF(G16=$FB$7,'Designer Shutter Data'!$T$15,'Designer Shutter Data'!$S$2))</f>
        <v>FauxwoodDesignerTiltrod</v>
      </c>
      <c r="FA16" s="6" t="e">
        <f>IF(G16=$FB$7,"No",VLOOKUP(L16,'Designer Shutter Data'!$BJ$62:$BK$75,2,FALSE))</f>
        <v>#N/A</v>
      </c>
      <c r="FB16" s="6" t="e">
        <f>IF(FA16="Yes", 'Designer Shutter Data'!$T$2,IF(G16=$FB$7,'Designer Shutter Data'!$T$15,'Designer Shutters Page 1'!EZ16))</f>
        <v>#N/A</v>
      </c>
      <c r="FC16" s="6" t="e">
        <f>MATCH(G16,'Designer Shutter Data'!$IG$15:$IJ$15,0)</f>
        <v>#N/A</v>
      </c>
      <c r="FD16" s="6" t="e">
        <f>MATCH(E16,'Designer Shutter Data'!$IF$16:$IF$18,0)</f>
        <v>#N/A</v>
      </c>
      <c r="FE16" s="6" t="e">
        <f>INDEX('Designer Shutter Data'!$IG$16:$IJ$18, 'Designer Shutters Page 1'!FD16, 'Designer Shutters Page 1'!FC16)</f>
        <v>#N/A</v>
      </c>
      <c r="FH16" s="6" t="str">
        <f t="shared" si="48"/>
        <v>SlidingSystemNA</v>
      </c>
      <c r="FJ16" s="6" t="e">
        <f>VLOOKUP(O16,'Designer Shutter Data'!$KP$2:$KR$44,3,FALSE)</f>
        <v>#N/A</v>
      </c>
      <c r="FL16" s="11" t="b">
        <f>IF(N16=$FL$7,'Designer Shutter Data'!$GH$98,DM16)</f>
        <v>0</v>
      </c>
    </row>
    <row r="17" spans="1:168" ht="36.75" customHeight="1" x14ac:dyDescent="0.2">
      <c r="A17" s="50">
        <v>9</v>
      </c>
      <c r="B17" s="51"/>
      <c r="C17" s="44"/>
      <c r="D17" s="31"/>
      <c r="E17" s="44"/>
      <c r="F17" s="31"/>
      <c r="G17" s="43"/>
      <c r="H17" s="234"/>
      <c r="I17" s="235"/>
      <c r="J17" s="44"/>
      <c r="K17" s="45"/>
      <c r="L17" s="45"/>
      <c r="M17" s="45"/>
      <c r="N17" s="45"/>
      <c r="O17" s="45"/>
      <c r="P17" s="236"/>
      <c r="Q17" s="236"/>
      <c r="R17" s="43"/>
      <c r="S17" s="43"/>
      <c r="T17" s="43"/>
      <c r="U17" s="43"/>
      <c r="V17" s="45"/>
      <c r="W17" s="45"/>
      <c r="X17" s="43"/>
      <c r="Y17" s="46"/>
      <c r="Z17" s="47"/>
      <c r="AA17" s="47"/>
      <c r="AB17" s="47"/>
      <c r="AC17" s="44"/>
      <c r="AD17" s="44"/>
      <c r="AE17" s="48" t="str">
        <f t="shared" si="0"/>
        <v/>
      </c>
      <c r="AI17" s="6">
        <f t="shared" si="38"/>
        <v>0</v>
      </c>
      <c r="AJ17" s="6">
        <f t="shared" si="39"/>
        <v>0</v>
      </c>
      <c r="AK17" s="6">
        <f>IF(O17&lt;&gt;"",VLOOKUP(O17,'Designer Shutter Data'!$KP$2:$KQ$44,2,FALSE),0)</f>
        <v>0</v>
      </c>
      <c r="AT17" s="49" t="str">
        <f t="shared" si="1"/>
        <v/>
      </c>
      <c r="AV17" s="6" t="str">
        <f>IF(G17=$AV$7,'Designer Shutter Data'!$D$38,'Designer Shutter Data'!$D$2)</f>
        <v>FauxwoodDesignerColour</v>
      </c>
      <c r="AW17" s="130" t="e">
        <f t="shared" si="40"/>
        <v>#N/A</v>
      </c>
      <c r="AX17" s="130" t="e">
        <f>VLOOKUP(M17,'Designer Shutter Data'!$JK$2:$JL$7,2,FALSE)</f>
        <v>#N/A</v>
      </c>
      <c r="AY17" s="38" t="b">
        <v>0</v>
      </c>
      <c r="AZ17" s="38" t="str">
        <f t="shared" si="2"/>
        <v>No</v>
      </c>
      <c r="BA17" s="38" t="e">
        <f t="shared" si="3"/>
        <v>#DIV/0!</v>
      </c>
      <c r="BB17" s="38" t="e">
        <f t="shared" si="4"/>
        <v>#DIV/0!</v>
      </c>
      <c r="BC17" s="38" t="e">
        <f t="shared" si="5"/>
        <v>#DIV/0!</v>
      </c>
      <c r="BD17" s="38" t="str">
        <f t="shared" si="6"/>
        <v>No</v>
      </c>
      <c r="BE17" s="38" t="e">
        <f>IF(OR(AND(C17&gt;0,#REF!="")), "Required","NotRequired")</f>
        <v>#REF!</v>
      </c>
      <c r="BF17" s="38" t="b">
        <v>0</v>
      </c>
      <c r="BG17" s="38" t="e">
        <f t="shared" si="41"/>
        <v>#DIV/0!</v>
      </c>
      <c r="BH17" s="39" t="str">
        <f t="shared" si="7"/>
        <v>NoHighlight</v>
      </c>
      <c r="BI17" s="38" t="str">
        <f t="shared" si="8"/>
        <v>FauxwoodRPNo</v>
      </c>
      <c r="BJ17" s="110" t="str">
        <f>IF(SUM(--ISNUMBER(SEARCH({"t","T"}, O17))),"Yes","No")</f>
        <v>No</v>
      </c>
      <c r="BK17" s="127" t="str">
        <f t="shared" si="9"/>
        <v>OK</v>
      </c>
      <c r="BL17" s="127" t="str">
        <f t="shared" si="10"/>
        <v>OK</v>
      </c>
      <c r="BM17" s="127" t="str">
        <f t="shared" si="11"/>
        <v>OK</v>
      </c>
      <c r="BN17" s="39" t="str">
        <f t="shared" si="12"/>
        <v>OK</v>
      </c>
      <c r="BO17" s="39" t="str">
        <f t="shared" si="13"/>
        <v>FauxwoodAINo</v>
      </c>
      <c r="BP17" s="39" t="str">
        <f>IF(SUM(--ISNUMBER(SEARCH({"combo","Combo","COMBO"}, B34))),"Yes","No")</f>
        <v>No</v>
      </c>
      <c r="BQ17" s="39" t="str">
        <f t="shared" si="42"/>
        <v>No</v>
      </c>
      <c r="BR17" s="39" t="str">
        <f>IF(SUM(--ISNUMBER(SEARCH({"c","C","b","B"}, L17))),"Yes","No")</f>
        <v>No</v>
      </c>
      <c r="BS17" s="11">
        <f t="shared" si="14"/>
        <v>0</v>
      </c>
      <c r="BT17" s="11" t="s">
        <v>820</v>
      </c>
      <c r="BU17" s="11" t="s">
        <v>820</v>
      </c>
      <c r="BV17" s="40">
        <f t="shared" si="15"/>
        <v>0</v>
      </c>
      <c r="BW17" s="40">
        <f t="shared" si="16"/>
        <v>0</v>
      </c>
      <c r="BX17" s="11" t="e">
        <f t="shared" si="17"/>
        <v>#DIV/0!</v>
      </c>
      <c r="BY17" s="11" t="b">
        <v>0</v>
      </c>
      <c r="BZ17" s="11" t="b">
        <v>0</v>
      </c>
      <c r="CA17" s="11" t="e">
        <v>#REF!</v>
      </c>
      <c r="CB17" s="11" t="s">
        <v>82</v>
      </c>
      <c r="CC17" s="11" t="e">
        <f t="shared" si="18"/>
        <v>#DIV/0!</v>
      </c>
      <c r="CD17" s="11" t="e">
        <f>VLOOKUP(P17,'Designer Shutter Data'!$H$3:$I$19,2,FALSE)</f>
        <v>#N/A</v>
      </c>
      <c r="CE17" s="11" t="s">
        <v>820</v>
      </c>
      <c r="CF17" s="11" t="str">
        <f>IF(SUM(--ISNUMBER(SEARCH({"z","Z"}, P17))),"Yes","No")</f>
        <v>No</v>
      </c>
      <c r="CG17" s="11" t="str">
        <f t="shared" si="19"/>
        <v>OK</v>
      </c>
      <c r="CH17" s="11">
        <f t="shared" si="20"/>
        <v>0</v>
      </c>
      <c r="CI17" s="120" t="e">
        <f>IF(O17="N/A","N/A",VLOOKUP(O17,'Designer Shutter Data'!$AO$3:$AP$171,2,FALSE))</f>
        <v>#N/A</v>
      </c>
      <c r="CJ17" s="120" t="e">
        <f t="shared" si="21"/>
        <v>#N/A</v>
      </c>
      <c r="CK17" s="40"/>
      <c r="CL17" s="40"/>
      <c r="CM17" s="40"/>
      <c r="CN17" s="41" t="str">
        <f t="shared" si="22"/>
        <v>OK</v>
      </c>
      <c r="CO17" s="129" t="b">
        <f t="shared" si="23"/>
        <v>0</v>
      </c>
      <c r="CP17" s="129" t="b">
        <f t="shared" si="24"/>
        <v>0</v>
      </c>
      <c r="CQ17" s="40">
        <f t="shared" si="25"/>
        <v>0</v>
      </c>
      <c r="CR17" s="133">
        <f t="shared" si="26"/>
        <v>0</v>
      </c>
      <c r="CS17" s="40">
        <f t="shared" si="43"/>
        <v>0</v>
      </c>
      <c r="CT17" s="133" t="e">
        <f t="shared" si="27"/>
        <v>#N/A</v>
      </c>
      <c r="CU17" s="11" t="b">
        <v>0</v>
      </c>
      <c r="CV17" s="11" t="b">
        <v>0</v>
      </c>
      <c r="CW17" s="11" t="b">
        <v>0</v>
      </c>
      <c r="CX17" s="11" t="b">
        <v>0</v>
      </c>
      <c r="CY17" s="40" t="e">
        <f>IF(OR(AND(#REF!&gt;0,#REF!="")), "Error","OK")</f>
        <v>#REF!</v>
      </c>
      <c r="CZ17" s="11" t="e">
        <v>#REF!</v>
      </c>
      <c r="DA17" s="6" t="str">
        <f t="shared" si="28"/>
        <v/>
      </c>
      <c r="DD17" s="6" t="s">
        <v>84</v>
      </c>
      <c r="DE17" s="6" t="b">
        <f>IF(M17='Designer Shutter Data'!$F$3,'Designer Shutter Data'!$FY$7,IF(M17='Designer Shutter Data'!$F$4,'Designer Shutter Data'!$FZ$2,IF(M17='Designer Shutter Data'!$F$5,FJ17, IF(M17='Designer Shutter Data'!$F$6,'Designer Shutter Data'!$GA$2,IF(M17='Designer Shutter Data'!$F$7,'Designer Shutter Data'!$FY$2, IF(M17='Designer Shutter Data'!$F$8,'Designer Shutter Data'!$FZ$7, IF(M17='Designer Shutter Data'!$F$14,'Designer Shutter Data'!$FZ$14)))))))</f>
        <v>0</v>
      </c>
      <c r="DF17" s="6" t="e">
        <f>VLOOKUP(M17,'Designer Shutter Data'!$M$2:$N$8,2,FALSE)</f>
        <v>#N/A</v>
      </c>
      <c r="DH17" s="123" t="e">
        <f>VLOOKUP(O17,'Designer Shutter Data'!$IN$2:$IO$169,2,FALSE)</f>
        <v>#N/A</v>
      </c>
      <c r="DI17" s="103" t="e">
        <f t="shared" si="29"/>
        <v>#N/A</v>
      </c>
      <c r="DJ17" s="103" t="e">
        <f t="shared" si="44"/>
        <v>#N/A</v>
      </c>
      <c r="DK17" s="7" t="b">
        <f>IF(P17='Designer Shutter Data'!$GC$2,'Designer Shutter Data'!$GD$2,IF(P17='Designer Shutter Data'!$GC$3,'Designer Shutter Data'!$GE$2,IF(P17='Designer Shutter Data'!$GC$4,'Designer Shutter Data'!$GF$2,IF(P17='Designer Shutter Data'!$GC$5,'Designer Shutter Data'!$GG$2,IF(P17='Designer Shutter Data'!$GC$6,'Designer Shutter Data'!$GH$2,IF(P17='Designer Shutter Data'!$GC$7,'Designer Shutter Data'!$GI$2,IF(P17='Designer Shutter Data'!$GC$8,'Designer Shutter Data'!$GJ$2,IF(P17='Designer Shutter Data'!$GC$9,'Designer Shutter Data'!$GK$2,IF(P17='Designer Shutter Data'!$GC$10,'Designer Shutter Data'!$GL$2,IF(P17='Designer Shutter Data'!$GC$11,'Designer Shutter Data'!$GM$2,IF(P17='Designer Shutter Data'!$GC$12,'Designer Shutter Data'!$GN$2,IF(P17='Designer Shutter Data'!$GC$13,'Designer Shutter Data'!$GO$2,IF(P17='Designer Shutter Data'!$GC$14,'Designer Shutter Data'!$GP$2,IF(P17='Designer Shutter Data'!$GC$15,'Designer Shutter Data'!$GD$15,IF(P17='Designer Shutter Data'!$GC$16,'Designer Shutter Data'!$GE$15,IF(P17='Designer Shutter Data'!$GC$17,'Designer Shutter Data'!$GF$15,IF(P17='Designer Shutter Data'!$GC$18,'Designer Shutter Data'!$GG$15,IF(P17='Designer Shutter Data'!$GC$19,'Designer Shutter Data'!$GD$73,IF(P17='Designer Shutter Data'!$GC$20,'Designer Shutter Data'!$GD$88, IF(P17='Designer Shutter Data'!$GC$21,'Designer Shutter Data'!$GH$15, IF(P17='Designer Shutter Data'!$GC$22,'Designer Shutter Data'!$GJ$2, IF(P17='Designer Shutter Data'!$GC$23,'Designer Shutter Data'!$GL$2))))))))))))))))))))))</f>
        <v>0</v>
      </c>
      <c r="DL17" s="7" t="b">
        <f>IF(P17='Designer Shutter Data'!$GC$2,'Designer Shutter Data'!$GD$25,IF(P17='Designer Shutter Data'!$GC$3,'Designer Shutter Data'!$GE$25,IF(P17='Designer Shutter Data'!$GC$4,'Designer Shutter Data'!$GF$25,IF(P17='Designer Shutter Data'!$GC$5,'Designer Shutter Data'!$GG$25,IF(P17='Designer Shutter Data'!$GC$6,'Designer Shutter Data'!$GH$25,IF(P17='Designer Shutter Data'!$GC$7,'Designer Shutter Data'!$GI$25,IF(P17='Designer Shutter Data'!$GC$8,'Designer Shutter Data'!$GJ$25,IF(P17='Designer Shutter Data'!$GC$9,'Designer Shutter Data'!$GK$25,IF(P17='Designer Shutter Data'!$GC$10,'Designer Shutter Data'!$GL$25,IF(P17='Designer Shutter Data'!$GC$11,'Designer Shutter Data'!$GM$25,IF(P17='Designer Shutter Data'!$GC$12,'Designer Shutter Data'!$GN$25,IF(P17='Designer Shutter Data'!$GC$13,'Designer Shutter Data'!$GO$25,IF(P17='Designer Shutter Data'!$GC$14,'Designer Shutter Data'!$GP$25,IF(P17='Designer Shutter Data'!$GC$15,'Designer Shutter Data'!$GD$37,IF(P17='Designer Shutter Data'!$GC$15,'Designer Shutter Data'!$GD$37,IF(P17='Designer Shutter Data'!$GC$16,'Designer Shutter Data'!$GE$37,IF(P17='Designer Shutter Data'!$GC$17,'Designer Shutter Data'!$GF$37,IF(P17='Designer Shutter Data'!$GC$18,'Designer Shutter Data'!$GG$37, IF(P17='Designer Shutter Data'!$GC$19,'Designer Shutter Data'!$GD$73, IF(P17='Designer Shutter Data'!$GC$20,'Designer Shutter Data'!$GE$88, IF(P17='Designer Shutter Data'!$GC$21,'Designer Shutter Data'!$GH$37,IF(P17='Designer Shutter Data'!$GC$22,'Designer Shutter Data'!$GJ$25,IF(P17='Designer Shutter Data'!$GC$23,'Designer Shutter Data'!$GL$25)))))))))))))))))))))))</f>
        <v>0</v>
      </c>
      <c r="DM17" s="118" t="b">
        <f>IF(P17='Designer Shutter Data'!$GC$2,'Designer Shutter Data'!$GD$47,IF(P17='Designer Shutter Data'!$GC$3,'Designer Shutter Data'!$GE$47,IF(P17='Designer Shutter Data'!$GC$4,'Designer Shutter Data'!$GF$47,IF(P17='Designer Shutter Data'!$GC$5,'Designer Shutter Data'!$GG$47,IF(P17='Designer Shutter Data'!$GC$6,'Designer Shutter Data'!$GH$47,IF(P17='Designer Shutter Data'!$GC$7,'Designer Shutter Data'!$GI$47,IF(P17='Designer Shutter Data'!$GC$8,'Designer Shutter Data'!$GJ$47,IF(P17='Designer Shutter Data'!$GC$9,'Designer Shutter Data'!$GK$47,IF(P17='Designer Shutter Data'!$GC$10,'Designer Shutter Data'!$GL$47,IF(P17='Designer Shutter Data'!$GC$11,'Designer Shutter Data'!$GM$47,IF(P17='Designer Shutter Data'!$GC$12,'Designer Shutter Data'!$GN$47,IF(P17='Designer Shutter Data'!$GC$13,'Designer Shutter Data'!$GO$47,IF(P17='Designer Shutter Data'!$GC$14,'Designer Shutter Data'!$GP$47, IF(P17='Designer Shutter Data'!$GC$19,'Designer Shutter Data'!$GD$73, IF(P17='Designer Shutter Data'!$GC$20,'Designer Shutter Data'!$GF$88, IF(M17='Designer Shutter Data'!$F$5,'Designer Shutter Data'!$GE$59, IF(M17='Designer Shutter Data'!$F$6,'Designer Shutter Data'!$GD$59, IF(P17='Designer Shutter Data'!$GC$21,'Designer Shutter Data'!$GF$59,IF(P17='Designer Shutter Data'!$GC$22,'Designer Shutter Data'!$GJ$47,IF(P17='Designer Shutter Data'!$GC$23,'Designer Shutter Data'!$GL$47))))))))))))))))))))</f>
        <v>0</v>
      </c>
      <c r="DN17" s="107" t="str">
        <f t="shared" si="45"/>
        <v/>
      </c>
      <c r="DO17" s="107" t="e">
        <f t="shared" si="46"/>
        <v>#N/A</v>
      </c>
      <c r="DP17" s="107" t="str">
        <f t="shared" si="30"/>
        <v>OK</v>
      </c>
      <c r="DQ17" s="107" t="str">
        <f t="shared" si="31"/>
        <v>OK</v>
      </c>
      <c r="DR17" s="107" t="str">
        <f t="shared" si="32"/>
        <v>OK</v>
      </c>
      <c r="DS17" s="107" t="str">
        <f t="shared" si="33"/>
        <v>OK</v>
      </c>
      <c r="DT17" s="7" t="b">
        <f>IF(E17='Designer Shutter Data'!$GV$2,'Designer Shutter Data'!$GW$2,IF(E17='Designer Shutter Data'!$GV$3,'Designer Shutter Data'!$GX$2,IF(E17='Designer Shutter Data'!$GV$4,'Designer Shutter Data'!$GY$2)))</f>
        <v>0</v>
      </c>
      <c r="DU17" s="40" t="e">
        <f>MATCH(E17,'Designer Shutter Data'!$HB$1:$HD$1,0)</f>
        <v>#N/A</v>
      </c>
      <c r="DV17" s="40" t="e">
        <f>MATCH(M17,'Designer Shutter Data'!$HA$2:$HA$8,0)</f>
        <v>#N/A</v>
      </c>
      <c r="DW17" s="11" t="e">
        <f>INDEX('Designer Shutter Data'!$HB$2:$HD$8,DV17,DU17)</f>
        <v>#N/A</v>
      </c>
      <c r="DX17" s="11" t="b">
        <f>IF(E17='Designer Shutter Data'!$IG$1,'Designer Shutter Data'!$IG$2,IF(E17='Designer Shutter Data'!$IH$1,'Designer Shutter Data'!$IH$2, IF(E17='Designer Shutter Data'!$II$1,'Designer Shutter Data'!$II$2)))</f>
        <v>0</v>
      </c>
      <c r="DY17" s="11" t="str">
        <f>IF(E17="MS",'Designer Shutter Data'!$BI$2,IF(G17='Designer Shutter Data'!$BJ$34,'Designer Shutter Data'!$BJ$35,'Designer Shutter Data'!$BJ$2))</f>
        <v>FauxwoodDesignerWindowType</v>
      </c>
      <c r="DZ17" s="118" t="b">
        <f>IF(M17='Designer Shutter Data'!$F$3,'Designer Shutter Data'!$GF$88, IF(M17='Designer Shutter Data'!$F$4,'Designer Shutter Data'!$GE$59, IF(M17='Designer Shutter Data'!$F$5,'Designer Shutter Data'!$GD$59, IF(M17='Designer Shutter Data'!$F$6,'Designer Shutter Data'!$GD$59, IF(M17='Designer Shutter Data'!$F$7,'Designer Shutter Data'!$GD$73)))))</f>
        <v>0</v>
      </c>
      <c r="EB17" s="6" t="b">
        <f>IF(M17='Designer Shutter Data'!$IT$2,'Designer Shutter Data'!$JA$2, IF(M17='Designer Shutter Data'!$IT$3,'Designer Shutter Data'!$JC$2, IF(M17='Designer Shutter Data'!$IT$4,'Designer Shutter Data'!$JE$2, IF(M17='Designer Shutter Data'!$IT$5,'Designer Shutter Data'!$JG$2, IF(M17='Designer Shutter Data'!$IT$6,'Designer Shutter Data'!$JI$2, IF(M17='Designer Shutter Data'!$IT$7,'Designer Shutter Data'!$JZ$2, IF(M17='Designer Shutter Data'!$IT$8,'Designer Shutter Data'!$JI$16)))))))</f>
        <v>0</v>
      </c>
      <c r="EC17" s="6" t="str">
        <f t="shared" si="34"/>
        <v>NoHighlight</v>
      </c>
      <c r="ED17" s="7" t="e">
        <f>VLOOKUP(M17,'Designer Shutter Data'!$JW$5:$JX$10,2,FALSE)</f>
        <v>#N/A</v>
      </c>
      <c r="EE17" s="7" t="e">
        <f t="shared" si="35"/>
        <v>#N/A</v>
      </c>
      <c r="EF17" s="118" t="e">
        <f>VLOOKUP(O17,'Designer Shutter Data'!$AO$3:$AQ$171,1,FALSE)</f>
        <v>#N/A</v>
      </c>
      <c r="EG17" s="7" t="e">
        <f t="shared" si="36"/>
        <v>#N/A</v>
      </c>
      <c r="EH17" s="6" t="str">
        <f t="shared" si="37"/>
        <v/>
      </c>
      <c r="EJ17" s="40" t="e">
        <f>MATCH(M17,'Designer Shutter Data'!$KD$1:$KI$1,0)</f>
        <v>#N/A</v>
      </c>
      <c r="EK17" s="40" t="e">
        <f>MATCH(P17,'Designer Shutter Data'!$KC$2:$KC$21,0)</f>
        <v>#N/A</v>
      </c>
      <c r="EL17" s="136" t="e">
        <f>INDEX('Designer Shutter Data'!$KD$2:$KI$21,EK17,EJ17)</f>
        <v>#N/A</v>
      </c>
      <c r="EP17" s="6" t="str">
        <f>IF(AC17&lt;&gt;$EO$4,'Designer Shutter Data'!$BR$2,'Designer Shutter Data'!$BR$9)</f>
        <v>Fluffy_Strip_Fauxwood</v>
      </c>
      <c r="ER17" s="6" t="str">
        <f>IF(G17='Designer Shutter Data'!$E$26,'Designer Shutter Data'!$E$27,IF(G17='Designer Shutter Data'!$E$37,'Designer Shutter Data'!$E$38,'Designer Shutter Data'!$E$2))</f>
        <v>FauxwoodDesignerBladeSize</v>
      </c>
      <c r="ET17" s="6" t="str">
        <f t="shared" si="47"/>
        <v>Stile T Post</v>
      </c>
      <c r="EW17" s="40" t="e">
        <f>MATCH(G17,'Designer Shutter Data'!$AV$27:$AV$30,0)</f>
        <v>#N/A</v>
      </c>
      <c r="EX17" s="40" t="e">
        <f>MATCH(AC17,'Designer Shutter Data'!$AW$26:$AX$26,0)</f>
        <v>#N/A</v>
      </c>
      <c r="EY17" s="136" t="e">
        <f>INDEX('Designer Shutter Data'!$AW$27:$AX$30,EW17,EX17)</f>
        <v>#N/A</v>
      </c>
      <c r="EZ17" s="6" t="str">
        <f>IF(G17='Designer Shutter Data'!$S$15,'Designer Shutter Data'!$S$16, IF(G17=$FB$7,'Designer Shutter Data'!$T$15,'Designer Shutter Data'!$S$2))</f>
        <v>FauxwoodDesignerTiltrod</v>
      </c>
      <c r="FA17" s="6" t="e">
        <f>IF(G17=$FB$7,"No",VLOOKUP(L17,'Designer Shutter Data'!$BJ$62:$BK$75,2,FALSE))</f>
        <v>#N/A</v>
      </c>
      <c r="FB17" s="6" t="e">
        <f>IF(FA17="Yes", 'Designer Shutter Data'!$T$2,IF(G17=$FB$7,'Designer Shutter Data'!$T$15,'Designer Shutters Page 1'!EZ17))</f>
        <v>#N/A</v>
      </c>
      <c r="FC17" s="6" t="e">
        <f>MATCH(G17,'Designer Shutter Data'!$IG$15:$IJ$15,0)</f>
        <v>#N/A</v>
      </c>
      <c r="FD17" s="6" t="e">
        <f>MATCH(E17,'Designer Shutter Data'!$IF$16:$IF$18,0)</f>
        <v>#N/A</v>
      </c>
      <c r="FE17" s="6" t="e">
        <f>INDEX('Designer Shutter Data'!$IG$16:$IJ$18, 'Designer Shutters Page 1'!FD17, 'Designer Shutters Page 1'!FC17)</f>
        <v>#N/A</v>
      </c>
      <c r="FH17" s="6" t="str">
        <f t="shared" si="48"/>
        <v>SlidingSystemNA</v>
      </c>
      <c r="FJ17" s="6" t="e">
        <f>VLOOKUP(O17,'Designer Shutter Data'!$KP$2:$KR$44,3,FALSE)</f>
        <v>#N/A</v>
      </c>
      <c r="FL17" s="11" t="b">
        <f>IF(N17=$FL$7,'Designer Shutter Data'!$GH$98,DM17)</f>
        <v>0</v>
      </c>
    </row>
    <row r="18" spans="1:168" ht="36.75" customHeight="1" x14ac:dyDescent="0.2">
      <c r="A18" s="50">
        <v>10</v>
      </c>
      <c r="B18" s="51"/>
      <c r="C18" s="44"/>
      <c r="D18" s="31"/>
      <c r="E18" s="44"/>
      <c r="F18" s="31"/>
      <c r="G18" s="43"/>
      <c r="H18" s="234"/>
      <c r="I18" s="235"/>
      <c r="J18" s="44"/>
      <c r="K18" s="45"/>
      <c r="L18" s="45"/>
      <c r="M18" s="45"/>
      <c r="N18" s="45"/>
      <c r="O18" s="45"/>
      <c r="P18" s="236"/>
      <c r="Q18" s="236"/>
      <c r="R18" s="43"/>
      <c r="S18" s="43"/>
      <c r="T18" s="43"/>
      <c r="U18" s="43"/>
      <c r="V18" s="45"/>
      <c r="W18" s="45"/>
      <c r="X18" s="43"/>
      <c r="Y18" s="46"/>
      <c r="Z18" s="47"/>
      <c r="AA18" s="47"/>
      <c r="AB18" s="47"/>
      <c r="AC18" s="44"/>
      <c r="AD18" s="44"/>
      <c r="AE18" s="48" t="str">
        <f t="shared" si="0"/>
        <v/>
      </c>
      <c r="AI18" s="6">
        <f t="shared" si="38"/>
        <v>0</v>
      </c>
      <c r="AJ18" s="6">
        <f t="shared" si="39"/>
        <v>0</v>
      </c>
      <c r="AK18" s="6">
        <f>IF(O18&lt;&gt;"",VLOOKUP(O18,'Designer Shutter Data'!$KP$2:$KQ$44,2,FALSE),0)</f>
        <v>0</v>
      </c>
      <c r="AT18" s="49" t="str">
        <f t="shared" si="1"/>
        <v/>
      </c>
      <c r="AV18" s="6" t="str">
        <f>IF(G18=$AV$7,'Designer Shutter Data'!$D$38,'Designer Shutter Data'!$D$2)</f>
        <v>FauxwoodDesignerColour</v>
      </c>
      <c r="AW18" s="130" t="e">
        <f t="shared" si="40"/>
        <v>#N/A</v>
      </c>
      <c r="AX18" s="130" t="e">
        <f>VLOOKUP(M18,'Designer Shutter Data'!$JK$2:$JL$7,2,FALSE)</f>
        <v>#N/A</v>
      </c>
      <c r="AY18" s="38" t="b">
        <v>0</v>
      </c>
      <c r="AZ18" s="38" t="str">
        <f t="shared" si="2"/>
        <v>No</v>
      </c>
      <c r="BA18" s="38" t="e">
        <f t="shared" si="3"/>
        <v>#DIV/0!</v>
      </c>
      <c r="BB18" s="38" t="e">
        <f t="shared" si="4"/>
        <v>#DIV/0!</v>
      </c>
      <c r="BC18" s="38" t="e">
        <f t="shared" si="5"/>
        <v>#DIV/0!</v>
      </c>
      <c r="BD18" s="38" t="str">
        <f t="shared" si="6"/>
        <v>No</v>
      </c>
      <c r="BE18" s="38" t="e">
        <f>IF(OR(AND(C18&gt;0,#REF!="")), "Required","NotRequired")</f>
        <v>#REF!</v>
      </c>
      <c r="BF18" s="38" t="b">
        <v>0</v>
      </c>
      <c r="BG18" s="38" t="e">
        <f t="shared" si="41"/>
        <v>#DIV/0!</v>
      </c>
      <c r="BH18" s="39" t="str">
        <f t="shared" si="7"/>
        <v>NoHighlight</v>
      </c>
      <c r="BI18" s="38" t="str">
        <f t="shared" si="8"/>
        <v>FauxwoodRPNo</v>
      </c>
      <c r="BJ18" s="110" t="str">
        <f>IF(SUM(--ISNUMBER(SEARCH({"t","T"}, O18))),"Yes","No")</f>
        <v>No</v>
      </c>
      <c r="BK18" s="127" t="str">
        <f t="shared" si="9"/>
        <v>OK</v>
      </c>
      <c r="BL18" s="127" t="str">
        <f t="shared" si="10"/>
        <v>OK</v>
      </c>
      <c r="BM18" s="127" t="str">
        <f t="shared" si="11"/>
        <v>OK</v>
      </c>
      <c r="BN18" s="39" t="str">
        <f t="shared" si="12"/>
        <v>OK</v>
      </c>
      <c r="BO18" s="39" t="str">
        <f t="shared" si="13"/>
        <v>FauxwoodAINo</v>
      </c>
      <c r="BP18" s="39" t="str">
        <f>IF(SUM(--ISNUMBER(SEARCH({"combo","Combo","COMBO"}, B35))),"Yes","No")</f>
        <v>No</v>
      </c>
      <c r="BQ18" s="39" t="str">
        <f t="shared" si="42"/>
        <v>No</v>
      </c>
      <c r="BR18" s="39" t="str">
        <f>IF(SUM(--ISNUMBER(SEARCH({"c","C","b","B"}, L18))),"Yes","No")</f>
        <v>No</v>
      </c>
      <c r="BS18" s="11">
        <f t="shared" si="14"/>
        <v>0</v>
      </c>
      <c r="BT18" s="11" t="s">
        <v>820</v>
      </c>
      <c r="BU18" s="11" t="s">
        <v>820</v>
      </c>
      <c r="BV18" s="40">
        <f t="shared" si="15"/>
        <v>0</v>
      </c>
      <c r="BW18" s="40">
        <f t="shared" si="16"/>
        <v>0</v>
      </c>
      <c r="BX18" s="11" t="e">
        <f t="shared" si="17"/>
        <v>#DIV/0!</v>
      </c>
      <c r="BY18" s="11" t="b">
        <v>0</v>
      </c>
      <c r="BZ18" s="11" t="b">
        <v>0</v>
      </c>
      <c r="CA18" s="11" t="e">
        <v>#REF!</v>
      </c>
      <c r="CB18" s="11" t="s">
        <v>82</v>
      </c>
      <c r="CC18" s="11" t="e">
        <f t="shared" si="18"/>
        <v>#DIV/0!</v>
      </c>
      <c r="CD18" s="11" t="e">
        <f>VLOOKUP(P18,'Designer Shutter Data'!$H$3:$I$19,2,FALSE)</f>
        <v>#N/A</v>
      </c>
      <c r="CE18" s="11" t="s">
        <v>820</v>
      </c>
      <c r="CF18" s="11" t="str">
        <f>IF(SUM(--ISNUMBER(SEARCH({"z","Z"}, P18))),"Yes","No")</f>
        <v>No</v>
      </c>
      <c r="CG18" s="11" t="str">
        <f t="shared" si="19"/>
        <v>OK</v>
      </c>
      <c r="CH18" s="11">
        <f t="shared" si="20"/>
        <v>0</v>
      </c>
      <c r="CI18" s="120" t="e">
        <f>IF(O18="N/A","N/A",VLOOKUP(O18,'Designer Shutter Data'!$AO$3:$AP$171,2,FALSE))</f>
        <v>#N/A</v>
      </c>
      <c r="CJ18" s="120" t="e">
        <f t="shared" si="21"/>
        <v>#N/A</v>
      </c>
      <c r="CK18" s="40"/>
      <c r="CL18" s="40"/>
      <c r="CM18" s="40"/>
      <c r="CN18" s="41" t="str">
        <f t="shared" si="22"/>
        <v>OK</v>
      </c>
      <c r="CO18" s="129" t="b">
        <f t="shared" si="23"/>
        <v>0</v>
      </c>
      <c r="CP18" s="129" t="b">
        <f t="shared" si="24"/>
        <v>0</v>
      </c>
      <c r="CQ18" s="40">
        <f t="shared" si="25"/>
        <v>0</v>
      </c>
      <c r="CR18" s="133">
        <f t="shared" si="26"/>
        <v>0</v>
      </c>
      <c r="CS18" s="40">
        <f t="shared" si="43"/>
        <v>0</v>
      </c>
      <c r="CT18" s="133" t="e">
        <f t="shared" si="27"/>
        <v>#N/A</v>
      </c>
      <c r="CU18" s="11" t="b">
        <v>0</v>
      </c>
      <c r="CV18" s="11" t="b">
        <v>0</v>
      </c>
      <c r="CW18" s="11" t="b">
        <v>0</v>
      </c>
      <c r="CX18" s="11" t="b">
        <v>0</v>
      </c>
      <c r="CY18" s="40" t="e">
        <f>IF(OR(AND(#REF!&gt;0,#REF!="")), "Error","OK")</f>
        <v>#REF!</v>
      </c>
      <c r="CZ18" s="11" t="e">
        <v>#REF!</v>
      </c>
      <c r="DA18" s="6" t="str">
        <f t="shared" si="28"/>
        <v/>
      </c>
      <c r="DD18" s="6" t="s">
        <v>84</v>
      </c>
      <c r="DE18" s="6" t="b">
        <f>IF(M18='Designer Shutter Data'!$F$3,'Designer Shutter Data'!$FY$7,IF(M18='Designer Shutter Data'!$F$4,'Designer Shutter Data'!$FZ$2,IF(M18='Designer Shutter Data'!$F$5,FJ18, IF(M18='Designer Shutter Data'!$F$6,'Designer Shutter Data'!$GA$2,IF(M18='Designer Shutter Data'!$F$7,'Designer Shutter Data'!$FY$2, IF(M18='Designer Shutter Data'!$F$8,'Designer Shutter Data'!$FZ$7, IF(M18='Designer Shutter Data'!$F$14,'Designer Shutter Data'!$FZ$14)))))))</f>
        <v>0</v>
      </c>
      <c r="DF18" s="6" t="e">
        <f>VLOOKUP(M18,'Designer Shutter Data'!$M$2:$N$8,2,FALSE)</f>
        <v>#N/A</v>
      </c>
      <c r="DH18" s="123" t="e">
        <f>VLOOKUP(O18,'Designer Shutter Data'!$IN$2:$IO$169,2,FALSE)</f>
        <v>#N/A</v>
      </c>
      <c r="DI18" s="103" t="e">
        <f t="shared" si="29"/>
        <v>#N/A</v>
      </c>
      <c r="DJ18" s="103" t="e">
        <f t="shared" si="44"/>
        <v>#N/A</v>
      </c>
      <c r="DK18" s="7" t="b">
        <f>IF(P18='Designer Shutter Data'!$GC$2,'Designer Shutter Data'!$GD$2,IF(P18='Designer Shutter Data'!$GC$3,'Designer Shutter Data'!$GE$2,IF(P18='Designer Shutter Data'!$GC$4,'Designer Shutter Data'!$GF$2,IF(P18='Designer Shutter Data'!$GC$5,'Designer Shutter Data'!$GG$2,IF(P18='Designer Shutter Data'!$GC$6,'Designer Shutter Data'!$GH$2,IF(P18='Designer Shutter Data'!$GC$7,'Designer Shutter Data'!$GI$2,IF(P18='Designer Shutter Data'!$GC$8,'Designer Shutter Data'!$GJ$2,IF(P18='Designer Shutter Data'!$GC$9,'Designer Shutter Data'!$GK$2,IF(P18='Designer Shutter Data'!$GC$10,'Designer Shutter Data'!$GL$2,IF(P18='Designer Shutter Data'!$GC$11,'Designer Shutter Data'!$GM$2,IF(P18='Designer Shutter Data'!$GC$12,'Designer Shutter Data'!$GN$2,IF(P18='Designer Shutter Data'!$GC$13,'Designer Shutter Data'!$GO$2,IF(P18='Designer Shutter Data'!$GC$14,'Designer Shutter Data'!$GP$2,IF(P18='Designer Shutter Data'!$GC$15,'Designer Shutter Data'!$GD$15,IF(P18='Designer Shutter Data'!$GC$16,'Designer Shutter Data'!$GE$15,IF(P18='Designer Shutter Data'!$GC$17,'Designer Shutter Data'!$GF$15,IF(P18='Designer Shutter Data'!$GC$18,'Designer Shutter Data'!$GG$15,IF(P18='Designer Shutter Data'!$GC$19,'Designer Shutter Data'!$GD$73,IF(P18='Designer Shutter Data'!$GC$20,'Designer Shutter Data'!$GD$88, IF(P18='Designer Shutter Data'!$GC$21,'Designer Shutter Data'!$GH$15, IF(P18='Designer Shutter Data'!$GC$22,'Designer Shutter Data'!$GJ$2, IF(P18='Designer Shutter Data'!$GC$23,'Designer Shutter Data'!$GL$2))))))))))))))))))))))</f>
        <v>0</v>
      </c>
      <c r="DL18" s="7" t="b">
        <f>IF(P18='Designer Shutter Data'!$GC$2,'Designer Shutter Data'!$GD$25,IF(P18='Designer Shutter Data'!$GC$3,'Designer Shutter Data'!$GE$25,IF(P18='Designer Shutter Data'!$GC$4,'Designer Shutter Data'!$GF$25,IF(P18='Designer Shutter Data'!$GC$5,'Designer Shutter Data'!$GG$25,IF(P18='Designer Shutter Data'!$GC$6,'Designer Shutter Data'!$GH$25,IF(P18='Designer Shutter Data'!$GC$7,'Designer Shutter Data'!$GI$25,IF(P18='Designer Shutter Data'!$GC$8,'Designer Shutter Data'!$GJ$25,IF(P18='Designer Shutter Data'!$GC$9,'Designer Shutter Data'!$GK$25,IF(P18='Designer Shutter Data'!$GC$10,'Designer Shutter Data'!$GL$25,IF(P18='Designer Shutter Data'!$GC$11,'Designer Shutter Data'!$GM$25,IF(P18='Designer Shutter Data'!$GC$12,'Designer Shutter Data'!$GN$25,IF(P18='Designer Shutter Data'!$GC$13,'Designer Shutter Data'!$GO$25,IF(P18='Designer Shutter Data'!$GC$14,'Designer Shutter Data'!$GP$25,IF(P18='Designer Shutter Data'!$GC$15,'Designer Shutter Data'!$GD$37,IF(P18='Designer Shutter Data'!$GC$15,'Designer Shutter Data'!$GD$37,IF(P18='Designer Shutter Data'!$GC$16,'Designer Shutter Data'!$GE$37,IF(P18='Designer Shutter Data'!$GC$17,'Designer Shutter Data'!$GF$37,IF(P18='Designer Shutter Data'!$GC$18,'Designer Shutter Data'!$GG$37, IF(P18='Designer Shutter Data'!$GC$19,'Designer Shutter Data'!$GD$73, IF(P18='Designer Shutter Data'!$GC$20,'Designer Shutter Data'!$GE$88, IF(P18='Designer Shutter Data'!$GC$21,'Designer Shutter Data'!$GH$37,IF(P18='Designer Shutter Data'!$GC$22,'Designer Shutter Data'!$GJ$25,IF(P18='Designer Shutter Data'!$GC$23,'Designer Shutter Data'!$GL$25)))))))))))))))))))))))</f>
        <v>0</v>
      </c>
      <c r="DM18" s="118" t="b">
        <f>IF(P18='Designer Shutter Data'!$GC$2,'Designer Shutter Data'!$GD$47,IF(P18='Designer Shutter Data'!$GC$3,'Designer Shutter Data'!$GE$47,IF(P18='Designer Shutter Data'!$GC$4,'Designer Shutter Data'!$GF$47,IF(P18='Designer Shutter Data'!$GC$5,'Designer Shutter Data'!$GG$47,IF(P18='Designer Shutter Data'!$GC$6,'Designer Shutter Data'!$GH$47,IF(P18='Designer Shutter Data'!$GC$7,'Designer Shutter Data'!$GI$47,IF(P18='Designer Shutter Data'!$GC$8,'Designer Shutter Data'!$GJ$47,IF(P18='Designer Shutter Data'!$GC$9,'Designer Shutter Data'!$GK$47,IF(P18='Designer Shutter Data'!$GC$10,'Designer Shutter Data'!$GL$47,IF(P18='Designer Shutter Data'!$GC$11,'Designer Shutter Data'!$GM$47,IF(P18='Designer Shutter Data'!$GC$12,'Designer Shutter Data'!$GN$47,IF(P18='Designer Shutter Data'!$GC$13,'Designer Shutter Data'!$GO$47,IF(P18='Designer Shutter Data'!$GC$14,'Designer Shutter Data'!$GP$47, IF(P18='Designer Shutter Data'!$GC$19,'Designer Shutter Data'!$GD$73, IF(P18='Designer Shutter Data'!$GC$20,'Designer Shutter Data'!$GF$88, IF(M18='Designer Shutter Data'!$F$5,'Designer Shutter Data'!$GE$59, IF(M18='Designer Shutter Data'!$F$6,'Designer Shutter Data'!$GD$59, IF(P18='Designer Shutter Data'!$GC$21,'Designer Shutter Data'!$GF$59,IF(P18='Designer Shutter Data'!$GC$22,'Designer Shutter Data'!$GJ$47,IF(P18='Designer Shutter Data'!$GC$23,'Designer Shutter Data'!$GL$47))))))))))))))))))))</f>
        <v>0</v>
      </c>
      <c r="DN18" s="107" t="str">
        <f t="shared" si="45"/>
        <v/>
      </c>
      <c r="DO18" s="107" t="e">
        <f t="shared" si="46"/>
        <v>#N/A</v>
      </c>
      <c r="DP18" s="107" t="str">
        <f t="shared" si="30"/>
        <v>OK</v>
      </c>
      <c r="DQ18" s="107" t="str">
        <f t="shared" si="31"/>
        <v>OK</v>
      </c>
      <c r="DR18" s="107" t="str">
        <f t="shared" si="32"/>
        <v>OK</v>
      </c>
      <c r="DS18" s="107" t="str">
        <f t="shared" si="33"/>
        <v>OK</v>
      </c>
      <c r="DT18" s="7" t="b">
        <f>IF(E18='Designer Shutter Data'!$GV$2,'Designer Shutter Data'!$GW$2,IF(E18='Designer Shutter Data'!$GV$3,'Designer Shutter Data'!$GX$2,IF(E18='Designer Shutter Data'!$GV$4,'Designer Shutter Data'!$GY$2)))</f>
        <v>0</v>
      </c>
      <c r="DU18" s="40" t="e">
        <f>MATCH(E18,'Designer Shutter Data'!$HB$1:$HD$1,0)</f>
        <v>#N/A</v>
      </c>
      <c r="DV18" s="40" t="e">
        <f>MATCH(M18,'Designer Shutter Data'!$HA$2:$HA$8,0)</f>
        <v>#N/A</v>
      </c>
      <c r="DW18" s="11" t="e">
        <f>INDEX('Designer Shutter Data'!$HB$2:$HD$8,DV18,DU18)</f>
        <v>#N/A</v>
      </c>
      <c r="DX18" s="11" t="b">
        <f>IF(E18='Designer Shutter Data'!$IG$1,'Designer Shutter Data'!$IG$2,IF(E18='Designer Shutter Data'!$IH$1,'Designer Shutter Data'!$IH$2, IF(E18='Designer Shutter Data'!$II$1,'Designer Shutter Data'!$II$2)))</f>
        <v>0</v>
      </c>
      <c r="DY18" s="11" t="str">
        <f>IF(E18="MS",'Designer Shutter Data'!$BI$2,IF(G18='Designer Shutter Data'!$BJ$34,'Designer Shutter Data'!$BJ$35,'Designer Shutter Data'!$BJ$2))</f>
        <v>FauxwoodDesignerWindowType</v>
      </c>
      <c r="DZ18" s="118" t="b">
        <f>IF(M18='Designer Shutter Data'!$F$3,'Designer Shutter Data'!$GF$88, IF(M18='Designer Shutter Data'!$F$4,'Designer Shutter Data'!$GE$59, IF(M18='Designer Shutter Data'!$F$5,'Designer Shutter Data'!$GD$59, IF(M18='Designer Shutter Data'!$F$6,'Designer Shutter Data'!$GD$59, IF(M18='Designer Shutter Data'!$F$7,'Designer Shutter Data'!$GD$73)))))</f>
        <v>0</v>
      </c>
      <c r="EB18" s="6" t="b">
        <f>IF(M18='Designer Shutter Data'!$IT$2,'Designer Shutter Data'!$JA$2, IF(M18='Designer Shutter Data'!$IT$3,'Designer Shutter Data'!$JC$2, IF(M18='Designer Shutter Data'!$IT$4,'Designer Shutter Data'!$JE$2, IF(M18='Designer Shutter Data'!$IT$5,'Designer Shutter Data'!$JG$2, IF(M18='Designer Shutter Data'!$IT$6,'Designer Shutter Data'!$JI$2, IF(M18='Designer Shutter Data'!$IT$7,'Designer Shutter Data'!$JZ$2, IF(M18='Designer Shutter Data'!$IT$8,'Designer Shutter Data'!$JI$16)))))))</f>
        <v>0</v>
      </c>
      <c r="EC18" s="6" t="str">
        <f t="shared" si="34"/>
        <v>NoHighlight</v>
      </c>
      <c r="ED18" s="7" t="e">
        <f>VLOOKUP(M18,'Designer Shutter Data'!$JW$5:$JX$10,2,FALSE)</f>
        <v>#N/A</v>
      </c>
      <c r="EE18" s="7" t="e">
        <f t="shared" si="35"/>
        <v>#N/A</v>
      </c>
      <c r="EF18" s="118" t="e">
        <f>VLOOKUP(O18,'Designer Shutter Data'!$AO$3:$AQ$171,1,FALSE)</f>
        <v>#N/A</v>
      </c>
      <c r="EG18" s="7" t="e">
        <f t="shared" si="36"/>
        <v>#N/A</v>
      </c>
      <c r="EH18" s="6" t="str">
        <f t="shared" si="37"/>
        <v/>
      </c>
      <c r="EJ18" s="40" t="e">
        <f>MATCH(M18,'Designer Shutter Data'!$KD$1:$KI$1,0)</f>
        <v>#N/A</v>
      </c>
      <c r="EK18" s="40" t="e">
        <f>MATCH(P18,'Designer Shutter Data'!$KC$2:$KC$21,0)</f>
        <v>#N/A</v>
      </c>
      <c r="EL18" s="136" t="e">
        <f>INDEX('Designer Shutter Data'!$KD$2:$KI$21,EK18,EJ18)</f>
        <v>#N/A</v>
      </c>
      <c r="EP18" s="6" t="str">
        <f>IF(AC18&lt;&gt;$EO$4,'Designer Shutter Data'!$BR$2,'Designer Shutter Data'!$BR$9)</f>
        <v>Fluffy_Strip_Fauxwood</v>
      </c>
      <c r="ER18" s="6" t="str">
        <f>IF(G18='Designer Shutter Data'!$E$26,'Designer Shutter Data'!$E$27,IF(G18='Designer Shutter Data'!$E$37,'Designer Shutter Data'!$E$38,'Designer Shutter Data'!$E$2))</f>
        <v>FauxwoodDesignerBladeSize</v>
      </c>
      <c r="ET18" s="6" t="str">
        <f t="shared" si="47"/>
        <v>Stile T Post</v>
      </c>
      <c r="EW18" s="40" t="e">
        <f>MATCH(G18,'Designer Shutter Data'!$AV$27:$AV$30,0)</f>
        <v>#N/A</v>
      </c>
      <c r="EX18" s="40" t="e">
        <f>MATCH(AC18,'Designer Shutter Data'!$AW$26:$AX$26,0)</f>
        <v>#N/A</v>
      </c>
      <c r="EY18" s="136" t="e">
        <f>INDEX('Designer Shutter Data'!$AW$27:$AX$30,EW18,EX18)</f>
        <v>#N/A</v>
      </c>
      <c r="EZ18" s="6" t="str">
        <f>IF(G18='Designer Shutter Data'!$S$15,'Designer Shutter Data'!$S$16, IF(G18=$FB$7,'Designer Shutter Data'!$T$15,'Designer Shutter Data'!$S$2))</f>
        <v>FauxwoodDesignerTiltrod</v>
      </c>
      <c r="FA18" s="6" t="e">
        <f>IF(G18=$FB$7,"No",VLOOKUP(L18,'Designer Shutter Data'!$BJ$62:$BK$75,2,FALSE))</f>
        <v>#N/A</v>
      </c>
      <c r="FB18" s="6" t="e">
        <f>IF(FA18="Yes", 'Designer Shutter Data'!$T$2,IF(G18=$FB$7,'Designer Shutter Data'!$T$15,'Designer Shutters Page 1'!EZ18))</f>
        <v>#N/A</v>
      </c>
      <c r="FC18" s="6" t="e">
        <f>MATCH(G18,'Designer Shutter Data'!$IG$15:$IJ$15,0)</f>
        <v>#N/A</v>
      </c>
      <c r="FD18" s="6" t="e">
        <f>MATCH(E18,'Designer Shutter Data'!$IF$16:$IF$18,0)</f>
        <v>#N/A</v>
      </c>
      <c r="FE18" s="6" t="e">
        <f>INDEX('Designer Shutter Data'!$IG$16:$IJ$18, 'Designer Shutters Page 1'!FD18, 'Designer Shutters Page 1'!FC18)</f>
        <v>#N/A</v>
      </c>
      <c r="FH18" s="6" t="str">
        <f t="shared" si="48"/>
        <v>SlidingSystemNA</v>
      </c>
      <c r="FJ18" s="6" t="e">
        <f>VLOOKUP(O18,'Designer Shutter Data'!$KP$2:$KR$44,3,FALSE)</f>
        <v>#N/A</v>
      </c>
      <c r="FL18" s="11" t="b">
        <f>IF(N18=$FL$7,'Designer Shutter Data'!$GH$98,DM18)</f>
        <v>0</v>
      </c>
    </row>
    <row r="19" spans="1:168" ht="36.75" customHeight="1" x14ac:dyDescent="0.2">
      <c r="A19" s="50">
        <v>11</v>
      </c>
      <c r="B19" s="51"/>
      <c r="C19" s="44"/>
      <c r="D19" s="31"/>
      <c r="E19" s="44"/>
      <c r="F19" s="31"/>
      <c r="G19" s="43"/>
      <c r="H19" s="234"/>
      <c r="I19" s="235"/>
      <c r="J19" s="44"/>
      <c r="K19" s="45"/>
      <c r="L19" s="45"/>
      <c r="M19" s="45"/>
      <c r="N19" s="45"/>
      <c r="O19" s="45"/>
      <c r="P19" s="236"/>
      <c r="Q19" s="236"/>
      <c r="R19" s="43"/>
      <c r="S19" s="43"/>
      <c r="T19" s="43"/>
      <c r="U19" s="43"/>
      <c r="V19" s="45"/>
      <c r="W19" s="45"/>
      <c r="X19" s="43"/>
      <c r="Y19" s="46"/>
      <c r="Z19" s="47"/>
      <c r="AA19" s="47"/>
      <c r="AB19" s="47"/>
      <c r="AC19" s="44"/>
      <c r="AD19" s="44"/>
      <c r="AE19" s="48" t="str">
        <f t="shared" si="0"/>
        <v/>
      </c>
      <c r="AI19" s="6">
        <f t="shared" si="38"/>
        <v>0</v>
      </c>
      <c r="AJ19" s="6">
        <f t="shared" si="39"/>
        <v>0</v>
      </c>
      <c r="AK19" s="6">
        <f>IF(O19&lt;&gt;"",VLOOKUP(O19,'Designer Shutter Data'!$KP$2:$KQ$44,2,FALSE),0)</f>
        <v>0</v>
      </c>
      <c r="AT19" s="49" t="str">
        <f t="shared" si="1"/>
        <v/>
      </c>
      <c r="AV19" s="6" t="str">
        <f>IF(G19=$AV$7,'Designer Shutter Data'!$D$38,'Designer Shutter Data'!$D$2)</f>
        <v>FauxwoodDesignerColour</v>
      </c>
      <c r="AW19" s="130" t="e">
        <f t="shared" si="40"/>
        <v>#N/A</v>
      </c>
      <c r="AX19" s="130" t="e">
        <f>VLOOKUP(M19,'Designer Shutter Data'!$JK$2:$JL$7,2,FALSE)</f>
        <v>#N/A</v>
      </c>
      <c r="AY19" s="38" t="b">
        <v>0</v>
      </c>
      <c r="AZ19" s="38" t="str">
        <f t="shared" si="2"/>
        <v>No</v>
      </c>
      <c r="BA19" s="38" t="e">
        <f t="shared" si="3"/>
        <v>#DIV/0!</v>
      </c>
      <c r="BB19" s="38" t="e">
        <f t="shared" si="4"/>
        <v>#DIV/0!</v>
      </c>
      <c r="BC19" s="38" t="e">
        <f t="shared" si="5"/>
        <v>#DIV/0!</v>
      </c>
      <c r="BD19" s="38" t="str">
        <f t="shared" si="6"/>
        <v>No</v>
      </c>
      <c r="BE19" s="38" t="e">
        <f>IF(OR(AND(C19&gt;0,#REF!="")), "Required","NotRequired")</f>
        <v>#REF!</v>
      </c>
      <c r="BF19" s="38" t="b">
        <v>0</v>
      </c>
      <c r="BG19" s="38" t="e">
        <f t="shared" si="41"/>
        <v>#DIV/0!</v>
      </c>
      <c r="BH19" s="39" t="str">
        <f t="shared" si="7"/>
        <v>NoHighlight</v>
      </c>
      <c r="BI19" s="38" t="str">
        <f t="shared" si="8"/>
        <v>FauxwoodRPNo</v>
      </c>
      <c r="BJ19" s="110" t="str">
        <f>IF(SUM(--ISNUMBER(SEARCH({"t","T"}, O19))),"Yes","No")</f>
        <v>No</v>
      </c>
      <c r="BK19" s="127" t="str">
        <f t="shared" si="9"/>
        <v>OK</v>
      </c>
      <c r="BL19" s="127" t="str">
        <f t="shared" si="10"/>
        <v>OK</v>
      </c>
      <c r="BM19" s="127" t="str">
        <f t="shared" si="11"/>
        <v>OK</v>
      </c>
      <c r="BN19" s="39" t="str">
        <f t="shared" si="12"/>
        <v>OK</v>
      </c>
      <c r="BO19" s="39" t="str">
        <f t="shared" si="13"/>
        <v>FauxwoodAINo</v>
      </c>
      <c r="BP19" s="39" t="str">
        <f>IF(SUM(--ISNUMBER(SEARCH({"combo","Combo","COMBO"}, B36))),"Yes","No")</f>
        <v>No</v>
      </c>
      <c r="BQ19" s="39" t="str">
        <f t="shared" si="42"/>
        <v>No</v>
      </c>
      <c r="BR19" s="39" t="str">
        <f>IF(SUM(--ISNUMBER(SEARCH({"c","C","b","B"}, L19))),"Yes","No")</f>
        <v>No</v>
      </c>
      <c r="BS19" s="11">
        <f t="shared" si="14"/>
        <v>0</v>
      </c>
      <c r="BT19" s="11" t="s">
        <v>820</v>
      </c>
      <c r="BU19" s="11" t="s">
        <v>820</v>
      </c>
      <c r="BV19" s="40">
        <f t="shared" si="15"/>
        <v>0</v>
      </c>
      <c r="BW19" s="40">
        <f t="shared" si="16"/>
        <v>0</v>
      </c>
      <c r="BX19" s="11" t="e">
        <f t="shared" si="17"/>
        <v>#DIV/0!</v>
      </c>
      <c r="BY19" s="11" t="b">
        <v>0</v>
      </c>
      <c r="BZ19" s="11" t="b">
        <v>0</v>
      </c>
      <c r="CA19" s="11" t="e">
        <v>#REF!</v>
      </c>
      <c r="CB19" s="11" t="s">
        <v>82</v>
      </c>
      <c r="CC19" s="11" t="e">
        <f t="shared" si="18"/>
        <v>#DIV/0!</v>
      </c>
      <c r="CD19" s="11" t="e">
        <f>VLOOKUP(P19,'Designer Shutter Data'!$H$3:$I$19,2,FALSE)</f>
        <v>#N/A</v>
      </c>
      <c r="CE19" s="11" t="s">
        <v>820</v>
      </c>
      <c r="CF19" s="11" t="str">
        <f>IF(SUM(--ISNUMBER(SEARCH({"z","Z"}, P19))),"Yes","No")</f>
        <v>No</v>
      </c>
      <c r="CG19" s="11" t="str">
        <f t="shared" si="19"/>
        <v>OK</v>
      </c>
      <c r="CH19" s="11">
        <f t="shared" si="20"/>
        <v>0</v>
      </c>
      <c r="CI19" s="120" t="e">
        <f>IF(O19="N/A","N/A",VLOOKUP(O19,'Designer Shutter Data'!$AO$3:$AP$171,2,FALSE))</f>
        <v>#N/A</v>
      </c>
      <c r="CJ19" s="120" t="e">
        <f t="shared" si="21"/>
        <v>#N/A</v>
      </c>
      <c r="CK19" s="40"/>
      <c r="CL19" s="40"/>
      <c r="CM19" s="40"/>
      <c r="CN19" s="41" t="str">
        <f t="shared" si="22"/>
        <v>OK</v>
      </c>
      <c r="CO19" s="129" t="b">
        <f t="shared" si="23"/>
        <v>0</v>
      </c>
      <c r="CP19" s="129" t="b">
        <f t="shared" si="24"/>
        <v>0</v>
      </c>
      <c r="CQ19" s="40">
        <f t="shared" si="25"/>
        <v>0</v>
      </c>
      <c r="CR19" s="133">
        <f t="shared" si="26"/>
        <v>0</v>
      </c>
      <c r="CS19" s="40">
        <f t="shared" si="43"/>
        <v>0</v>
      </c>
      <c r="CT19" s="133" t="e">
        <f t="shared" si="27"/>
        <v>#N/A</v>
      </c>
      <c r="CU19" s="11" t="b">
        <v>0</v>
      </c>
      <c r="CV19" s="11" t="b">
        <v>0</v>
      </c>
      <c r="CW19" s="11" t="b">
        <v>0</v>
      </c>
      <c r="CX19" s="11" t="b">
        <v>0</v>
      </c>
      <c r="CY19" s="40" t="e">
        <f>IF(OR(AND(#REF!&gt;0,#REF!="")), "Error","OK")</f>
        <v>#REF!</v>
      </c>
      <c r="CZ19" s="11" t="e">
        <v>#REF!</v>
      </c>
      <c r="DA19" s="6" t="str">
        <f t="shared" si="28"/>
        <v/>
      </c>
      <c r="DD19" s="6" t="s">
        <v>84</v>
      </c>
      <c r="DE19" s="6" t="b">
        <f>IF(M19='Designer Shutter Data'!$F$3,'Designer Shutter Data'!$FY$7,IF(M19='Designer Shutter Data'!$F$4,'Designer Shutter Data'!$FZ$2,IF(M19='Designer Shutter Data'!$F$5,FJ19, IF(M19='Designer Shutter Data'!$F$6,'Designer Shutter Data'!$GA$2,IF(M19='Designer Shutter Data'!$F$7,'Designer Shutter Data'!$FY$2, IF(M19='Designer Shutter Data'!$F$8,'Designer Shutter Data'!$FZ$7, IF(M19='Designer Shutter Data'!$F$14,'Designer Shutter Data'!$FZ$14)))))))</f>
        <v>0</v>
      </c>
      <c r="DF19" s="6" t="e">
        <f>VLOOKUP(M19,'Designer Shutter Data'!$M$2:$N$8,2,FALSE)</f>
        <v>#N/A</v>
      </c>
      <c r="DH19" s="123" t="e">
        <f>VLOOKUP(O19,'Designer Shutter Data'!$IN$2:$IO$169,2,FALSE)</f>
        <v>#N/A</v>
      </c>
      <c r="DI19" s="103" t="e">
        <f t="shared" si="29"/>
        <v>#N/A</v>
      </c>
      <c r="DJ19" s="103" t="e">
        <f t="shared" si="44"/>
        <v>#N/A</v>
      </c>
      <c r="DK19" s="7" t="b">
        <f>IF(P19='Designer Shutter Data'!$GC$2,'Designer Shutter Data'!$GD$2,IF(P19='Designer Shutter Data'!$GC$3,'Designer Shutter Data'!$GE$2,IF(P19='Designer Shutter Data'!$GC$4,'Designer Shutter Data'!$GF$2,IF(P19='Designer Shutter Data'!$GC$5,'Designer Shutter Data'!$GG$2,IF(P19='Designer Shutter Data'!$GC$6,'Designer Shutter Data'!$GH$2,IF(P19='Designer Shutter Data'!$GC$7,'Designer Shutter Data'!$GI$2,IF(P19='Designer Shutter Data'!$GC$8,'Designer Shutter Data'!$GJ$2,IF(P19='Designer Shutter Data'!$GC$9,'Designer Shutter Data'!$GK$2,IF(P19='Designer Shutter Data'!$GC$10,'Designer Shutter Data'!$GL$2,IF(P19='Designer Shutter Data'!$GC$11,'Designer Shutter Data'!$GM$2,IF(P19='Designer Shutter Data'!$GC$12,'Designer Shutter Data'!$GN$2,IF(P19='Designer Shutter Data'!$GC$13,'Designer Shutter Data'!$GO$2,IF(P19='Designer Shutter Data'!$GC$14,'Designer Shutter Data'!$GP$2,IF(P19='Designer Shutter Data'!$GC$15,'Designer Shutter Data'!$GD$15,IF(P19='Designer Shutter Data'!$GC$16,'Designer Shutter Data'!$GE$15,IF(P19='Designer Shutter Data'!$GC$17,'Designer Shutter Data'!$GF$15,IF(P19='Designer Shutter Data'!$GC$18,'Designer Shutter Data'!$GG$15,IF(P19='Designer Shutter Data'!$GC$19,'Designer Shutter Data'!$GD$73,IF(P19='Designer Shutter Data'!$GC$20,'Designer Shutter Data'!$GD$88, IF(P19='Designer Shutter Data'!$GC$21,'Designer Shutter Data'!$GH$15, IF(P19='Designer Shutter Data'!$GC$22,'Designer Shutter Data'!$GJ$2, IF(P19='Designer Shutter Data'!$GC$23,'Designer Shutter Data'!$GL$2))))))))))))))))))))))</f>
        <v>0</v>
      </c>
      <c r="DL19" s="7" t="b">
        <f>IF(P19='Designer Shutter Data'!$GC$2,'Designer Shutter Data'!$GD$25,IF(P19='Designer Shutter Data'!$GC$3,'Designer Shutter Data'!$GE$25,IF(P19='Designer Shutter Data'!$GC$4,'Designer Shutter Data'!$GF$25,IF(P19='Designer Shutter Data'!$GC$5,'Designer Shutter Data'!$GG$25,IF(P19='Designer Shutter Data'!$GC$6,'Designer Shutter Data'!$GH$25,IF(P19='Designer Shutter Data'!$GC$7,'Designer Shutter Data'!$GI$25,IF(P19='Designer Shutter Data'!$GC$8,'Designer Shutter Data'!$GJ$25,IF(P19='Designer Shutter Data'!$GC$9,'Designer Shutter Data'!$GK$25,IF(P19='Designer Shutter Data'!$GC$10,'Designer Shutter Data'!$GL$25,IF(P19='Designer Shutter Data'!$GC$11,'Designer Shutter Data'!$GM$25,IF(P19='Designer Shutter Data'!$GC$12,'Designer Shutter Data'!$GN$25,IF(P19='Designer Shutter Data'!$GC$13,'Designer Shutter Data'!$GO$25,IF(P19='Designer Shutter Data'!$GC$14,'Designer Shutter Data'!$GP$25,IF(P19='Designer Shutter Data'!$GC$15,'Designer Shutter Data'!$GD$37,IF(P19='Designer Shutter Data'!$GC$15,'Designer Shutter Data'!$GD$37,IF(P19='Designer Shutter Data'!$GC$16,'Designer Shutter Data'!$GE$37,IF(P19='Designer Shutter Data'!$GC$17,'Designer Shutter Data'!$GF$37,IF(P19='Designer Shutter Data'!$GC$18,'Designer Shutter Data'!$GG$37, IF(P19='Designer Shutter Data'!$GC$19,'Designer Shutter Data'!$GD$73, IF(P19='Designer Shutter Data'!$GC$20,'Designer Shutter Data'!$GE$88, IF(P19='Designer Shutter Data'!$GC$21,'Designer Shutter Data'!$GH$37,IF(P19='Designer Shutter Data'!$GC$22,'Designer Shutter Data'!$GJ$25,IF(P19='Designer Shutter Data'!$GC$23,'Designer Shutter Data'!$GL$25)))))))))))))))))))))))</f>
        <v>0</v>
      </c>
      <c r="DM19" s="118" t="b">
        <f>IF(P19='Designer Shutter Data'!$GC$2,'Designer Shutter Data'!$GD$47,IF(P19='Designer Shutter Data'!$GC$3,'Designer Shutter Data'!$GE$47,IF(P19='Designer Shutter Data'!$GC$4,'Designer Shutter Data'!$GF$47,IF(P19='Designer Shutter Data'!$GC$5,'Designer Shutter Data'!$GG$47,IF(P19='Designer Shutter Data'!$GC$6,'Designer Shutter Data'!$GH$47,IF(P19='Designer Shutter Data'!$GC$7,'Designer Shutter Data'!$GI$47,IF(P19='Designer Shutter Data'!$GC$8,'Designer Shutter Data'!$GJ$47,IF(P19='Designer Shutter Data'!$GC$9,'Designer Shutter Data'!$GK$47,IF(P19='Designer Shutter Data'!$GC$10,'Designer Shutter Data'!$GL$47,IF(P19='Designer Shutter Data'!$GC$11,'Designer Shutter Data'!$GM$47,IF(P19='Designer Shutter Data'!$GC$12,'Designer Shutter Data'!$GN$47,IF(P19='Designer Shutter Data'!$GC$13,'Designer Shutter Data'!$GO$47,IF(P19='Designer Shutter Data'!$GC$14,'Designer Shutter Data'!$GP$47, IF(P19='Designer Shutter Data'!$GC$19,'Designer Shutter Data'!$GD$73, IF(P19='Designer Shutter Data'!$GC$20,'Designer Shutter Data'!$GF$88, IF(M19='Designer Shutter Data'!$F$5,'Designer Shutter Data'!$GE$59, IF(M19='Designer Shutter Data'!$F$6,'Designer Shutter Data'!$GD$59, IF(P19='Designer Shutter Data'!$GC$21,'Designer Shutter Data'!$GF$59,IF(P19='Designer Shutter Data'!$GC$22,'Designer Shutter Data'!$GJ$47,IF(P19='Designer Shutter Data'!$GC$23,'Designer Shutter Data'!$GL$47))))))))))))))))))))</f>
        <v>0</v>
      </c>
      <c r="DN19" s="107" t="str">
        <f t="shared" si="45"/>
        <v/>
      </c>
      <c r="DO19" s="107" t="e">
        <f t="shared" si="46"/>
        <v>#N/A</v>
      </c>
      <c r="DP19" s="107" t="str">
        <f t="shared" si="30"/>
        <v>OK</v>
      </c>
      <c r="DQ19" s="107" t="str">
        <f t="shared" si="31"/>
        <v>OK</v>
      </c>
      <c r="DR19" s="107" t="str">
        <f t="shared" si="32"/>
        <v>OK</v>
      </c>
      <c r="DS19" s="107" t="str">
        <f t="shared" si="33"/>
        <v>OK</v>
      </c>
      <c r="DT19" s="7" t="b">
        <f>IF(E19='Designer Shutter Data'!$GV$2,'Designer Shutter Data'!$GW$2,IF(E19='Designer Shutter Data'!$GV$3,'Designer Shutter Data'!$GX$2,IF(E19='Designer Shutter Data'!$GV$4,'Designer Shutter Data'!$GY$2)))</f>
        <v>0</v>
      </c>
      <c r="DU19" s="40" t="e">
        <f>MATCH(E19,'Designer Shutter Data'!$HB$1:$HD$1,0)</f>
        <v>#N/A</v>
      </c>
      <c r="DV19" s="40" t="e">
        <f>MATCH(M19,'Designer Shutter Data'!$HA$2:$HA$8,0)</f>
        <v>#N/A</v>
      </c>
      <c r="DW19" s="11" t="e">
        <f>INDEX('Designer Shutter Data'!$HB$2:$HD$8,DV19,DU19)</f>
        <v>#N/A</v>
      </c>
      <c r="DX19" s="11" t="b">
        <f>IF(E19='Designer Shutter Data'!$IG$1,'Designer Shutter Data'!$IG$2,IF(E19='Designer Shutter Data'!$IH$1,'Designer Shutter Data'!$IH$2, IF(E19='Designer Shutter Data'!$II$1,'Designer Shutter Data'!$II$2)))</f>
        <v>0</v>
      </c>
      <c r="DY19" s="11" t="str">
        <f>IF(E19="MS",'Designer Shutter Data'!$BI$2,IF(G19='Designer Shutter Data'!$BJ$34,'Designer Shutter Data'!$BJ$35,'Designer Shutter Data'!$BJ$2))</f>
        <v>FauxwoodDesignerWindowType</v>
      </c>
      <c r="DZ19" s="118" t="b">
        <f>IF(M19='Designer Shutter Data'!$F$3,'Designer Shutter Data'!$GF$88, IF(M19='Designer Shutter Data'!$F$4,'Designer Shutter Data'!$GE$59, IF(M19='Designer Shutter Data'!$F$5,'Designer Shutter Data'!$GD$59, IF(M19='Designer Shutter Data'!$F$6,'Designer Shutter Data'!$GD$59, IF(M19='Designer Shutter Data'!$F$7,'Designer Shutter Data'!$GD$73)))))</f>
        <v>0</v>
      </c>
      <c r="EB19" s="6" t="b">
        <f>IF(M19='Designer Shutter Data'!$IT$2,'Designer Shutter Data'!$JA$2, IF(M19='Designer Shutter Data'!$IT$3,'Designer Shutter Data'!$JC$2, IF(M19='Designer Shutter Data'!$IT$4,'Designer Shutter Data'!$JE$2, IF(M19='Designer Shutter Data'!$IT$5,'Designer Shutter Data'!$JG$2, IF(M19='Designer Shutter Data'!$IT$6,'Designer Shutter Data'!$JI$2, IF(M19='Designer Shutter Data'!$IT$7,'Designer Shutter Data'!$JZ$2, IF(M19='Designer Shutter Data'!$IT$8,'Designer Shutter Data'!$JI$16)))))))</f>
        <v>0</v>
      </c>
      <c r="EC19" s="6" t="str">
        <f t="shared" si="34"/>
        <v>NoHighlight</v>
      </c>
      <c r="ED19" s="7" t="e">
        <f>VLOOKUP(M19,'Designer Shutter Data'!$JW$5:$JX$10,2,FALSE)</f>
        <v>#N/A</v>
      </c>
      <c r="EE19" s="7" t="e">
        <f t="shared" si="35"/>
        <v>#N/A</v>
      </c>
      <c r="EF19" s="118" t="e">
        <f>VLOOKUP(O19,'Designer Shutter Data'!$AO$3:$AQ$171,1,FALSE)</f>
        <v>#N/A</v>
      </c>
      <c r="EG19" s="7" t="e">
        <f t="shared" si="36"/>
        <v>#N/A</v>
      </c>
      <c r="EH19" s="6" t="str">
        <f t="shared" si="37"/>
        <v/>
      </c>
      <c r="EJ19" s="40" t="e">
        <f>MATCH(M19,'Designer Shutter Data'!$KD$1:$KI$1,0)</f>
        <v>#N/A</v>
      </c>
      <c r="EK19" s="40" t="e">
        <f>MATCH(P19,'Designer Shutter Data'!$KC$2:$KC$21,0)</f>
        <v>#N/A</v>
      </c>
      <c r="EL19" s="136" t="e">
        <f>INDEX('Designer Shutter Data'!$KD$2:$KI$21,EK19,EJ19)</f>
        <v>#N/A</v>
      </c>
      <c r="EP19" s="6" t="str">
        <f>IF(AC19&lt;&gt;$EO$4,'Designer Shutter Data'!$BR$2,'Designer Shutter Data'!$BR$9)</f>
        <v>Fluffy_Strip_Fauxwood</v>
      </c>
      <c r="ER19" s="6" t="str">
        <f>IF(G19='Designer Shutter Data'!$E$26,'Designer Shutter Data'!$E$27,IF(G19='Designer Shutter Data'!$E$37,'Designer Shutter Data'!$E$38,'Designer Shutter Data'!$E$2))</f>
        <v>FauxwoodDesignerBladeSize</v>
      </c>
      <c r="ET19" s="6" t="str">
        <f t="shared" si="47"/>
        <v>Stile T Post</v>
      </c>
      <c r="EW19" s="40" t="e">
        <f>MATCH(G19,'Designer Shutter Data'!$AV$27:$AV$30,0)</f>
        <v>#N/A</v>
      </c>
      <c r="EX19" s="40" t="e">
        <f>MATCH(AC19,'Designer Shutter Data'!$AW$26:$AX$26,0)</f>
        <v>#N/A</v>
      </c>
      <c r="EY19" s="136" t="e">
        <f>INDEX('Designer Shutter Data'!$AW$27:$AX$30,EW19,EX19)</f>
        <v>#N/A</v>
      </c>
      <c r="EZ19" s="6" t="str">
        <f>IF(G19='Designer Shutter Data'!$S$15,'Designer Shutter Data'!$S$16, IF(G19=$FB$7,'Designer Shutter Data'!$T$15,'Designer Shutter Data'!$S$2))</f>
        <v>FauxwoodDesignerTiltrod</v>
      </c>
      <c r="FA19" s="6" t="e">
        <f>IF(G19=$FB$7,"No",VLOOKUP(L19,'Designer Shutter Data'!$BJ$62:$BK$75,2,FALSE))</f>
        <v>#N/A</v>
      </c>
      <c r="FB19" s="6" t="e">
        <f>IF(FA19="Yes", 'Designer Shutter Data'!$T$2,IF(G19=$FB$7,'Designer Shutter Data'!$T$15,'Designer Shutters Page 1'!EZ19))</f>
        <v>#N/A</v>
      </c>
      <c r="FC19" s="6" t="e">
        <f>MATCH(G19,'Designer Shutter Data'!$IG$15:$IJ$15,0)</f>
        <v>#N/A</v>
      </c>
      <c r="FD19" s="6" t="e">
        <f>MATCH(E19,'Designer Shutter Data'!$IF$16:$IF$18,0)</f>
        <v>#N/A</v>
      </c>
      <c r="FE19" s="6" t="e">
        <f>INDEX('Designer Shutter Data'!$IG$16:$IJ$18, 'Designer Shutters Page 1'!FD19, 'Designer Shutters Page 1'!FC19)</f>
        <v>#N/A</v>
      </c>
      <c r="FH19" s="6" t="str">
        <f t="shared" si="48"/>
        <v>SlidingSystemNA</v>
      </c>
      <c r="FJ19" s="6" t="e">
        <f>VLOOKUP(O19,'Designer Shutter Data'!$KP$2:$KR$44,3,FALSE)</f>
        <v>#N/A</v>
      </c>
      <c r="FL19" s="11" t="b">
        <f>IF(N19=$FL$7,'Designer Shutter Data'!$GH$98,DM19)</f>
        <v>0</v>
      </c>
    </row>
    <row r="20" spans="1:168" ht="36.75" customHeight="1" x14ac:dyDescent="0.2">
      <c r="A20" s="50">
        <v>12</v>
      </c>
      <c r="B20" s="51"/>
      <c r="C20" s="44"/>
      <c r="D20" s="31"/>
      <c r="E20" s="44"/>
      <c r="F20" s="31"/>
      <c r="G20" s="43"/>
      <c r="H20" s="234"/>
      <c r="I20" s="235"/>
      <c r="J20" s="44"/>
      <c r="K20" s="45"/>
      <c r="L20" s="45"/>
      <c r="M20" s="45"/>
      <c r="N20" s="45"/>
      <c r="O20" s="45"/>
      <c r="P20" s="236"/>
      <c r="Q20" s="236"/>
      <c r="R20" s="43"/>
      <c r="S20" s="43"/>
      <c r="T20" s="43"/>
      <c r="U20" s="43"/>
      <c r="V20" s="45"/>
      <c r="W20" s="45"/>
      <c r="X20" s="43"/>
      <c r="Y20" s="46"/>
      <c r="Z20" s="47"/>
      <c r="AA20" s="47"/>
      <c r="AB20" s="47"/>
      <c r="AC20" s="44"/>
      <c r="AD20" s="44"/>
      <c r="AE20" s="48" t="str">
        <f t="shared" si="0"/>
        <v/>
      </c>
      <c r="AI20" s="6">
        <f t="shared" si="38"/>
        <v>0</v>
      </c>
      <c r="AJ20" s="6">
        <f t="shared" si="39"/>
        <v>0</v>
      </c>
      <c r="AK20" s="6">
        <f>IF(O20&lt;&gt;"",VLOOKUP(O20,'Designer Shutter Data'!$KP$2:$KQ$44,2,FALSE),0)</f>
        <v>0</v>
      </c>
      <c r="AT20" s="49" t="str">
        <f t="shared" si="1"/>
        <v/>
      </c>
      <c r="AV20" s="6" t="str">
        <f>IF(G20=$AV$7,'Designer Shutter Data'!$D$38,'Designer Shutter Data'!$D$2)</f>
        <v>FauxwoodDesignerColour</v>
      </c>
      <c r="AW20" s="130" t="e">
        <f t="shared" si="40"/>
        <v>#N/A</v>
      </c>
      <c r="AX20" s="130" t="e">
        <f>VLOOKUP(M20,'Designer Shutter Data'!$JK$2:$JL$7,2,FALSE)</f>
        <v>#N/A</v>
      </c>
      <c r="AY20" s="38" t="b">
        <v>0</v>
      </c>
      <c r="AZ20" s="38" t="str">
        <f t="shared" si="2"/>
        <v>No</v>
      </c>
      <c r="BA20" s="38" t="e">
        <f t="shared" si="3"/>
        <v>#DIV/0!</v>
      </c>
      <c r="BB20" s="38" t="e">
        <f t="shared" si="4"/>
        <v>#DIV/0!</v>
      </c>
      <c r="BC20" s="38" t="e">
        <f t="shared" si="5"/>
        <v>#DIV/0!</v>
      </c>
      <c r="BD20" s="38" t="str">
        <f t="shared" si="6"/>
        <v>No</v>
      </c>
      <c r="BE20" s="38" t="e">
        <f>IF(OR(AND(C20&gt;0,#REF!="")), "Required","NotRequired")</f>
        <v>#REF!</v>
      </c>
      <c r="BF20" s="38" t="b">
        <v>0</v>
      </c>
      <c r="BG20" s="38" t="e">
        <f t="shared" si="41"/>
        <v>#DIV/0!</v>
      </c>
      <c r="BH20" s="39" t="str">
        <f t="shared" si="7"/>
        <v>NoHighlight</v>
      </c>
      <c r="BI20" s="38" t="str">
        <f t="shared" si="8"/>
        <v>FauxwoodRPNo</v>
      </c>
      <c r="BJ20" s="110" t="str">
        <f>IF(SUM(--ISNUMBER(SEARCH({"t","T"}, O20))),"Yes","No")</f>
        <v>No</v>
      </c>
      <c r="BK20" s="127" t="str">
        <f t="shared" si="9"/>
        <v>OK</v>
      </c>
      <c r="BL20" s="127" t="str">
        <f t="shared" si="10"/>
        <v>OK</v>
      </c>
      <c r="BM20" s="127" t="str">
        <f t="shared" si="11"/>
        <v>OK</v>
      </c>
      <c r="BN20" s="39" t="str">
        <f t="shared" si="12"/>
        <v>OK</v>
      </c>
      <c r="BO20" s="39" t="str">
        <f t="shared" si="13"/>
        <v>FauxwoodAINo</v>
      </c>
      <c r="BP20" s="39" t="str">
        <f>IF(SUM(--ISNUMBER(SEARCH({"combo","Combo","COMBO"}, B37))),"Yes","No")</f>
        <v>No</v>
      </c>
      <c r="BQ20" s="39" t="str">
        <f t="shared" si="42"/>
        <v>No</v>
      </c>
      <c r="BR20" s="39" t="str">
        <f>IF(SUM(--ISNUMBER(SEARCH({"c","C","b","B"}, L20))),"Yes","No")</f>
        <v>No</v>
      </c>
      <c r="BS20" s="11">
        <f t="shared" si="14"/>
        <v>0</v>
      </c>
      <c r="BT20" s="11" t="s">
        <v>820</v>
      </c>
      <c r="BU20" s="11" t="s">
        <v>820</v>
      </c>
      <c r="BV20" s="40">
        <f t="shared" si="15"/>
        <v>0</v>
      </c>
      <c r="BW20" s="40">
        <f t="shared" si="16"/>
        <v>0</v>
      </c>
      <c r="BX20" s="11" t="e">
        <f t="shared" si="17"/>
        <v>#DIV/0!</v>
      </c>
      <c r="BY20" s="11" t="b">
        <v>0</v>
      </c>
      <c r="BZ20" s="11" t="b">
        <v>0</v>
      </c>
      <c r="CA20" s="11" t="e">
        <v>#REF!</v>
      </c>
      <c r="CB20" s="11" t="s">
        <v>82</v>
      </c>
      <c r="CC20" s="11" t="e">
        <f t="shared" si="18"/>
        <v>#DIV/0!</v>
      </c>
      <c r="CD20" s="11" t="e">
        <f>VLOOKUP(P20,'Designer Shutter Data'!$H$3:$I$19,2,FALSE)</f>
        <v>#N/A</v>
      </c>
      <c r="CE20" s="11" t="s">
        <v>820</v>
      </c>
      <c r="CF20" s="11" t="str">
        <f>IF(SUM(--ISNUMBER(SEARCH({"z","Z"}, P20))),"Yes","No")</f>
        <v>No</v>
      </c>
      <c r="CG20" s="11" t="str">
        <f t="shared" si="19"/>
        <v>OK</v>
      </c>
      <c r="CH20" s="11">
        <f t="shared" si="20"/>
        <v>0</v>
      </c>
      <c r="CI20" s="120" t="e">
        <f>IF(O20="N/A","N/A",VLOOKUP(O20,'Designer Shutter Data'!$AO$3:$AP$171,2,FALSE))</f>
        <v>#N/A</v>
      </c>
      <c r="CJ20" s="120" t="e">
        <f t="shared" si="21"/>
        <v>#N/A</v>
      </c>
      <c r="CK20" s="40"/>
      <c r="CL20" s="40"/>
      <c r="CM20" s="40"/>
      <c r="CN20" s="41" t="str">
        <f t="shared" si="22"/>
        <v>OK</v>
      </c>
      <c r="CO20" s="129" t="b">
        <f t="shared" si="23"/>
        <v>0</v>
      </c>
      <c r="CP20" s="129" t="b">
        <f t="shared" si="24"/>
        <v>0</v>
      </c>
      <c r="CQ20" s="40">
        <f t="shared" si="25"/>
        <v>0</v>
      </c>
      <c r="CR20" s="133">
        <f t="shared" si="26"/>
        <v>0</v>
      </c>
      <c r="CS20" s="40">
        <f t="shared" si="43"/>
        <v>0</v>
      </c>
      <c r="CT20" s="133" t="e">
        <f t="shared" si="27"/>
        <v>#N/A</v>
      </c>
      <c r="CU20" s="11" t="b">
        <v>0</v>
      </c>
      <c r="CV20" s="11" t="b">
        <v>0</v>
      </c>
      <c r="CW20" s="11" t="b">
        <v>0</v>
      </c>
      <c r="CX20" s="11" t="b">
        <v>0</v>
      </c>
      <c r="CY20" s="40" t="e">
        <f>IF(OR(AND(#REF!&gt;0,#REF!="")), "Error","OK")</f>
        <v>#REF!</v>
      </c>
      <c r="CZ20" s="11" t="e">
        <v>#REF!</v>
      </c>
      <c r="DA20" s="6" t="str">
        <f t="shared" si="28"/>
        <v/>
      </c>
      <c r="DD20" s="6" t="s">
        <v>84</v>
      </c>
      <c r="DE20" s="6" t="b">
        <f>IF(M20='Designer Shutter Data'!$F$3,'Designer Shutter Data'!$FY$7,IF(M20='Designer Shutter Data'!$F$4,'Designer Shutter Data'!$FZ$2,IF(M20='Designer Shutter Data'!$F$5,FJ20, IF(M20='Designer Shutter Data'!$F$6,'Designer Shutter Data'!$GA$2,IF(M20='Designer Shutter Data'!$F$7,'Designer Shutter Data'!$FY$2, IF(M20='Designer Shutter Data'!$F$8,'Designer Shutter Data'!$FZ$7, IF(M20='Designer Shutter Data'!$F$14,'Designer Shutter Data'!$FZ$14)))))))</f>
        <v>0</v>
      </c>
      <c r="DF20" s="6" t="e">
        <f>VLOOKUP(M20,'Designer Shutter Data'!$M$2:$N$8,2,FALSE)</f>
        <v>#N/A</v>
      </c>
      <c r="DH20" s="123" t="e">
        <f>VLOOKUP(O20,'Designer Shutter Data'!$IN$2:$IO$169,2,FALSE)</f>
        <v>#N/A</v>
      </c>
      <c r="DI20" s="103" t="e">
        <f t="shared" si="29"/>
        <v>#N/A</v>
      </c>
      <c r="DJ20" s="103" t="e">
        <f t="shared" si="44"/>
        <v>#N/A</v>
      </c>
      <c r="DK20" s="7" t="b">
        <f>IF(P20='Designer Shutter Data'!$GC$2,'Designer Shutter Data'!$GD$2,IF(P20='Designer Shutter Data'!$GC$3,'Designer Shutter Data'!$GE$2,IF(P20='Designer Shutter Data'!$GC$4,'Designer Shutter Data'!$GF$2,IF(P20='Designer Shutter Data'!$GC$5,'Designer Shutter Data'!$GG$2,IF(P20='Designer Shutter Data'!$GC$6,'Designer Shutter Data'!$GH$2,IF(P20='Designer Shutter Data'!$GC$7,'Designer Shutter Data'!$GI$2,IF(P20='Designer Shutter Data'!$GC$8,'Designer Shutter Data'!$GJ$2,IF(P20='Designer Shutter Data'!$GC$9,'Designer Shutter Data'!$GK$2,IF(P20='Designer Shutter Data'!$GC$10,'Designer Shutter Data'!$GL$2,IF(P20='Designer Shutter Data'!$GC$11,'Designer Shutter Data'!$GM$2,IF(P20='Designer Shutter Data'!$GC$12,'Designer Shutter Data'!$GN$2,IF(P20='Designer Shutter Data'!$GC$13,'Designer Shutter Data'!$GO$2,IF(P20='Designer Shutter Data'!$GC$14,'Designer Shutter Data'!$GP$2,IF(P20='Designer Shutter Data'!$GC$15,'Designer Shutter Data'!$GD$15,IF(P20='Designer Shutter Data'!$GC$16,'Designer Shutter Data'!$GE$15,IF(P20='Designer Shutter Data'!$GC$17,'Designer Shutter Data'!$GF$15,IF(P20='Designer Shutter Data'!$GC$18,'Designer Shutter Data'!$GG$15,IF(P20='Designer Shutter Data'!$GC$19,'Designer Shutter Data'!$GD$73,IF(P20='Designer Shutter Data'!$GC$20,'Designer Shutter Data'!$GD$88, IF(P20='Designer Shutter Data'!$GC$21,'Designer Shutter Data'!$GH$15, IF(P20='Designer Shutter Data'!$GC$22,'Designer Shutter Data'!$GJ$2, IF(P20='Designer Shutter Data'!$GC$23,'Designer Shutter Data'!$GL$2))))))))))))))))))))))</f>
        <v>0</v>
      </c>
      <c r="DL20" s="7" t="b">
        <f>IF(P20='Designer Shutter Data'!$GC$2,'Designer Shutter Data'!$GD$25,IF(P20='Designer Shutter Data'!$GC$3,'Designer Shutter Data'!$GE$25,IF(P20='Designer Shutter Data'!$GC$4,'Designer Shutter Data'!$GF$25,IF(P20='Designer Shutter Data'!$GC$5,'Designer Shutter Data'!$GG$25,IF(P20='Designer Shutter Data'!$GC$6,'Designer Shutter Data'!$GH$25,IF(P20='Designer Shutter Data'!$GC$7,'Designer Shutter Data'!$GI$25,IF(P20='Designer Shutter Data'!$GC$8,'Designer Shutter Data'!$GJ$25,IF(P20='Designer Shutter Data'!$GC$9,'Designer Shutter Data'!$GK$25,IF(P20='Designer Shutter Data'!$GC$10,'Designer Shutter Data'!$GL$25,IF(P20='Designer Shutter Data'!$GC$11,'Designer Shutter Data'!$GM$25,IF(P20='Designer Shutter Data'!$GC$12,'Designer Shutter Data'!$GN$25,IF(P20='Designer Shutter Data'!$GC$13,'Designer Shutter Data'!$GO$25,IF(P20='Designer Shutter Data'!$GC$14,'Designer Shutter Data'!$GP$25,IF(P20='Designer Shutter Data'!$GC$15,'Designer Shutter Data'!$GD$37,IF(P20='Designer Shutter Data'!$GC$15,'Designer Shutter Data'!$GD$37,IF(P20='Designer Shutter Data'!$GC$16,'Designer Shutter Data'!$GE$37,IF(P20='Designer Shutter Data'!$GC$17,'Designer Shutter Data'!$GF$37,IF(P20='Designer Shutter Data'!$GC$18,'Designer Shutter Data'!$GG$37, IF(P20='Designer Shutter Data'!$GC$19,'Designer Shutter Data'!$GD$73, IF(P20='Designer Shutter Data'!$GC$20,'Designer Shutter Data'!$GE$88, IF(P20='Designer Shutter Data'!$GC$21,'Designer Shutter Data'!$GH$37,IF(P20='Designer Shutter Data'!$GC$22,'Designer Shutter Data'!$GJ$25,IF(P20='Designer Shutter Data'!$GC$23,'Designer Shutter Data'!$GL$25)))))))))))))))))))))))</f>
        <v>0</v>
      </c>
      <c r="DM20" s="118" t="b">
        <f>IF(P20='Designer Shutter Data'!$GC$2,'Designer Shutter Data'!$GD$47,IF(P20='Designer Shutter Data'!$GC$3,'Designer Shutter Data'!$GE$47,IF(P20='Designer Shutter Data'!$GC$4,'Designer Shutter Data'!$GF$47,IF(P20='Designer Shutter Data'!$GC$5,'Designer Shutter Data'!$GG$47,IF(P20='Designer Shutter Data'!$GC$6,'Designer Shutter Data'!$GH$47,IF(P20='Designer Shutter Data'!$GC$7,'Designer Shutter Data'!$GI$47,IF(P20='Designer Shutter Data'!$GC$8,'Designer Shutter Data'!$GJ$47,IF(P20='Designer Shutter Data'!$GC$9,'Designer Shutter Data'!$GK$47,IF(P20='Designer Shutter Data'!$GC$10,'Designer Shutter Data'!$GL$47,IF(P20='Designer Shutter Data'!$GC$11,'Designer Shutter Data'!$GM$47,IF(P20='Designer Shutter Data'!$GC$12,'Designer Shutter Data'!$GN$47,IF(P20='Designer Shutter Data'!$GC$13,'Designer Shutter Data'!$GO$47,IF(P20='Designer Shutter Data'!$GC$14,'Designer Shutter Data'!$GP$47, IF(P20='Designer Shutter Data'!$GC$19,'Designer Shutter Data'!$GD$73, IF(P20='Designer Shutter Data'!$GC$20,'Designer Shutter Data'!$GF$88, IF(M20='Designer Shutter Data'!$F$5,'Designer Shutter Data'!$GE$59, IF(M20='Designer Shutter Data'!$F$6,'Designer Shutter Data'!$GD$59, IF(P20='Designer Shutter Data'!$GC$21,'Designer Shutter Data'!$GF$59,IF(P20='Designer Shutter Data'!$GC$22,'Designer Shutter Data'!$GJ$47,IF(P20='Designer Shutter Data'!$GC$23,'Designer Shutter Data'!$GL$47))))))))))))))))))))</f>
        <v>0</v>
      </c>
      <c r="DN20" s="107" t="str">
        <f t="shared" si="45"/>
        <v/>
      </c>
      <c r="DO20" s="107" t="e">
        <f t="shared" si="46"/>
        <v>#N/A</v>
      </c>
      <c r="DP20" s="107" t="str">
        <f t="shared" si="30"/>
        <v>OK</v>
      </c>
      <c r="DQ20" s="107" t="str">
        <f t="shared" si="31"/>
        <v>OK</v>
      </c>
      <c r="DR20" s="107" t="str">
        <f t="shared" si="32"/>
        <v>OK</v>
      </c>
      <c r="DS20" s="107" t="str">
        <f t="shared" si="33"/>
        <v>OK</v>
      </c>
      <c r="DT20" s="7" t="b">
        <f>IF(E20='Designer Shutter Data'!$GV$2,'Designer Shutter Data'!$GW$2,IF(E20='Designer Shutter Data'!$GV$3,'Designer Shutter Data'!$GX$2,IF(E20='Designer Shutter Data'!$GV$4,'Designer Shutter Data'!$GY$2)))</f>
        <v>0</v>
      </c>
      <c r="DU20" s="40" t="e">
        <f>MATCH(E20,'Designer Shutter Data'!$HB$1:$HD$1,0)</f>
        <v>#N/A</v>
      </c>
      <c r="DV20" s="40" t="e">
        <f>MATCH(M20,'Designer Shutter Data'!$HA$2:$HA$8,0)</f>
        <v>#N/A</v>
      </c>
      <c r="DW20" s="11" t="e">
        <f>INDEX('Designer Shutter Data'!$HB$2:$HD$8,DV20,DU20)</f>
        <v>#N/A</v>
      </c>
      <c r="DX20" s="11" t="b">
        <f>IF(E20='Designer Shutter Data'!$IG$1,'Designer Shutter Data'!$IG$2,IF(E20='Designer Shutter Data'!$IH$1,'Designer Shutter Data'!$IH$2, IF(E20='Designer Shutter Data'!$II$1,'Designer Shutter Data'!$II$2)))</f>
        <v>0</v>
      </c>
      <c r="DY20" s="11" t="str">
        <f>IF(E20="MS",'Designer Shutter Data'!$BI$2,IF(G20='Designer Shutter Data'!$BJ$34,'Designer Shutter Data'!$BJ$35,'Designer Shutter Data'!$BJ$2))</f>
        <v>FauxwoodDesignerWindowType</v>
      </c>
      <c r="DZ20" s="118" t="b">
        <f>IF(M20='Designer Shutter Data'!$F$3,'Designer Shutter Data'!$GF$88, IF(M20='Designer Shutter Data'!$F$4,'Designer Shutter Data'!$GE$59, IF(M20='Designer Shutter Data'!$F$5,'Designer Shutter Data'!$GD$59, IF(M20='Designer Shutter Data'!$F$6,'Designer Shutter Data'!$GD$59, IF(M20='Designer Shutter Data'!$F$7,'Designer Shutter Data'!$GD$73)))))</f>
        <v>0</v>
      </c>
      <c r="EB20" s="6" t="b">
        <f>IF(M20='Designer Shutter Data'!$IT$2,'Designer Shutter Data'!$JA$2, IF(M20='Designer Shutter Data'!$IT$3,'Designer Shutter Data'!$JC$2, IF(M20='Designer Shutter Data'!$IT$4,'Designer Shutter Data'!$JE$2, IF(M20='Designer Shutter Data'!$IT$5,'Designer Shutter Data'!$JG$2, IF(M20='Designer Shutter Data'!$IT$6,'Designer Shutter Data'!$JI$2, IF(M20='Designer Shutter Data'!$IT$7,'Designer Shutter Data'!$JZ$2, IF(M20='Designer Shutter Data'!$IT$8,'Designer Shutter Data'!$JI$16)))))))</f>
        <v>0</v>
      </c>
      <c r="EC20" s="6" t="str">
        <f t="shared" si="34"/>
        <v>NoHighlight</v>
      </c>
      <c r="ED20" s="7" t="e">
        <f>VLOOKUP(M20,'Designer Shutter Data'!$JW$5:$JX$10,2,FALSE)</f>
        <v>#N/A</v>
      </c>
      <c r="EE20" s="7" t="e">
        <f t="shared" si="35"/>
        <v>#N/A</v>
      </c>
      <c r="EF20" s="118" t="e">
        <f>VLOOKUP(O20,'Designer Shutter Data'!$AO$3:$AQ$171,1,FALSE)</f>
        <v>#N/A</v>
      </c>
      <c r="EG20" s="7" t="e">
        <f t="shared" si="36"/>
        <v>#N/A</v>
      </c>
      <c r="EH20" s="6" t="str">
        <f t="shared" si="37"/>
        <v/>
      </c>
      <c r="EJ20" s="40" t="e">
        <f>MATCH(M20,'Designer Shutter Data'!$KD$1:$KI$1,0)</f>
        <v>#N/A</v>
      </c>
      <c r="EK20" s="40" t="e">
        <f>MATCH(P20,'Designer Shutter Data'!$KC$2:$KC$21,0)</f>
        <v>#N/A</v>
      </c>
      <c r="EL20" s="136" t="e">
        <f>INDEX('Designer Shutter Data'!$KD$2:$KI$21,EK20,EJ20)</f>
        <v>#N/A</v>
      </c>
      <c r="EP20" s="6" t="str">
        <f>IF(AC20&lt;&gt;$EO$4,'Designer Shutter Data'!$BR$2,'Designer Shutter Data'!$BR$9)</f>
        <v>Fluffy_Strip_Fauxwood</v>
      </c>
      <c r="ER20" s="6" t="str">
        <f>IF(G20='Designer Shutter Data'!$E$26,'Designer Shutter Data'!$E$27,IF(G20='Designer Shutter Data'!$E$37,'Designer Shutter Data'!$E$38,'Designer Shutter Data'!$E$2))</f>
        <v>FauxwoodDesignerBladeSize</v>
      </c>
      <c r="ET20" s="6" t="str">
        <f t="shared" si="47"/>
        <v>Stile T Post</v>
      </c>
      <c r="EW20" s="40" t="e">
        <f>MATCH(G20,'Designer Shutter Data'!$AV$27:$AV$30,0)</f>
        <v>#N/A</v>
      </c>
      <c r="EX20" s="40" t="e">
        <f>MATCH(AC20,'Designer Shutter Data'!$AW$26:$AX$26,0)</f>
        <v>#N/A</v>
      </c>
      <c r="EY20" s="136" t="e">
        <f>INDEX('Designer Shutter Data'!$AW$27:$AX$30,EW20,EX20)</f>
        <v>#N/A</v>
      </c>
      <c r="EZ20" s="6" t="str">
        <f>IF(G20='Designer Shutter Data'!$S$15,'Designer Shutter Data'!$S$16, IF(G20=$FB$7,'Designer Shutter Data'!$T$15,'Designer Shutter Data'!$S$2))</f>
        <v>FauxwoodDesignerTiltrod</v>
      </c>
      <c r="FA20" s="6" t="e">
        <f>IF(G20=$FB$7,"No",VLOOKUP(L20,'Designer Shutter Data'!$BJ$62:$BK$75,2,FALSE))</f>
        <v>#N/A</v>
      </c>
      <c r="FB20" s="6" t="e">
        <f>IF(FA20="Yes", 'Designer Shutter Data'!$T$2,IF(G20=$FB$7,'Designer Shutter Data'!$T$15,'Designer Shutters Page 1'!EZ20))</f>
        <v>#N/A</v>
      </c>
      <c r="FC20" s="6" t="e">
        <f>MATCH(G20,'Designer Shutter Data'!$IG$15:$IJ$15,0)</f>
        <v>#N/A</v>
      </c>
      <c r="FD20" s="6" t="e">
        <f>MATCH(E20,'Designer Shutter Data'!$IF$16:$IF$18,0)</f>
        <v>#N/A</v>
      </c>
      <c r="FE20" s="6" t="e">
        <f>INDEX('Designer Shutter Data'!$IG$16:$IJ$18, 'Designer Shutters Page 1'!FD20, 'Designer Shutters Page 1'!FC20)</f>
        <v>#N/A</v>
      </c>
      <c r="FH20" s="6" t="str">
        <f t="shared" si="48"/>
        <v>SlidingSystemNA</v>
      </c>
      <c r="FJ20" s="6" t="e">
        <f>VLOOKUP(O20,'Designer Shutter Data'!$KP$2:$KR$44,3,FALSE)</f>
        <v>#N/A</v>
      </c>
      <c r="FL20" s="11" t="b">
        <f>IF(N20=$FL$7,'Designer Shutter Data'!$GH$98,DM20)</f>
        <v>0</v>
      </c>
    </row>
    <row r="21" spans="1:168" ht="36.75" customHeight="1" x14ac:dyDescent="0.2">
      <c r="A21" s="50">
        <v>13</v>
      </c>
      <c r="B21" s="51"/>
      <c r="C21" s="44"/>
      <c r="D21" s="31"/>
      <c r="E21" s="44"/>
      <c r="F21" s="31"/>
      <c r="G21" s="43"/>
      <c r="H21" s="234"/>
      <c r="I21" s="235"/>
      <c r="J21" s="44"/>
      <c r="K21" s="45"/>
      <c r="L21" s="45"/>
      <c r="M21" s="45"/>
      <c r="N21" s="45"/>
      <c r="O21" s="45"/>
      <c r="P21" s="236"/>
      <c r="Q21" s="236"/>
      <c r="R21" s="43"/>
      <c r="S21" s="43"/>
      <c r="T21" s="43"/>
      <c r="U21" s="43"/>
      <c r="V21" s="45"/>
      <c r="W21" s="45"/>
      <c r="X21" s="43"/>
      <c r="Y21" s="46"/>
      <c r="Z21" s="47"/>
      <c r="AA21" s="47"/>
      <c r="AB21" s="47"/>
      <c r="AC21" s="44"/>
      <c r="AD21" s="44"/>
      <c r="AE21" s="48" t="str">
        <f t="shared" si="0"/>
        <v/>
      </c>
      <c r="AI21" s="6">
        <f t="shared" si="38"/>
        <v>0</v>
      </c>
      <c r="AJ21" s="6">
        <f t="shared" si="39"/>
        <v>0</v>
      </c>
      <c r="AK21" s="6">
        <f>IF(O21&lt;&gt;"",VLOOKUP(O21,'Designer Shutter Data'!$KP$2:$KQ$44,2,FALSE),0)</f>
        <v>0</v>
      </c>
      <c r="AT21" s="49" t="str">
        <f t="shared" si="1"/>
        <v/>
      </c>
      <c r="AV21" s="6" t="str">
        <f>IF(G21=$AV$7,'Designer Shutter Data'!$D$38,'Designer Shutter Data'!$D$2)</f>
        <v>FauxwoodDesignerColour</v>
      </c>
      <c r="AW21" s="130" t="e">
        <f t="shared" si="40"/>
        <v>#N/A</v>
      </c>
      <c r="AX21" s="130" t="e">
        <f>VLOOKUP(M21,'Designer Shutter Data'!$JK$2:$JL$7,2,FALSE)</f>
        <v>#N/A</v>
      </c>
      <c r="AY21" s="38" t="b">
        <v>0</v>
      </c>
      <c r="AZ21" s="38" t="str">
        <f t="shared" si="2"/>
        <v>No</v>
      </c>
      <c r="BA21" s="38" t="e">
        <f t="shared" si="3"/>
        <v>#DIV/0!</v>
      </c>
      <c r="BB21" s="38" t="e">
        <f t="shared" si="4"/>
        <v>#DIV/0!</v>
      </c>
      <c r="BC21" s="38" t="e">
        <f t="shared" si="5"/>
        <v>#DIV/0!</v>
      </c>
      <c r="BD21" s="38" t="str">
        <f t="shared" si="6"/>
        <v>No</v>
      </c>
      <c r="BE21" s="38" t="e">
        <f>IF(OR(AND(C21&gt;0,#REF!="")), "Required","NotRequired")</f>
        <v>#REF!</v>
      </c>
      <c r="BF21" s="38" t="b">
        <v>0</v>
      </c>
      <c r="BG21" s="38" t="e">
        <f t="shared" si="41"/>
        <v>#DIV/0!</v>
      </c>
      <c r="BH21" s="39" t="str">
        <f t="shared" si="7"/>
        <v>NoHighlight</v>
      </c>
      <c r="BI21" s="38" t="str">
        <f t="shared" si="8"/>
        <v>FauxwoodRPNo</v>
      </c>
      <c r="BJ21" s="110" t="str">
        <f>IF(SUM(--ISNUMBER(SEARCH({"t","T"}, O21))),"Yes","No")</f>
        <v>No</v>
      </c>
      <c r="BK21" s="127" t="str">
        <f t="shared" si="9"/>
        <v>OK</v>
      </c>
      <c r="BL21" s="127" t="str">
        <f t="shared" si="10"/>
        <v>OK</v>
      </c>
      <c r="BM21" s="127" t="str">
        <f t="shared" si="11"/>
        <v>OK</v>
      </c>
      <c r="BN21" s="39" t="str">
        <f t="shared" si="12"/>
        <v>OK</v>
      </c>
      <c r="BO21" s="39" t="str">
        <f t="shared" si="13"/>
        <v>FauxwoodAINo</v>
      </c>
      <c r="BP21" s="39" t="str">
        <f>IF(SUM(--ISNUMBER(SEARCH({"combo","Combo","COMBO"}, B38))),"Yes","No")</f>
        <v>No</v>
      </c>
      <c r="BQ21" s="39" t="str">
        <f t="shared" si="42"/>
        <v>No</v>
      </c>
      <c r="BR21" s="39" t="str">
        <f>IF(SUM(--ISNUMBER(SEARCH({"c","C","b","B"}, L21))),"Yes","No")</f>
        <v>No</v>
      </c>
      <c r="BS21" s="11">
        <f t="shared" si="14"/>
        <v>0</v>
      </c>
      <c r="BT21" s="11" t="s">
        <v>820</v>
      </c>
      <c r="BU21" s="11" t="s">
        <v>820</v>
      </c>
      <c r="BV21" s="40">
        <f t="shared" si="15"/>
        <v>0</v>
      </c>
      <c r="BW21" s="40">
        <f t="shared" si="16"/>
        <v>0</v>
      </c>
      <c r="BX21" s="11" t="e">
        <f t="shared" si="17"/>
        <v>#DIV/0!</v>
      </c>
      <c r="BY21" s="11" t="b">
        <v>0</v>
      </c>
      <c r="BZ21" s="11" t="b">
        <v>0</v>
      </c>
      <c r="CA21" s="11" t="e">
        <v>#REF!</v>
      </c>
      <c r="CB21" s="11" t="s">
        <v>82</v>
      </c>
      <c r="CC21" s="11" t="e">
        <f t="shared" si="18"/>
        <v>#DIV/0!</v>
      </c>
      <c r="CD21" s="11" t="e">
        <f>VLOOKUP(P21,'Designer Shutter Data'!$H$3:$I$19,2,FALSE)</f>
        <v>#N/A</v>
      </c>
      <c r="CE21" s="11" t="s">
        <v>820</v>
      </c>
      <c r="CF21" s="11" t="str">
        <f>IF(SUM(--ISNUMBER(SEARCH({"z","Z"}, P21))),"Yes","No")</f>
        <v>No</v>
      </c>
      <c r="CG21" s="11" t="str">
        <f t="shared" si="19"/>
        <v>OK</v>
      </c>
      <c r="CH21" s="11">
        <f t="shared" si="20"/>
        <v>0</v>
      </c>
      <c r="CI21" s="120" t="e">
        <f>IF(O21="N/A","N/A",VLOOKUP(O21,'Designer Shutter Data'!$AO$3:$AP$171,2,FALSE))</f>
        <v>#N/A</v>
      </c>
      <c r="CJ21" s="120" t="e">
        <f t="shared" si="21"/>
        <v>#N/A</v>
      </c>
      <c r="CK21" s="40"/>
      <c r="CL21" s="40"/>
      <c r="CM21" s="40"/>
      <c r="CN21" s="41" t="str">
        <f t="shared" si="22"/>
        <v>OK</v>
      </c>
      <c r="CO21" s="129" t="b">
        <f t="shared" si="23"/>
        <v>0</v>
      </c>
      <c r="CP21" s="129" t="b">
        <f t="shared" si="24"/>
        <v>0</v>
      </c>
      <c r="CQ21" s="40">
        <f t="shared" si="25"/>
        <v>0</v>
      </c>
      <c r="CR21" s="133">
        <f t="shared" si="26"/>
        <v>0</v>
      </c>
      <c r="CS21" s="40">
        <f t="shared" si="43"/>
        <v>0</v>
      </c>
      <c r="CT21" s="133" t="e">
        <f t="shared" si="27"/>
        <v>#N/A</v>
      </c>
      <c r="CU21" s="11" t="b">
        <v>0</v>
      </c>
      <c r="CV21" s="11" t="b">
        <v>0</v>
      </c>
      <c r="CW21" s="11" t="b">
        <v>0</v>
      </c>
      <c r="CX21" s="11" t="b">
        <v>0</v>
      </c>
      <c r="CY21" s="40" t="e">
        <f>IF(OR(AND(#REF!&gt;0,#REF!="")), "Error","OK")</f>
        <v>#REF!</v>
      </c>
      <c r="CZ21" s="11" t="e">
        <v>#REF!</v>
      </c>
      <c r="DA21" s="6" t="str">
        <f t="shared" si="28"/>
        <v/>
      </c>
      <c r="DD21" s="6" t="s">
        <v>84</v>
      </c>
      <c r="DE21" s="6" t="b">
        <f>IF(M21='Designer Shutter Data'!$F$3,'Designer Shutter Data'!$FY$7,IF(M21='Designer Shutter Data'!$F$4,'Designer Shutter Data'!$FZ$2,IF(M21='Designer Shutter Data'!$F$5,FJ21, IF(M21='Designer Shutter Data'!$F$6,'Designer Shutter Data'!$GA$2,IF(M21='Designer Shutter Data'!$F$7,'Designer Shutter Data'!$FY$2, IF(M21='Designer Shutter Data'!$F$8,'Designer Shutter Data'!$FZ$7, IF(M21='Designer Shutter Data'!$F$14,'Designer Shutter Data'!$FZ$14)))))))</f>
        <v>0</v>
      </c>
      <c r="DF21" s="6" t="e">
        <f>VLOOKUP(M21,'Designer Shutter Data'!$M$2:$N$8,2,FALSE)</f>
        <v>#N/A</v>
      </c>
      <c r="DH21" s="123" t="e">
        <f>VLOOKUP(O21,'Designer Shutter Data'!$IN$2:$IO$169,2,FALSE)</f>
        <v>#N/A</v>
      </c>
      <c r="DI21" s="103" t="e">
        <f t="shared" si="29"/>
        <v>#N/A</v>
      </c>
      <c r="DJ21" s="103" t="e">
        <f t="shared" si="44"/>
        <v>#N/A</v>
      </c>
      <c r="DK21" s="7" t="b">
        <f>IF(P21='Designer Shutter Data'!$GC$2,'Designer Shutter Data'!$GD$2,IF(P21='Designer Shutter Data'!$GC$3,'Designer Shutter Data'!$GE$2,IF(P21='Designer Shutter Data'!$GC$4,'Designer Shutter Data'!$GF$2,IF(P21='Designer Shutter Data'!$GC$5,'Designer Shutter Data'!$GG$2,IF(P21='Designer Shutter Data'!$GC$6,'Designer Shutter Data'!$GH$2,IF(P21='Designer Shutter Data'!$GC$7,'Designer Shutter Data'!$GI$2,IF(P21='Designer Shutter Data'!$GC$8,'Designer Shutter Data'!$GJ$2,IF(P21='Designer Shutter Data'!$GC$9,'Designer Shutter Data'!$GK$2,IF(P21='Designer Shutter Data'!$GC$10,'Designer Shutter Data'!$GL$2,IF(P21='Designer Shutter Data'!$GC$11,'Designer Shutter Data'!$GM$2,IF(P21='Designer Shutter Data'!$GC$12,'Designer Shutter Data'!$GN$2,IF(P21='Designer Shutter Data'!$GC$13,'Designer Shutter Data'!$GO$2,IF(P21='Designer Shutter Data'!$GC$14,'Designer Shutter Data'!$GP$2,IF(P21='Designer Shutter Data'!$GC$15,'Designer Shutter Data'!$GD$15,IF(P21='Designer Shutter Data'!$GC$16,'Designer Shutter Data'!$GE$15,IF(P21='Designer Shutter Data'!$GC$17,'Designer Shutter Data'!$GF$15,IF(P21='Designer Shutter Data'!$GC$18,'Designer Shutter Data'!$GG$15,IF(P21='Designer Shutter Data'!$GC$19,'Designer Shutter Data'!$GD$73,IF(P21='Designer Shutter Data'!$GC$20,'Designer Shutter Data'!$GD$88, IF(P21='Designer Shutter Data'!$GC$21,'Designer Shutter Data'!$GH$15, IF(P21='Designer Shutter Data'!$GC$22,'Designer Shutter Data'!$GJ$2, IF(P21='Designer Shutter Data'!$GC$23,'Designer Shutter Data'!$GL$2))))))))))))))))))))))</f>
        <v>0</v>
      </c>
      <c r="DL21" s="7" t="b">
        <f>IF(P21='Designer Shutter Data'!$GC$2,'Designer Shutter Data'!$GD$25,IF(P21='Designer Shutter Data'!$GC$3,'Designer Shutter Data'!$GE$25,IF(P21='Designer Shutter Data'!$GC$4,'Designer Shutter Data'!$GF$25,IF(P21='Designer Shutter Data'!$GC$5,'Designer Shutter Data'!$GG$25,IF(P21='Designer Shutter Data'!$GC$6,'Designer Shutter Data'!$GH$25,IF(P21='Designer Shutter Data'!$GC$7,'Designer Shutter Data'!$GI$25,IF(P21='Designer Shutter Data'!$GC$8,'Designer Shutter Data'!$GJ$25,IF(P21='Designer Shutter Data'!$GC$9,'Designer Shutter Data'!$GK$25,IF(P21='Designer Shutter Data'!$GC$10,'Designer Shutter Data'!$GL$25,IF(P21='Designer Shutter Data'!$GC$11,'Designer Shutter Data'!$GM$25,IF(P21='Designer Shutter Data'!$GC$12,'Designer Shutter Data'!$GN$25,IF(P21='Designer Shutter Data'!$GC$13,'Designer Shutter Data'!$GO$25,IF(P21='Designer Shutter Data'!$GC$14,'Designer Shutter Data'!$GP$25,IF(P21='Designer Shutter Data'!$GC$15,'Designer Shutter Data'!$GD$37,IF(P21='Designer Shutter Data'!$GC$15,'Designer Shutter Data'!$GD$37,IF(P21='Designer Shutter Data'!$GC$16,'Designer Shutter Data'!$GE$37,IF(P21='Designer Shutter Data'!$GC$17,'Designer Shutter Data'!$GF$37,IF(P21='Designer Shutter Data'!$GC$18,'Designer Shutter Data'!$GG$37, IF(P21='Designer Shutter Data'!$GC$19,'Designer Shutter Data'!$GD$73, IF(P21='Designer Shutter Data'!$GC$20,'Designer Shutter Data'!$GE$88, IF(P21='Designer Shutter Data'!$GC$21,'Designer Shutter Data'!$GH$37,IF(P21='Designer Shutter Data'!$GC$22,'Designer Shutter Data'!$GJ$25,IF(P21='Designer Shutter Data'!$GC$23,'Designer Shutter Data'!$GL$25)))))))))))))))))))))))</f>
        <v>0</v>
      </c>
      <c r="DM21" s="118" t="b">
        <f>IF(P21='Designer Shutter Data'!$GC$2,'Designer Shutter Data'!$GD$47,IF(P21='Designer Shutter Data'!$GC$3,'Designer Shutter Data'!$GE$47,IF(P21='Designer Shutter Data'!$GC$4,'Designer Shutter Data'!$GF$47,IF(P21='Designer Shutter Data'!$GC$5,'Designer Shutter Data'!$GG$47,IF(P21='Designer Shutter Data'!$GC$6,'Designer Shutter Data'!$GH$47,IF(P21='Designer Shutter Data'!$GC$7,'Designer Shutter Data'!$GI$47,IF(P21='Designer Shutter Data'!$GC$8,'Designer Shutter Data'!$GJ$47,IF(P21='Designer Shutter Data'!$GC$9,'Designer Shutter Data'!$GK$47,IF(P21='Designer Shutter Data'!$GC$10,'Designer Shutter Data'!$GL$47,IF(P21='Designer Shutter Data'!$GC$11,'Designer Shutter Data'!$GM$47,IF(P21='Designer Shutter Data'!$GC$12,'Designer Shutter Data'!$GN$47,IF(P21='Designer Shutter Data'!$GC$13,'Designer Shutter Data'!$GO$47,IF(P21='Designer Shutter Data'!$GC$14,'Designer Shutter Data'!$GP$47, IF(P21='Designer Shutter Data'!$GC$19,'Designer Shutter Data'!$GD$73, IF(P21='Designer Shutter Data'!$GC$20,'Designer Shutter Data'!$GF$88, IF(M21='Designer Shutter Data'!$F$5,'Designer Shutter Data'!$GE$59, IF(M21='Designer Shutter Data'!$F$6,'Designer Shutter Data'!$GD$59, IF(P21='Designer Shutter Data'!$GC$21,'Designer Shutter Data'!$GF$59,IF(P21='Designer Shutter Data'!$GC$22,'Designer Shutter Data'!$GJ$47,IF(P21='Designer Shutter Data'!$GC$23,'Designer Shutter Data'!$GL$47))))))))))))))))))))</f>
        <v>0</v>
      </c>
      <c r="DN21" s="107" t="str">
        <f t="shared" si="45"/>
        <v/>
      </c>
      <c r="DO21" s="107" t="e">
        <f t="shared" si="46"/>
        <v>#N/A</v>
      </c>
      <c r="DP21" s="107" t="str">
        <f t="shared" si="30"/>
        <v>OK</v>
      </c>
      <c r="DQ21" s="107" t="str">
        <f t="shared" si="31"/>
        <v>OK</v>
      </c>
      <c r="DR21" s="107" t="str">
        <f t="shared" si="32"/>
        <v>OK</v>
      </c>
      <c r="DS21" s="107" t="str">
        <f t="shared" si="33"/>
        <v>OK</v>
      </c>
      <c r="DT21" s="7" t="b">
        <f>IF(E21='Designer Shutter Data'!$GV$2,'Designer Shutter Data'!$GW$2,IF(E21='Designer Shutter Data'!$GV$3,'Designer Shutter Data'!$GX$2,IF(E21='Designer Shutter Data'!$GV$4,'Designer Shutter Data'!$GY$2)))</f>
        <v>0</v>
      </c>
      <c r="DU21" s="40" t="e">
        <f>MATCH(E21,'Designer Shutter Data'!$HB$1:$HD$1,0)</f>
        <v>#N/A</v>
      </c>
      <c r="DV21" s="40" t="e">
        <f>MATCH(M21,'Designer Shutter Data'!$HA$2:$HA$8,0)</f>
        <v>#N/A</v>
      </c>
      <c r="DW21" s="11" t="e">
        <f>INDEX('Designer Shutter Data'!$HB$2:$HD$8,DV21,DU21)</f>
        <v>#N/A</v>
      </c>
      <c r="DX21" s="11" t="b">
        <f>IF(E21='Designer Shutter Data'!$IG$1,'Designer Shutter Data'!$IG$2,IF(E21='Designer Shutter Data'!$IH$1,'Designer Shutter Data'!$IH$2, IF(E21='Designer Shutter Data'!$II$1,'Designer Shutter Data'!$II$2)))</f>
        <v>0</v>
      </c>
      <c r="DY21" s="11" t="str">
        <f>IF(E21="MS",'Designer Shutter Data'!$BI$2,IF(G21='Designer Shutter Data'!$BJ$34,'Designer Shutter Data'!$BJ$35,'Designer Shutter Data'!$BJ$2))</f>
        <v>FauxwoodDesignerWindowType</v>
      </c>
      <c r="DZ21" s="118" t="b">
        <f>IF(M21='Designer Shutter Data'!$F$3,'Designer Shutter Data'!$GF$88, IF(M21='Designer Shutter Data'!$F$4,'Designer Shutter Data'!$GE$59, IF(M21='Designer Shutter Data'!$F$5,'Designer Shutter Data'!$GD$59, IF(M21='Designer Shutter Data'!$F$6,'Designer Shutter Data'!$GD$59, IF(M21='Designer Shutter Data'!$F$7,'Designer Shutter Data'!$GD$73)))))</f>
        <v>0</v>
      </c>
      <c r="EB21" s="6" t="b">
        <f>IF(M21='Designer Shutter Data'!$IT$2,'Designer Shutter Data'!$JA$2, IF(M21='Designer Shutter Data'!$IT$3,'Designer Shutter Data'!$JC$2, IF(M21='Designer Shutter Data'!$IT$4,'Designer Shutter Data'!$JE$2, IF(M21='Designer Shutter Data'!$IT$5,'Designer Shutter Data'!$JG$2, IF(M21='Designer Shutter Data'!$IT$6,'Designer Shutter Data'!$JI$2, IF(M21='Designer Shutter Data'!$IT$7,'Designer Shutter Data'!$JZ$2, IF(M21='Designer Shutter Data'!$IT$8,'Designer Shutter Data'!$JI$16)))))))</f>
        <v>0</v>
      </c>
      <c r="EC21" s="6" t="str">
        <f t="shared" si="34"/>
        <v>NoHighlight</v>
      </c>
      <c r="ED21" s="7" t="e">
        <f>VLOOKUP(M21,'Designer Shutter Data'!$JW$5:$JX$10,2,FALSE)</f>
        <v>#N/A</v>
      </c>
      <c r="EE21" s="7" t="e">
        <f t="shared" si="35"/>
        <v>#N/A</v>
      </c>
      <c r="EF21" s="118" t="e">
        <f>VLOOKUP(O21,'Designer Shutter Data'!$AO$3:$AQ$171,1,FALSE)</f>
        <v>#N/A</v>
      </c>
      <c r="EG21" s="7" t="e">
        <f t="shared" si="36"/>
        <v>#N/A</v>
      </c>
      <c r="EH21" s="6" t="str">
        <f t="shared" si="37"/>
        <v/>
      </c>
      <c r="EJ21" s="40" t="e">
        <f>MATCH(M21,'Designer Shutter Data'!$KD$1:$KI$1,0)</f>
        <v>#N/A</v>
      </c>
      <c r="EK21" s="40" t="e">
        <f>MATCH(P21,'Designer Shutter Data'!$KC$2:$KC$21,0)</f>
        <v>#N/A</v>
      </c>
      <c r="EL21" s="136" t="e">
        <f>INDEX('Designer Shutter Data'!$KD$2:$KI$21,EK21,EJ21)</f>
        <v>#N/A</v>
      </c>
      <c r="EP21" s="6" t="str">
        <f>IF(AC21&lt;&gt;$EO$4,'Designer Shutter Data'!$BR$2,'Designer Shutter Data'!$BR$9)</f>
        <v>Fluffy_Strip_Fauxwood</v>
      </c>
      <c r="ER21" s="6" t="str">
        <f>IF(G21='Designer Shutter Data'!$E$26,'Designer Shutter Data'!$E$27,IF(G21='Designer Shutter Data'!$E$37,'Designer Shutter Data'!$E$38,'Designer Shutter Data'!$E$2))</f>
        <v>FauxwoodDesignerBladeSize</v>
      </c>
      <c r="ET21" s="6" t="str">
        <f t="shared" si="47"/>
        <v>Stile T Post</v>
      </c>
      <c r="EW21" s="40" t="e">
        <f>MATCH(G21,'Designer Shutter Data'!$AV$27:$AV$30,0)</f>
        <v>#N/A</v>
      </c>
      <c r="EX21" s="40" t="e">
        <f>MATCH(AC21,'Designer Shutter Data'!$AW$26:$AX$26,0)</f>
        <v>#N/A</v>
      </c>
      <c r="EY21" s="136" t="e">
        <f>INDEX('Designer Shutter Data'!$AW$27:$AX$30,EW21,EX21)</f>
        <v>#N/A</v>
      </c>
      <c r="EZ21" s="6" t="str">
        <f>IF(G21='Designer Shutter Data'!$S$15,'Designer Shutter Data'!$S$16, IF(G21=$FB$7,'Designer Shutter Data'!$T$15,'Designer Shutter Data'!$S$2))</f>
        <v>FauxwoodDesignerTiltrod</v>
      </c>
      <c r="FA21" s="6" t="e">
        <f>IF(G21=$FB$7,"No",VLOOKUP(L21,'Designer Shutter Data'!$BJ$62:$BK$75,2,FALSE))</f>
        <v>#N/A</v>
      </c>
      <c r="FB21" s="6" t="e">
        <f>IF(FA21="Yes", 'Designer Shutter Data'!$T$2,IF(G21=$FB$7,'Designer Shutter Data'!$T$15,'Designer Shutters Page 1'!EZ21))</f>
        <v>#N/A</v>
      </c>
      <c r="FC21" s="6" t="e">
        <f>MATCH(G21,'Designer Shutter Data'!$IG$15:$IJ$15,0)</f>
        <v>#N/A</v>
      </c>
      <c r="FD21" s="6" t="e">
        <f>MATCH(E21,'Designer Shutter Data'!$IF$16:$IF$18,0)</f>
        <v>#N/A</v>
      </c>
      <c r="FE21" s="6" t="e">
        <f>INDEX('Designer Shutter Data'!$IG$16:$IJ$18, 'Designer Shutters Page 1'!FD21, 'Designer Shutters Page 1'!FC21)</f>
        <v>#N/A</v>
      </c>
      <c r="FH21" s="6" t="str">
        <f t="shared" si="48"/>
        <v>SlidingSystemNA</v>
      </c>
      <c r="FJ21" s="6" t="e">
        <f>VLOOKUP(O21,'Designer Shutter Data'!$KP$2:$KR$44,3,FALSE)</f>
        <v>#N/A</v>
      </c>
      <c r="FL21" s="11" t="b">
        <f>IF(N21=$FL$7,'Designer Shutter Data'!$GH$98,DM21)</f>
        <v>0</v>
      </c>
    </row>
    <row r="22" spans="1:168" ht="36.75" customHeight="1" x14ac:dyDescent="0.2">
      <c r="A22" s="50">
        <v>14</v>
      </c>
      <c r="B22" s="51"/>
      <c r="C22" s="44"/>
      <c r="D22" s="31"/>
      <c r="E22" s="44"/>
      <c r="F22" s="31"/>
      <c r="G22" s="43"/>
      <c r="H22" s="234"/>
      <c r="I22" s="235"/>
      <c r="J22" s="44"/>
      <c r="K22" s="45"/>
      <c r="L22" s="45"/>
      <c r="M22" s="45"/>
      <c r="N22" s="45"/>
      <c r="O22" s="45"/>
      <c r="P22" s="236"/>
      <c r="Q22" s="236"/>
      <c r="R22" s="43"/>
      <c r="S22" s="43"/>
      <c r="T22" s="43"/>
      <c r="U22" s="43"/>
      <c r="V22" s="45"/>
      <c r="W22" s="45"/>
      <c r="X22" s="43"/>
      <c r="Y22" s="46"/>
      <c r="Z22" s="47"/>
      <c r="AA22" s="47"/>
      <c r="AB22" s="47"/>
      <c r="AC22" s="44"/>
      <c r="AD22" s="44"/>
      <c r="AE22" s="48" t="str">
        <f t="shared" si="0"/>
        <v/>
      </c>
      <c r="AI22" s="6">
        <f t="shared" si="38"/>
        <v>0</v>
      </c>
      <c r="AJ22" s="6">
        <f t="shared" si="39"/>
        <v>0</v>
      </c>
      <c r="AK22" s="6">
        <f>IF(O22&lt;&gt;"",VLOOKUP(O22,'Designer Shutter Data'!$KP$2:$KQ$44,2,FALSE),0)</f>
        <v>0</v>
      </c>
      <c r="AT22" s="49" t="str">
        <f t="shared" si="1"/>
        <v/>
      </c>
      <c r="AV22" s="6" t="str">
        <f>IF(G22=$AV$7,'Designer Shutter Data'!$D$38,'Designer Shutter Data'!$D$2)</f>
        <v>FauxwoodDesignerColour</v>
      </c>
      <c r="AW22" s="130" t="e">
        <f t="shared" si="40"/>
        <v>#N/A</v>
      </c>
      <c r="AX22" s="130" t="e">
        <f>VLOOKUP(M22,'Designer Shutter Data'!$JK$2:$JL$7,2,FALSE)</f>
        <v>#N/A</v>
      </c>
      <c r="AY22" s="38" t="b">
        <v>0</v>
      </c>
      <c r="AZ22" s="38" t="str">
        <f t="shared" si="2"/>
        <v>No</v>
      </c>
      <c r="BA22" s="38" t="e">
        <f t="shared" si="3"/>
        <v>#DIV/0!</v>
      </c>
      <c r="BB22" s="38" t="e">
        <f t="shared" si="4"/>
        <v>#DIV/0!</v>
      </c>
      <c r="BC22" s="38" t="e">
        <f t="shared" si="5"/>
        <v>#DIV/0!</v>
      </c>
      <c r="BD22" s="38" t="str">
        <f t="shared" si="6"/>
        <v>No</v>
      </c>
      <c r="BE22" s="38" t="e">
        <f>IF(OR(AND(C22&gt;0,#REF!="")), "Required","NotRequired")</f>
        <v>#REF!</v>
      </c>
      <c r="BF22" s="38" t="b">
        <v>0</v>
      </c>
      <c r="BG22" s="38" t="e">
        <f t="shared" si="41"/>
        <v>#DIV/0!</v>
      </c>
      <c r="BH22" s="39" t="str">
        <f t="shared" si="7"/>
        <v>NoHighlight</v>
      </c>
      <c r="BI22" s="38" t="str">
        <f t="shared" si="8"/>
        <v>FauxwoodRPNo</v>
      </c>
      <c r="BJ22" s="110" t="str">
        <f>IF(SUM(--ISNUMBER(SEARCH({"t","T"}, O22))),"Yes","No")</f>
        <v>No</v>
      </c>
      <c r="BK22" s="127" t="str">
        <f t="shared" si="9"/>
        <v>OK</v>
      </c>
      <c r="BL22" s="127" t="str">
        <f t="shared" si="10"/>
        <v>OK</v>
      </c>
      <c r="BM22" s="127" t="str">
        <f t="shared" si="11"/>
        <v>OK</v>
      </c>
      <c r="BN22" s="39" t="str">
        <f t="shared" si="12"/>
        <v>OK</v>
      </c>
      <c r="BO22" s="39" t="str">
        <f t="shared" si="13"/>
        <v>FauxwoodAINo</v>
      </c>
      <c r="BP22" s="39" t="str">
        <f>IF(SUM(--ISNUMBER(SEARCH({"combo","Combo","COMBO"}, B39))),"Yes","No")</f>
        <v>No</v>
      </c>
      <c r="BQ22" s="39" t="str">
        <f t="shared" si="42"/>
        <v>No</v>
      </c>
      <c r="BR22" s="39" t="str">
        <f>IF(SUM(--ISNUMBER(SEARCH({"c","C","b","B"}, L22))),"Yes","No")</f>
        <v>No</v>
      </c>
      <c r="BS22" s="11">
        <f t="shared" si="14"/>
        <v>0</v>
      </c>
      <c r="BT22" s="11" t="s">
        <v>820</v>
      </c>
      <c r="BU22" s="11" t="s">
        <v>820</v>
      </c>
      <c r="BV22" s="40">
        <f t="shared" si="15"/>
        <v>0</v>
      </c>
      <c r="BW22" s="40">
        <f t="shared" si="16"/>
        <v>0</v>
      </c>
      <c r="BX22" s="11" t="e">
        <f t="shared" si="17"/>
        <v>#DIV/0!</v>
      </c>
      <c r="BY22" s="11" t="b">
        <v>0</v>
      </c>
      <c r="BZ22" s="11" t="b">
        <v>0</v>
      </c>
      <c r="CA22" s="11" t="e">
        <v>#REF!</v>
      </c>
      <c r="CB22" s="11" t="s">
        <v>82</v>
      </c>
      <c r="CC22" s="11" t="e">
        <f t="shared" si="18"/>
        <v>#DIV/0!</v>
      </c>
      <c r="CD22" s="11" t="e">
        <f>VLOOKUP(P22,'Designer Shutter Data'!$H$3:$I$19,2,FALSE)</f>
        <v>#N/A</v>
      </c>
      <c r="CE22" s="11" t="s">
        <v>820</v>
      </c>
      <c r="CF22" s="11" t="str">
        <f>IF(SUM(--ISNUMBER(SEARCH({"z","Z"}, P22))),"Yes","No")</f>
        <v>No</v>
      </c>
      <c r="CG22" s="11" t="str">
        <f t="shared" si="19"/>
        <v>OK</v>
      </c>
      <c r="CH22" s="11">
        <f t="shared" si="20"/>
        <v>0</v>
      </c>
      <c r="CI22" s="120" t="e">
        <f>IF(O22="N/A","N/A",VLOOKUP(O22,'Designer Shutter Data'!$AO$3:$AP$171,2,FALSE))</f>
        <v>#N/A</v>
      </c>
      <c r="CJ22" s="120" t="e">
        <f t="shared" si="21"/>
        <v>#N/A</v>
      </c>
      <c r="CK22" s="40"/>
      <c r="CL22" s="40"/>
      <c r="CM22" s="40"/>
      <c r="CN22" s="41" t="str">
        <f t="shared" si="22"/>
        <v>OK</v>
      </c>
      <c r="CO22" s="129" t="b">
        <f t="shared" si="23"/>
        <v>0</v>
      </c>
      <c r="CP22" s="129" t="b">
        <f t="shared" si="24"/>
        <v>0</v>
      </c>
      <c r="CQ22" s="40">
        <f t="shared" si="25"/>
        <v>0</v>
      </c>
      <c r="CR22" s="133">
        <f t="shared" si="26"/>
        <v>0</v>
      </c>
      <c r="CS22" s="40">
        <f t="shared" si="43"/>
        <v>0</v>
      </c>
      <c r="CT22" s="133" t="e">
        <f t="shared" si="27"/>
        <v>#N/A</v>
      </c>
      <c r="CU22" s="11" t="b">
        <v>0</v>
      </c>
      <c r="CV22" s="11" t="b">
        <v>0</v>
      </c>
      <c r="CW22" s="11" t="b">
        <v>0</v>
      </c>
      <c r="CX22" s="11" t="b">
        <v>0</v>
      </c>
      <c r="CY22" s="40" t="e">
        <f>IF(OR(AND(#REF!&gt;0,#REF!="")), "Error","OK")</f>
        <v>#REF!</v>
      </c>
      <c r="CZ22" s="11" t="e">
        <v>#REF!</v>
      </c>
      <c r="DA22" s="6" t="str">
        <f t="shared" si="28"/>
        <v/>
      </c>
      <c r="DD22" s="6" t="s">
        <v>84</v>
      </c>
      <c r="DE22" s="6" t="b">
        <f>IF(M22='Designer Shutter Data'!$F$3,'Designer Shutter Data'!$FY$7,IF(M22='Designer Shutter Data'!$F$4,'Designer Shutter Data'!$FZ$2,IF(M22='Designer Shutter Data'!$F$5,FJ22, IF(M22='Designer Shutter Data'!$F$6,'Designer Shutter Data'!$GA$2,IF(M22='Designer Shutter Data'!$F$7,'Designer Shutter Data'!$FY$2, IF(M22='Designer Shutter Data'!$F$8,'Designer Shutter Data'!$FZ$7, IF(M22='Designer Shutter Data'!$F$14,'Designer Shutter Data'!$FZ$14)))))))</f>
        <v>0</v>
      </c>
      <c r="DF22" s="6" t="e">
        <f>VLOOKUP(M22,'Designer Shutter Data'!$M$2:$N$8,2,FALSE)</f>
        <v>#N/A</v>
      </c>
      <c r="DH22" s="123" t="e">
        <f>VLOOKUP(O22,'Designer Shutter Data'!$IN$2:$IO$169,2,FALSE)</f>
        <v>#N/A</v>
      </c>
      <c r="DI22" s="103" t="e">
        <f t="shared" si="29"/>
        <v>#N/A</v>
      </c>
      <c r="DJ22" s="103" t="e">
        <f t="shared" si="44"/>
        <v>#N/A</v>
      </c>
      <c r="DK22" s="7" t="b">
        <f>IF(P22='Designer Shutter Data'!$GC$2,'Designer Shutter Data'!$GD$2,IF(P22='Designer Shutter Data'!$GC$3,'Designer Shutter Data'!$GE$2,IF(P22='Designer Shutter Data'!$GC$4,'Designer Shutter Data'!$GF$2,IF(P22='Designer Shutter Data'!$GC$5,'Designer Shutter Data'!$GG$2,IF(P22='Designer Shutter Data'!$GC$6,'Designer Shutter Data'!$GH$2,IF(P22='Designer Shutter Data'!$GC$7,'Designer Shutter Data'!$GI$2,IF(P22='Designer Shutter Data'!$GC$8,'Designer Shutter Data'!$GJ$2,IF(P22='Designer Shutter Data'!$GC$9,'Designer Shutter Data'!$GK$2,IF(P22='Designer Shutter Data'!$GC$10,'Designer Shutter Data'!$GL$2,IF(P22='Designer Shutter Data'!$GC$11,'Designer Shutter Data'!$GM$2,IF(P22='Designer Shutter Data'!$GC$12,'Designer Shutter Data'!$GN$2,IF(P22='Designer Shutter Data'!$GC$13,'Designer Shutter Data'!$GO$2,IF(P22='Designer Shutter Data'!$GC$14,'Designer Shutter Data'!$GP$2,IF(P22='Designer Shutter Data'!$GC$15,'Designer Shutter Data'!$GD$15,IF(P22='Designer Shutter Data'!$GC$16,'Designer Shutter Data'!$GE$15,IF(P22='Designer Shutter Data'!$GC$17,'Designer Shutter Data'!$GF$15,IF(P22='Designer Shutter Data'!$GC$18,'Designer Shutter Data'!$GG$15,IF(P22='Designer Shutter Data'!$GC$19,'Designer Shutter Data'!$GD$73,IF(P22='Designer Shutter Data'!$GC$20,'Designer Shutter Data'!$GD$88, IF(P22='Designer Shutter Data'!$GC$21,'Designer Shutter Data'!$GH$15, IF(P22='Designer Shutter Data'!$GC$22,'Designer Shutter Data'!$GJ$2, IF(P22='Designer Shutter Data'!$GC$23,'Designer Shutter Data'!$GL$2))))))))))))))))))))))</f>
        <v>0</v>
      </c>
      <c r="DL22" s="7" t="b">
        <f>IF(P22='Designer Shutter Data'!$GC$2,'Designer Shutter Data'!$GD$25,IF(P22='Designer Shutter Data'!$GC$3,'Designer Shutter Data'!$GE$25,IF(P22='Designer Shutter Data'!$GC$4,'Designer Shutter Data'!$GF$25,IF(P22='Designer Shutter Data'!$GC$5,'Designer Shutter Data'!$GG$25,IF(P22='Designer Shutter Data'!$GC$6,'Designer Shutter Data'!$GH$25,IF(P22='Designer Shutter Data'!$GC$7,'Designer Shutter Data'!$GI$25,IF(P22='Designer Shutter Data'!$GC$8,'Designer Shutter Data'!$GJ$25,IF(P22='Designer Shutter Data'!$GC$9,'Designer Shutter Data'!$GK$25,IF(P22='Designer Shutter Data'!$GC$10,'Designer Shutter Data'!$GL$25,IF(P22='Designer Shutter Data'!$GC$11,'Designer Shutter Data'!$GM$25,IF(P22='Designer Shutter Data'!$GC$12,'Designer Shutter Data'!$GN$25,IF(P22='Designer Shutter Data'!$GC$13,'Designer Shutter Data'!$GO$25,IF(P22='Designer Shutter Data'!$GC$14,'Designer Shutter Data'!$GP$25,IF(P22='Designer Shutter Data'!$GC$15,'Designer Shutter Data'!$GD$37,IF(P22='Designer Shutter Data'!$GC$15,'Designer Shutter Data'!$GD$37,IF(P22='Designer Shutter Data'!$GC$16,'Designer Shutter Data'!$GE$37,IF(P22='Designer Shutter Data'!$GC$17,'Designer Shutter Data'!$GF$37,IF(P22='Designer Shutter Data'!$GC$18,'Designer Shutter Data'!$GG$37, IF(P22='Designer Shutter Data'!$GC$19,'Designer Shutter Data'!$GD$73, IF(P22='Designer Shutter Data'!$GC$20,'Designer Shutter Data'!$GE$88, IF(P22='Designer Shutter Data'!$GC$21,'Designer Shutter Data'!$GH$37,IF(P22='Designer Shutter Data'!$GC$22,'Designer Shutter Data'!$GJ$25,IF(P22='Designer Shutter Data'!$GC$23,'Designer Shutter Data'!$GL$25)))))))))))))))))))))))</f>
        <v>0</v>
      </c>
      <c r="DM22" s="118" t="b">
        <f>IF(P22='Designer Shutter Data'!$GC$2,'Designer Shutter Data'!$GD$47,IF(P22='Designer Shutter Data'!$GC$3,'Designer Shutter Data'!$GE$47,IF(P22='Designer Shutter Data'!$GC$4,'Designer Shutter Data'!$GF$47,IF(P22='Designer Shutter Data'!$GC$5,'Designer Shutter Data'!$GG$47,IF(P22='Designer Shutter Data'!$GC$6,'Designer Shutter Data'!$GH$47,IF(P22='Designer Shutter Data'!$GC$7,'Designer Shutter Data'!$GI$47,IF(P22='Designer Shutter Data'!$GC$8,'Designer Shutter Data'!$GJ$47,IF(P22='Designer Shutter Data'!$GC$9,'Designer Shutter Data'!$GK$47,IF(P22='Designer Shutter Data'!$GC$10,'Designer Shutter Data'!$GL$47,IF(P22='Designer Shutter Data'!$GC$11,'Designer Shutter Data'!$GM$47,IF(P22='Designer Shutter Data'!$GC$12,'Designer Shutter Data'!$GN$47,IF(P22='Designer Shutter Data'!$GC$13,'Designer Shutter Data'!$GO$47,IF(P22='Designer Shutter Data'!$GC$14,'Designer Shutter Data'!$GP$47, IF(P22='Designer Shutter Data'!$GC$19,'Designer Shutter Data'!$GD$73, IF(P22='Designer Shutter Data'!$GC$20,'Designer Shutter Data'!$GF$88, IF(M22='Designer Shutter Data'!$F$5,'Designer Shutter Data'!$GE$59, IF(M22='Designer Shutter Data'!$F$6,'Designer Shutter Data'!$GD$59, IF(P22='Designer Shutter Data'!$GC$21,'Designer Shutter Data'!$GF$59,IF(P22='Designer Shutter Data'!$GC$22,'Designer Shutter Data'!$GJ$47,IF(P22='Designer Shutter Data'!$GC$23,'Designer Shutter Data'!$GL$47))))))))))))))))))))</f>
        <v>0</v>
      </c>
      <c r="DN22" s="107" t="str">
        <f t="shared" si="45"/>
        <v/>
      </c>
      <c r="DO22" s="107" t="e">
        <f t="shared" si="46"/>
        <v>#N/A</v>
      </c>
      <c r="DP22" s="107" t="str">
        <f t="shared" si="30"/>
        <v>OK</v>
      </c>
      <c r="DQ22" s="107" t="str">
        <f t="shared" si="31"/>
        <v>OK</v>
      </c>
      <c r="DR22" s="107" t="str">
        <f t="shared" si="32"/>
        <v>OK</v>
      </c>
      <c r="DS22" s="107" t="str">
        <f t="shared" si="33"/>
        <v>OK</v>
      </c>
      <c r="DT22" s="7" t="b">
        <f>IF(E22='Designer Shutter Data'!$GV$2,'Designer Shutter Data'!$GW$2,IF(E22='Designer Shutter Data'!$GV$3,'Designer Shutter Data'!$GX$2,IF(E22='Designer Shutter Data'!$GV$4,'Designer Shutter Data'!$GY$2)))</f>
        <v>0</v>
      </c>
      <c r="DU22" s="40" t="e">
        <f>MATCH(E22,'Designer Shutter Data'!$HB$1:$HD$1,0)</f>
        <v>#N/A</v>
      </c>
      <c r="DV22" s="40" t="e">
        <f>MATCH(M22,'Designer Shutter Data'!$HA$2:$HA$8,0)</f>
        <v>#N/A</v>
      </c>
      <c r="DW22" s="11" t="e">
        <f>INDEX('Designer Shutter Data'!$HB$2:$HD$8,DV22,DU22)</f>
        <v>#N/A</v>
      </c>
      <c r="DX22" s="11" t="b">
        <f>IF(E22='Designer Shutter Data'!$IG$1,'Designer Shutter Data'!$IG$2,IF(E22='Designer Shutter Data'!$IH$1,'Designer Shutter Data'!$IH$2, IF(E22='Designer Shutter Data'!$II$1,'Designer Shutter Data'!$II$2)))</f>
        <v>0</v>
      </c>
      <c r="DY22" s="11" t="str">
        <f>IF(E22="MS",'Designer Shutter Data'!$BI$2,IF(G22='Designer Shutter Data'!$BJ$34,'Designer Shutter Data'!$BJ$35,'Designer Shutter Data'!$BJ$2))</f>
        <v>FauxwoodDesignerWindowType</v>
      </c>
      <c r="DZ22" s="118" t="b">
        <f>IF(M22='Designer Shutter Data'!$F$3,'Designer Shutter Data'!$GF$88, IF(M22='Designer Shutter Data'!$F$4,'Designer Shutter Data'!$GE$59, IF(M22='Designer Shutter Data'!$F$5,'Designer Shutter Data'!$GD$59, IF(M22='Designer Shutter Data'!$F$6,'Designer Shutter Data'!$GD$59, IF(M22='Designer Shutter Data'!$F$7,'Designer Shutter Data'!$GD$73)))))</f>
        <v>0</v>
      </c>
      <c r="EB22" s="6" t="b">
        <f>IF(M22='Designer Shutter Data'!$IT$2,'Designer Shutter Data'!$JA$2, IF(M22='Designer Shutter Data'!$IT$3,'Designer Shutter Data'!$JC$2, IF(M22='Designer Shutter Data'!$IT$4,'Designer Shutter Data'!$JE$2, IF(M22='Designer Shutter Data'!$IT$5,'Designer Shutter Data'!$JG$2, IF(M22='Designer Shutter Data'!$IT$6,'Designer Shutter Data'!$JI$2, IF(M22='Designer Shutter Data'!$IT$7,'Designer Shutter Data'!$JZ$2, IF(M22='Designer Shutter Data'!$IT$8,'Designer Shutter Data'!$JI$16)))))))</f>
        <v>0</v>
      </c>
      <c r="EC22" s="6" t="str">
        <f t="shared" si="34"/>
        <v>NoHighlight</v>
      </c>
      <c r="ED22" s="7" t="e">
        <f>VLOOKUP(M22,'Designer Shutter Data'!$JW$5:$JX$10,2,FALSE)</f>
        <v>#N/A</v>
      </c>
      <c r="EE22" s="7" t="e">
        <f t="shared" si="35"/>
        <v>#N/A</v>
      </c>
      <c r="EF22" s="118" t="e">
        <f>VLOOKUP(O22,'Designer Shutter Data'!$AO$3:$AQ$171,1,FALSE)</f>
        <v>#N/A</v>
      </c>
      <c r="EG22" s="7" t="e">
        <f t="shared" si="36"/>
        <v>#N/A</v>
      </c>
      <c r="EH22" s="6" t="str">
        <f t="shared" si="37"/>
        <v/>
      </c>
      <c r="EJ22" s="40" t="e">
        <f>MATCH(M22,'Designer Shutter Data'!$KD$1:$KI$1,0)</f>
        <v>#N/A</v>
      </c>
      <c r="EK22" s="40" t="e">
        <f>MATCH(P22,'Designer Shutter Data'!$KC$2:$KC$21,0)</f>
        <v>#N/A</v>
      </c>
      <c r="EL22" s="136" t="e">
        <f>INDEX('Designer Shutter Data'!$KD$2:$KI$21,EK22,EJ22)</f>
        <v>#N/A</v>
      </c>
      <c r="EP22" s="6" t="str">
        <f>IF(AC22&lt;&gt;$EO$4,'Designer Shutter Data'!$BR$2,'Designer Shutter Data'!$BR$9)</f>
        <v>Fluffy_Strip_Fauxwood</v>
      </c>
      <c r="ER22" s="6" t="str">
        <f>IF(G22='Designer Shutter Data'!$E$26,'Designer Shutter Data'!$E$27,IF(G22='Designer Shutter Data'!$E$37,'Designer Shutter Data'!$E$38,'Designer Shutter Data'!$E$2))</f>
        <v>FauxwoodDesignerBladeSize</v>
      </c>
      <c r="ET22" s="6" t="str">
        <f t="shared" si="47"/>
        <v>Stile T Post</v>
      </c>
      <c r="EW22" s="40" t="e">
        <f>MATCH(G22,'Designer Shutter Data'!$AV$27:$AV$30,0)</f>
        <v>#N/A</v>
      </c>
      <c r="EX22" s="40" t="e">
        <f>MATCH(AC22,'Designer Shutter Data'!$AW$26:$AX$26,0)</f>
        <v>#N/A</v>
      </c>
      <c r="EY22" s="136" t="e">
        <f>INDEX('Designer Shutter Data'!$AW$27:$AX$30,EW22,EX22)</f>
        <v>#N/A</v>
      </c>
      <c r="EZ22" s="6" t="str">
        <f>IF(G22='Designer Shutter Data'!$S$15,'Designer Shutter Data'!$S$16, IF(G22=$FB$7,'Designer Shutter Data'!$T$15,'Designer Shutter Data'!$S$2))</f>
        <v>FauxwoodDesignerTiltrod</v>
      </c>
      <c r="FA22" s="6" t="e">
        <f>IF(G22=$FB$7,"No",VLOOKUP(L22,'Designer Shutter Data'!$BJ$62:$BK$75,2,FALSE))</f>
        <v>#N/A</v>
      </c>
      <c r="FB22" s="6" t="e">
        <f>IF(FA22="Yes", 'Designer Shutter Data'!$T$2,IF(G22=$FB$7,'Designer Shutter Data'!$T$15,'Designer Shutters Page 1'!EZ22))</f>
        <v>#N/A</v>
      </c>
      <c r="FC22" s="6" t="e">
        <f>MATCH(G22,'Designer Shutter Data'!$IG$15:$IJ$15,0)</f>
        <v>#N/A</v>
      </c>
      <c r="FD22" s="6" t="e">
        <f>MATCH(E22,'Designer Shutter Data'!$IF$16:$IF$18,0)</f>
        <v>#N/A</v>
      </c>
      <c r="FE22" s="6" t="e">
        <f>INDEX('Designer Shutter Data'!$IG$16:$IJ$18, 'Designer Shutters Page 1'!FD22, 'Designer Shutters Page 1'!FC22)</f>
        <v>#N/A</v>
      </c>
      <c r="FH22" s="6" t="str">
        <f t="shared" si="48"/>
        <v>SlidingSystemNA</v>
      </c>
      <c r="FJ22" s="6" t="e">
        <f>VLOOKUP(O22,'Designer Shutter Data'!$KP$2:$KR$44,3,FALSE)</f>
        <v>#N/A</v>
      </c>
      <c r="FL22" s="11" t="b">
        <f>IF(N22=$FL$7,'Designer Shutter Data'!$GH$98,DM22)</f>
        <v>0</v>
      </c>
    </row>
    <row r="23" spans="1:168" ht="36.75" customHeight="1" thickBot="1" x14ac:dyDescent="0.25">
      <c r="A23" s="52">
        <v>15</v>
      </c>
      <c r="B23" s="53"/>
      <c r="C23" s="55"/>
      <c r="D23" s="55"/>
      <c r="E23" s="55"/>
      <c r="F23" s="54"/>
      <c r="G23" s="53"/>
      <c r="H23" s="249"/>
      <c r="I23" s="250"/>
      <c r="J23" s="55"/>
      <c r="K23" s="56"/>
      <c r="L23" s="56"/>
      <c r="M23" s="56"/>
      <c r="N23" s="56"/>
      <c r="O23" s="56"/>
      <c r="P23" s="251"/>
      <c r="Q23" s="251"/>
      <c r="R23" s="53"/>
      <c r="S23" s="53"/>
      <c r="T23" s="53"/>
      <c r="U23" s="53"/>
      <c r="V23" s="56"/>
      <c r="W23" s="56"/>
      <c r="X23" s="53"/>
      <c r="Y23" s="57"/>
      <c r="Z23" s="58"/>
      <c r="AA23" s="58"/>
      <c r="AB23" s="58"/>
      <c r="AC23" s="55"/>
      <c r="AD23" s="55"/>
      <c r="AE23" s="59" t="str">
        <f t="shared" si="0"/>
        <v/>
      </c>
      <c r="AI23" s="6">
        <f t="shared" si="38"/>
        <v>0</v>
      </c>
      <c r="AJ23" s="6">
        <f t="shared" si="39"/>
        <v>0</v>
      </c>
      <c r="AK23" s="6">
        <f>IF(O23&lt;&gt;"",VLOOKUP(O23,'Designer Shutter Data'!$KP$2:$KQ$44,2,FALSE),0)</f>
        <v>0</v>
      </c>
      <c r="AT23" s="101" t="str">
        <f t="shared" si="1"/>
        <v/>
      </c>
      <c r="AV23" s="6" t="str">
        <f>IF(G23=$AV$7,'Designer Shutter Data'!$D$38,'Designer Shutter Data'!$D$2)</f>
        <v>FauxwoodDesignerColour</v>
      </c>
      <c r="AW23" s="130" t="e">
        <f t="shared" si="40"/>
        <v>#N/A</v>
      </c>
      <c r="AX23" s="130" t="e">
        <f>VLOOKUP(M23,'Designer Shutter Data'!$JK$2:$JL$7,2,FALSE)</f>
        <v>#N/A</v>
      </c>
      <c r="AY23" s="60" t="b">
        <v>0</v>
      </c>
      <c r="AZ23" s="38" t="str">
        <f t="shared" si="2"/>
        <v>No</v>
      </c>
      <c r="BA23" s="60" t="e">
        <f t="shared" si="3"/>
        <v>#DIV/0!</v>
      </c>
      <c r="BB23" s="60" t="e">
        <f t="shared" si="4"/>
        <v>#DIV/0!</v>
      </c>
      <c r="BC23" s="60" t="e">
        <f t="shared" si="5"/>
        <v>#DIV/0!</v>
      </c>
      <c r="BD23" s="38" t="str">
        <f t="shared" si="6"/>
        <v>No</v>
      </c>
      <c r="BE23" s="60" t="e">
        <f>IF(OR(AND(C23&gt;0,#REF!="")), "Required","NotRequired")</f>
        <v>#REF!</v>
      </c>
      <c r="BF23" s="60" t="b">
        <v>0</v>
      </c>
      <c r="BG23" s="60" t="e">
        <f t="shared" si="41"/>
        <v>#DIV/0!</v>
      </c>
      <c r="BH23" s="39" t="str">
        <f t="shared" si="7"/>
        <v>NoHighlight</v>
      </c>
      <c r="BI23" s="60" t="str">
        <f t="shared" si="8"/>
        <v>FauxwoodRPNo</v>
      </c>
      <c r="BJ23" s="110" t="str">
        <f>IF(SUM(--ISNUMBER(SEARCH({"t","T"}, O23))),"Yes","No")</f>
        <v>No</v>
      </c>
      <c r="BK23" s="127" t="str">
        <f t="shared" si="9"/>
        <v>OK</v>
      </c>
      <c r="BL23" s="127" t="str">
        <f t="shared" si="10"/>
        <v>OK</v>
      </c>
      <c r="BM23" s="127" t="str">
        <f t="shared" si="11"/>
        <v>OK</v>
      </c>
      <c r="BN23" s="61" t="str">
        <f t="shared" si="12"/>
        <v>OK</v>
      </c>
      <c r="BO23" s="61" t="str">
        <f t="shared" si="13"/>
        <v>FauxwoodAINo</v>
      </c>
      <c r="BP23" s="61" t="str">
        <f>IF(SUM(--ISNUMBER(SEARCH({"combo","Combo","COMBO"}, B40))),"Yes","No")</f>
        <v>No</v>
      </c>
      <c r="BQ23" s="61" t="str">
        <f t="shared" si="42"/>
        <v>No</v>
      </c>
      <c r="BR23" s="61" t="str">
        <f>IF(SUM(--ISNUMBER(SEARCH({"c","C","b","B"}, L23))),"Yes","No")</f>
        <v>No</v>
      </c>
      <c r="BS23" s="11">
        <f t="shared" si="14"/>
        <v>0</v>
      </c>
      <c r="BT23" s="63" t="s">
        <v>820</v>
      </c>
      <c r="BU23" s="63" t="s">
        <v>820</v>
      </c>
      <c r="BV23" s="62">
        <f t="shared" si="15"/>
        <v>0</v>
      </c>
      <c r="BW23" s="62">
        <f t="shared" si="16"/>
        <v>0</v>
      </c>
      <c r="BX23" s="63" t="e">
        <f t="shared" si="17"/>
        <v>#DIV/0!</v>
      </c>
      <c r="BY23" s="11" t="b">
        <v>0</v>
      </c>
      <c r="BZ23" s="63" t="b">
        <v>0</v>
      </c>
      <c r="CA23" s="63" t="e">
        <v>#REF!</v>
      </c>
      <c r="CB23" s="63" t="s">
        <v>82</v>
      </c>
      <c r="CC23" s="63" t="e">
        <f t="shared" si="18"/>
        <v>#DIV/0!</v>
      </c>
      <c r="CD23" s="11" t="e">
        <f>VLOOKUP(P23,'Designer Shutter Data'!$H$3:$I$19,2,FALSE)</f>
        <v>#N/A</v>
      </c>
      <c r="CE23" s="63" t="s">
        <v>820</v>
      </c>
      <c r="CF23" s="63" t="str">
        <f>IF(SUM(--ISNUMBER(SEARCH({"z","Z"}, P23))),"Yes","No")</f>
        <v>No</v>
      </c>
      <c r="CG23" s="63" t="str">
        <f t="shared" si="19"/>
        <v>OK</v>
      </c>
      <c r="CH23" s="11">
        <f t="shared" si="20"/>
        <v>0</v>
      </c>
      <c r="CI23" s="120" t="e">
        <f>IF(O23="N/A","N/A",VLOOKUP(O23,'Designer Shutter Data'!$AO$3:$AP$171,2,FALSE))</f>
        <v>#N/A</v>
      </c>
      <c r="CJ23" s="120" t="e">
        <f t="shared" si="21"/>
        <v>#N/A</v>
      </c>
      <c r="CK23" s="62"/>
      <c r="CL23" s="62"/>
      <c r="CM23" s="62"/>
      <c r="CN23" s="41" t="str">
        <f t="shared" si="22"/>
        <v>OK</v>
      </c>
      <c r="CO23" s="129" t="b">
        <f t="shared" si="23"/>
        <v>0</v>
      </c>
      <c r="CP23" s="129" t="b">
        <f t="shared" si="24"/>
        <v>0</v>
      </c>
      <c r="CQ23" s="40">
        <f t="shared" si="25"/>
        <v>0</v>
      </c>
      <c r="CR23" s="133">
        <f t="shared" si="26"/>
        <v>0</v>
      </c>
      <c r="CS23" s="40">
        <f t="shared" si="43"/>
        <v>0</v>
      </c>
      <c r="CT23" s="133" t="e">
        <f t="shared" si="27"/>
        <v>#N/A</v>
      </c>
      <c r="CU23" s="63" t="b">
        <v>0</v>
      </c>
      <c r="CV23" s="63" t="b">
        <v>0</v>
      </c>
      <c r="CW23" s="63" t="b">
        <v>0</v>
      </c>
      <c r="CX23" s="63" t="b">
        <v>0</v>
      </c>
      <c r="CY23" s="62" t="e">
        <f>IF(OR(AND(#REF!&gt;0,#REF!="")), "Error","OK")</f>
        <v>#REF!</v>
      </c>
      <c r="CZ23" s="11" t="e">
        <v>#REF!</v>
      </c>
      <c r="DA23" s="6" t="str">
        <f t="shared" si="28"/>
        <v/>
      </c>
      <c r="DD23" s="6" t="s">
        <v>84</v>
      </c>
      <c r="DE23" s="6" t="b">
        <f>IF(M23='Designer Shutter Data'!$F$3,'Designer Shutter Data'!$FY$7,IF(M23='Designer Shutter Data'!$F$4,'Designer Shutter Data'!$FZ$2,IF(M23='Designer Shutter Data'!$F$5,FJ23, IF(M23='Designer Shutter Data'!$F$6,'Designer Shutter Data'!$GA$2,IF(M23='Designer Shutter Data'!$F$7,'Designer Shutter Data'!$FY$2, IF(M23='Designer Shutter Data'!$F$8,'Designer Shutter Data'!$FZ$7, IF(M23='Designer Shutter Data'!$F$14,'Designer Shutter Data'!$FZ$14)))))))</f>
        <v>0</v>
      </c>
      <c r="DF23" s="6" t="e">
        <f>VLOOKUP(M23,'Designer Shutter Data'!$M$2:$N$8,2,FALSE)</f>
        <v>#N/A</v>
      </c>
      <c r="DH23" s="123" t="e">
        <f>VLOOKUP(O23,'Designer Shutter Data'!$IN$2:$IO$169,2,FALSE)</f>
        <v>#N/A</v>
      </c>
      <c r="DI23" s="103" t="e">
        <f t="shared" si="29"/>
        <v>#N/A</v>
      </c>
      <c r="DJ23" s="103" t="e">
        <f t="shared" si="44"/>
        <v>#N/A</v>
      </c>
      <c r="DK23" s="7" t="b">
        <f>IF(P23='Designer Shutter Data'!$GC$2,'Designer Shutter Data'!$GD$2,IF(P23='Designer Shutter Data'!$GC$3,'Designer Shutter Data'!$GE$2,IF(P23='Designer Shutter Data'!$GC$4,'Designer Shutter Data'!$GF$2,IF(P23='Designer Shutter Data'!$GC$5,'Designer Shutter Data'!$GG$2,IF(P23='Designer Shutter Data'!$GC$6,'Designer Shutter Data'!$GH$2,IF(P23='Designer Shutter Data'!$GC$7,'Designer Shutter Data'!$GI$2,IF(P23='Designer Shutter Data'!$GC$8,'Designer Shutter Data'!$GJ$2,IF(P23='Designer Shutter Data'!$GC$9,'Designer Shutter Data'!$GK$2,IF(P23='Designer Shutter Data'!$GC$10,'Designer Shutter Data'!$GL$2,IF(P23='Designer Shutter Data'!$GC$11,'Designer Shutter Data'!$GM$2,IF(P23='Designer Shutter Data'!$GC$12,'Designer Shutter Data'!$GN$2,IF(P23='Designer Shutter Data'!$GC$13,'Designer Shutter Data'!$GO$2,IF(P23='Designer Shutter Data'!$GC$14,'Designer Shutter Data'!$GP$2,IF(P23='Designer Shutter Data'!$GC$15,'Designer Shutter Data'!$GD$15,IF(P23='Designer Shutter Data'!$GC$16,'Designer Shutter Data'!$GE$15,IF(P23='Designer Shutter Data'!$GC$17,'Designer Shutter Data'!$GF$15,IF(P23='Designer Shutter Data'!$GC$18,'Designer Shutter Data'!$GG$15,IF(P23='Designer Shutter Data'!$GC$19,'Designer Shutter Data'!$GD$73,IF(P23='Designer Shutter Data'!$GC$20,'Designer Shutter Data'!$GD$88, IF(P23='Designer Shutter Data'!$GC$21,'Designer Shutter Data'!$GH$15, IF(P23='Designer Shutter Data'!$GC$22,'Designer Shutter Data'!$GJ$2, IF(P23='Designer Shutter Data'!$GC$23,'Designer Shutter Data'!$GL$2))))))))))))))))))))))</f>
        <v>0</v>
      </c>
      <c r="DL23" s="7" t="b">
        <f>IF(P23='Designer Shutter Data'!$GC$2,'Designer Shutter Data'!$GD$25,IF(P23='Designer Shutter Data'!$GC$3,'Designer Shutter Data'!$GE$25,IF(P23='Designer Shutter Data'!$GC$4,'Designer Shutter Data'!$GF$25,IF(P23='Designer Shutter Data'!$GC$5,'Designer Shutter Data'!$GG$25,IF(P23='Designer Shutter Data'!$GC$6,'Designer Shutter Data'!$GH$25,IF(P23='Designer Shutter Data'!$GC$7,'Designer Shutter Data'!$GI$25,IF(P23='Designer Shutter Data'!$GC$8,'Designer Shutter Data'!$GJ$25,IF(P23='Designer Shutter Data'!$GC$9,'Designer Shutter Data'!$GK$25,IF(P23='Designer Shutter Data'!$GC$10,'Designer Shutter Data'!$GL$25,IF(P23='Designer Shutter Data'!$GC$11,'Designer Shutter Data'!$GM$25,IF(P23='Designer Shutter Data'!$GC$12,'Designer Shutter Data'!$GN$25,IF(P23='Designer Shutter Data'!$GC$13,'Designer Shutter Data'!$GO$25,IF(P23='Designer Shutter Data'!$GC$14,'Designer Shutter Data'!$GP$25,IF(P23='Designer Shutter Data'!$GC$15,'Designer Shutter Data'!$GD$37,IF(P23='Designer Shutter Data'!$GC$15,'Designer Shutter Data'!$GD$37,IF(P23='Designer Shutter Data'!$GC$16,'Designer Shutter Data'!$GE$37,IF(P23='Designer Shutter Data'!$GC$17,'Designer Shutter Data'!$GF$37,IF(P23='Designer Shutter Data'!$GC$18,'Designer Shutter Data'!$GG$37, IF(P23='Designer Shutter Data'!$GC$19,'Designer Shutter Data'!$GD$73, IF(P23='Designer Shutter Data'!$GC$20,'Designer Shutter Data'!$GE$88, IF(P23='Designer Shutter Data'!$GC$21,'Designer Shutter Data'!$GH$37,IF(P23='Designer Shutter Data'!$GC$22,'Designer Shutter Data'!$GJ$25,IF(P23='Designer Shutter Data'!$GC$23,'Designer Shutter Data'!$GL$25)))))))))))))))))))))))</f>
        <v>0</v>
      </c>
      <c r="DM23" s="118" t="b">
        <f>IF(P23='Designer Shutter Data'!$GC$2,'Designer Shutter Data'!$GD$47,IF(P23='Designer Shutter Data'!$GC$3,'Designer Shutter Data'!$GE$47,IF(P23='Designer Shutter Data'!$GC$4,'Designer Shutter Data'!$GF$47,IF(P23='Designer Shutter Data'!$GC$5,'Designer Shutter Data'!$GG$47,IF(P23='Designer Shutter Data'!$GC$6,'Designer Shutter Data'!$GH$47,IF(P23='Designer Shutter Data'!$GC$7,'Designer Shutter Data'!$GI$47,IF(P23='Designer Shutter Data'!$GC$8,'Designer Shutter Data'!$GJ$47,IF(P23='Designer Shutter Data'!$GC$9,'Designer Shutter Data'!$GK$47,IF(P23='Designer Shutter Data'!$GC$10,'Designer Shutter Data'!$GL$47,IF(P23='Designer Shutter Data'!$GC$11,'Designer Shutter Data'!$GM$47,IF(P23='Designer Shutter Data'!$GC$12,'Designer Shutter Data'!$GN$47,IF(P23='Designer Shutter Data'!$GC$13,'Designer Shutter Data'!$GO$47,IF(P23='Designer Shutter Data'!$GC$14,'Designer Shutter Data'!$GP$47, IF(P23='Designer Shutter Data'!$GC$19,'Designer Shutter Data'!$GD$73, IF(P23='Designer Shutter Data'!$GC$20,'Designer Shutter Data'!$GF$88, IF(M23='Designer Shutter Data'!$F$5,'Designer Shutter Data'!$GE$59, IF(M23='Designer Shutter Data'!$F$6,'Designer Shutter Data'!$GD$59, IF(P23='Designer Shutter Data'!$GC$21,'Designer Shutter Data'!$GF$59,IF(P23='Designer Shutter Data'!$GC$22,'Designer Shutter Data'!$GJ$47,IF(P23='Designer Shutter Data'!$GC$23,'Designer Shutter Data'!$GL$47))))))))))))))))))))</f>
        <v>0</v>
      </c>
      <c r="DN23" s="107" t="str">
        <f t="shared" si="45"/>
        <v/>
      </c>
      <c r="DO23" s="107" t="e">
        <f t="shared" si="46"/>
        <v>#N/A</v>
      </c>
      <c r="DP23" s="107" t="str">
        <f t="shared" si="30"/>
        <v>OK</v>
      </c>
      <c r="DQ23" s="107" t="str">
        <f t="shared" si="31"/>
        <v>OK</v>
      </c>
      <c r="DR23" s="107" t="str">
        <f t="shared" si="32"/>
        <v>OK</v>
      </c>
      <c r="DS23" s="107" t="str">
        <f t="shared" si="33"/>
        <v>OK</v>
      </c>
      <c r="DT23" s="7" t="b">
        <f>IF(E23='Designer Shutter Data'!$GV$2,'Designer Shutter Data'!$GW$2,IF(E23='Designer Shutter Data'!$GV$3,'Designer Shutter Data'!$GX$2,IF(E23='Designer Shutter Data'!$GV$4,'Designer Shutter Data'!$GY$2)))</f>
        <v>0</v>
      </c>
      <c r="DU23" s="40" t="e">
        <f>MATCH(E23,'Designer Shutter Data'!$HB$1:$HD$1,0)</f>
        <v>#N/A</v>
      </c>
      <c r="DV23" s="40" t="e">
        <f>MATCH(M23,'Designer Shutter Data'!$HA$2:$HA$8,0)</f>
        <v>#N/A</v>
      </c>
      <c r="DW23" s="11" t="e">
        <f>INDEX('Designer Shutter Data'!$HB$2:$HD$8,DV23,DU23)</f>
        <v>#N/A</v>
      </c>
      <c r="DX23" s="11" t="b">
        <f>IF(E23='Designer Shutter Data'!$IG$1,'Designer Shutter Data'!$IG$2,IF(E23='Designer Shutter Data'!$IH$1,'Designer Shutter Data'!$IH$2, IF(E23='Designer Shutter Data'!$II$1,'Designer Shutter Data'!$II$2)))</f>
        <v>0</v>
      </c>
      <c r="DY23" s="11" t="str">
        <f>IF(E23="MS",'Designer Shutter Data'!$BI$2,IF(G23='Designer Shutter Data'!$BJ$34,'Designer Shutter Data'!$BJ$35,'Designer Shutter Data'!$BJ$2))</f>
        <v>FauxwoodDesignerWindowType</v>
      </c>
      <c r="DZ23" s="118" t="b">
        <f>IF(M23='Designer Shutter Data'!$F$3,'Designer Shutter Data'!$GF$88, IF(M23='Designer Shutter Data'!$F$4,'Designer Shutter Data'!$GE$59, IF(M23='Designer Shutter Data'!$F$5,'Designer Shutter Data'!$GD$59, IF(M23='Designer Shutter Data'!$F$6,'Designer Shutter Data'!$GD$59, IF(M23='Designer Shutter Data'!$F$7,'Designer Shutter Data'!$GD$73)))))</f>
        <v>0</v>
      </c>
      <c r="EB23" s="6" t="b">
        <f>IF(M23='Designer Shutter Data'!$IT$2,'Designer Shutter Data'!$JA$2, IF(M23='Designer Shutter Data'!$IT$3,'Designer Shutter Data'!$JC$2, IF(M23='Designer Shutter Data'!$IT$4,'Designer Shutter Data'!$JE$2, IF(M23='Designer Shutter Data'!$IT$5,'Designer Shutter Data'!$JG$2, IF(M23='Designer Shutter Data'!$IT$6,'Designer Shutter Data'!$JI$2, IF(M23='Designer Shutter Data'!$IT$7,'Designer Shutter Data'!$JZ$2, IF(M23='Designer Shutter Data'!$IT$8,'Designer Shutter Data'!$JI$16)))))))</f>
        <v>0</v>
      </c>
      <c r="EC23" s="6" t="str">
        <f t="shared" si="34"/>
        <v>NoHighlight</v>
      </c>
      <c r="ED23" s="7" t="e">
        <f>VLOOKUP(M23,'Designer Shutter Data'!$JW$5:$JX$10,2,FALSE)</f>
        <v>#N/A</v>
      </c>
      <c r="EE23" s="7" t="e">
        <f t="shared" si="35"/>
        <v>#N/A</v>
      </c>
      <c r="EF23" s="118" t="e">
        <f>VLOOKUP(O23,'Designer Shutter Data'!$AO$3:$AQ$171,1,FALSE)</f>
        <v>#N/A</v>
      </c>
      <c r="EG23" s="7" t="e">
        <f t="shared" si="36"/>
        <v>#N/A</v>
      </c>
      <c r="EH23" s="6" t="str">
        <f t="shared" si="37"/>
        <v/>
      </c>
      <c r="EJ23" s="40" t="e">
        <f>MATCH(M23,'Designer Shutter Data'!$KD$1:$KI$1,0)</f>
        <v>#N/A</v>
      </c>
      <c r="EK23" s="40" t="e">
        <f>MATCH(P23,'Designer Shutter Data'!$KC$2:$KC$21,0)</f>
        <v>#N/A</v>
      </c>
      <c r="EL23" s="136" t="e">
        <f>INDEX('Designer Shutter Data'!$KD$2:$KI$21,EK23,EJ23)</f>
        <v>#N/A</v>
      </c>
      <c r="EP23" s="6" t="str">
        <f>IF(AC23&lt;&gt;$EO$4,'Designer Shutter Data'!$BR$2,'Designer Shutter Data'!$BR$9)</f>
        <v>Fluffy_Strip_Fauxwood</v>
      </c>
      <c r="ER23" s="6" t="str">
        <f>IF(G23='Designer Shutter Data'!$E$26,'Designer Shutter Data'!$E$27,IF(G23='Designer Shutter Data'!$E$37,'Designer Shutter Data'!$E$38,'Designer Shutter Data'!$E$2))</f>
        <v>FauxwoodDesignerBladeSize</v>
      </c>
      <c r="ET23" s="6" t="str">
        <f t="shared" si="47"/>
        <v>Stile T Post</v>
      </c>
      <c r="EW23" s="40" t="e">
        <f>MATCH(G23,'Designer Shutter Data'!$AV$27:$AV$30,0)</f>
        <v>#N/A</v>
      </c>
      <c r="EX23" s="40" t="e">
        <f>MATCH(AC23,'Designer Shutter Data'!$AW$26:$AX$26,0)</f>
        <v>#N/A</v>
      </c>
      <c r="EY23" s="136" t="e">
        <f>INDEX('Designer Shutter Data'!$AW$27:$AX$30,EW23,EX23)</f>
        <v>#N/A</v>
      </c>
      <c r="EZ23" s="6" t="str">
        <f>IF(G23='Designer Shutter Data'!$S$15,'Designer Shutter Data'!$S$16, IF(G23=$FB$7,'Designer Shutter Data'!$T$15,'Designer Shutter Data'!$S$2))</f>
        <v>FauxwoodDesignerTiltrod</v>
      </c>
      <c r="FA23" s="6" t="e">
        <f>IF(G23=$FB$7,"No",VLOOKUP(L23,'Designer Shutter Data'!$BJ$62:$BK$75,2,FALSE))</f>
        <v>#N/A</v>
      </c>
      <c r="FB23" s="6" t="e">
        <f>IF(FA23="Yes", 'Designer Shutter Data'!$T$2,IF(G23=$FB$7,'Designer Shutter Data'!$T$15,'Designer Shutters Page 1'!EZ23))</f>
        <v>#N/A</v>
      </c>
      <c r="FC23" s="6" t="e">
        <f>MATCH(G23,'Designer Shutter Data'!$IG$15:$IJ$15,0)</f>
        <v>#N/A</v>
      </c>
      <c r="FD23" s="6" t="e">
        <f>MATCH(E23,'Designer Shutter Data'!$IF$16:$IF$18,0)</f>
        <v>#N/A</v>
      </c>
      <c r="FE23" s="6" t="e">
        <f>INDEX('Designer Shutter Data'!$IG$16:$IJ$18, 'Designer Shutters Page 1'!FD23, 'Designer Shutters Page 1'!FC23)</f>
        <v>#N/A</v>
      </c>
      <c r="FH23" s="6" t="str">
        <f t="shared" si="48"/>
        <v>SlidingSystemNA</v>
      </c>
      <c r="FJ23" s="6" t="e">
        <f>VLOOKUP(O23,'Designer Shutter Data'!$KP$2:$KR$44,3,FALSE)</f>
        <v>#N/A</v>
      </c>
      <c r="FL23" s="11" t="b">
        <f>IF(N23=$FL$7,'Designer Shutter Data'!$GH$98,DM23)</f>
        <v>0</v>
      </c>
    </row>
    <row r="24" spans="1:168" ht="18.75" customHeight="1" thickTop="1" thickBot="1" x14ac:dyDescent="0.25">
      <c r="A24" s="229"/>
      <c r="B24" s="229"/>
      <c r="K24" s="64"/>
      <c r="L24" s="64"/>
      <c r="M24" s="65"/>
      <c r="N24" s="65"/>
      <c r="O24" s="65"/>
      <c r="P24" s="65"/>
      <c r="Q24" s="65"/>
      <c r="R24" s="66"/>
      <c r="AI24" s="6">
        <f>SUM(AI9:AI23)</f>
        <v>0</v>
      </c>
      <c r="AJ24" s="6">
        <f>SUM(AJ9:AJ23)</f>
        <v>0</v>
      </c>
      <c r="AK24" s="6">
        <f>SUM(AI24:AJ24)</f>
        <v>0</v>
      </c>
      <c r="AT24" s="64"/>
      <c r="DJ24" s="103" t="str">
        <f>IF(COUNTIF(DJ9:DJ23,'Designer Shutter Data'!HW2),"Layout Code &amp; T Post Quantity Issue","")</f>
        <v/>
      </c>
    </row>
    <row r="25" spans="1:168" ht="32.25" customHeight="1" thickTop="1" thickBot="1" x14ac:dyDescent="0.25">
      <c r="A25" s="67" t="s">
        <v>408</v>
      </c>
      <c r="B25" s="162" t="s">
        <v>489</v>
      </c>
      <c r="C25" s="163"/>
      <c r="D25" s="163"/>
      <c r="E25" s="164"/>
      <c r="F25" s="230" t="s">
        <v>490</v>
      </c>
      <c r="G25" s="230"/>
      <c r="H25" s="230"/>
      <c r="I25" s="230"/>
      <c r="J25" s="230"/>
      <c r="K25" s="162" t="s">
        <v>491</v>
      </c>
      <c r="L25" s="163"/>
      <c r="M25" s="164"/>
      <c r="N25" s="162" t="s">
        <v>492</v>
      </c>
      <c r="O25" s="163"/>
      <c r="P25" s="163"/>
      <c r="Q25" s="163"/>
      <c r="R25" s="163"/>
      <c r="S25" s="163"/>
      <c r="T25" s="164"/>
      <c r="U25" s="231" t="s">
        <v>493</v>
      </c>
      <c r="V25" s="231"/>
      <c r="W25" s="231"/>
      <c r="X25" s="231"/>
      <c r="Y25" s="231"/>
      <c r="Z25" s="231"/>
      <c r="AA25" s="231"/>
      <c r="AB25" s="231"/>
      <c r="AC25" s="232"/>
      <c r="AD25" s="232"/>
      <c r="AE25" s="233"/>
      <c r="AF25" s="68"/>
    </row>
    <row r="26" spans="1:168" ht="18" customHeight="1" thickTop="1" x14ac:dyDescent="0.2">
      <c r="A26" s="69">
        <v>1</v>
      </c>
      <c r="B26" s="237"/>
      <c r="C26" s="237"/>
      <c r="D26" s="237"/>
      <c r="E26" s="237"/>
      <c r="F26" s="252"/>
      <c r="G26" s="252"/>
      <c r="H26" s="252"/>
      <c r="I26" s="252"/>
      <c r="J26" s="253"/>
      <c r="K26" s="174"/>
      <c r="L26" s="175"/>
      <c r="M26" s="176"/>
      <c r="N26" s="174"/>
      <c r="O26" s="175"/>
      <c r="P26" s="175"/>
      <c r="Q26" s="175"/>
      <c r="R26" s="175"/>
      <c r="S26" s="175"/>
      <c r="T26" s="176"/>
      <c r="U26" s="238"/>
      <c r="V26" s="239"/>
      <c r="W26" s="239"/>
      <c r="X26" s="239"/>
      <c r="Y26" s="239"/>
      <c r="Z26" s="239"/>
      <c r="AA26" s="239"/>
      <c r="AB26" s="239"/>
      <c r="AC26" s="239"/>
      <c r="AD26" s="239"/>
      <c r="AE26" s="240"/>
      <c r="AF26" s="68"/>
      <c r="AY26" s="7" t="b">
        <v>0</v>
      </c>
    </row>
    <row r="27" spans="1:168" ht="18" customHeight="1" x14ac:dyDescent="0.2">
      <c r="A27" s="71">
        <v>2</v>
      </c>
      <c r="B27" s="247"/>
      <c r="C27" s="247"/>
      <c r="D27" s="247"/>
      <c r="E27" s="247"/>
      <c r="F27" s="248"/>
      <c r="G27" s="248"/>
      <c r="H27" s="248"/>
      <c r="I27" s="248"/>
      <c r="J27" s="165"/>
      <c r="K27" s="165"/>
      <c r="L27" s="166"/>
      <c r="M27" s="167"/>
      <c r="N27" s="165"/>
      <c r="O27" s="166"/>
      <c r="P27" s="166"/>
      <c r="Q27" s="166"/>
      <c r="R27" s="166"/>
      <c r="S27" s="166"/>
      <c r="T27" s="167"/>
      <c r="U27" s="241"/>
      <c r="V27" s="242"/>
      <c r="W27" s="242"/>
      <c r="X27" s="242"/>
      <c r="Y27" s="242"/>
      <c r="Z27" s="242"/>
      <c r="AA27" s="242"/>
      <c r="AB27" s="242"/>
      <c r="AC27" s="242"/>
      <c r="AD27" s="242"/>
      <c r="AE27" s="243"/>
      <c r="AF27" s="68"/>
      <c r="AY27" s="7" t="b">
        <v>0</v>
      </c>
    </row>
    <row r="28" spans="1:168" ht="18" customHeight="1" x14ac:dyDescent="0.2">
      <c r="A28" s="71">
        <v>3</v>
      </c>
      <c r="B28" s="247"/>
      <c r="C28" s="247"/>
      <c r="D28" s="247"/>
      <c r="E28" s="247"/>
      <c r="F28" s="248"/>
      <c r="G28" s="248"/>
      <c r="H28" s="248"/>
      <c r="I28" s="248"/>
      <c r="J28" s="165"/>
      <c r="K28" s="165"/>
      <c r="L28" s="166"/>
      <c r="M28" s="167"/>
      <c r="N28" s="165"/>
      <c r="O28" s="166"/>
      <c r="P28" s="166"/>
      <c r="Q28" s="166"/>
      <c r="R28" s="166"/>
      <c r="S28" s="166"/>
      <c r="T28" s="167"/>
      <c r="U28" s="241"/>
      <c r="V28" s="242"/>
      <c r="W28" s="242"/>
      <c r="X28" s="242"/>
      <c r="Y28" s="242"/>
      <c r="Z28" s="242"/>
      <c r="AA28" s="242"/>
      <c r="AB28" s="242"/>
      <c r="AC28" s="242"/>
      <c r="AD28" s="242"/>
      <c r="AE28" s="243"/>
      <c r="AF28" s="68"/>
      <c r="AY28" s="7" t="b">
        <v>0</v>
      </c>
    </row>
    <row r="29" spans="1:168" ht="18" customHeight="1" x14ac:dyDescent="0.2">
      <c r="A29" s="71">
        <v>4</v>
      </c>
      <c r="B29" s="247"/>
      <c r="C29" s="247"/>
      <c r="D29" s="247"/>
      <c r="E29" s="247"/>
      <c r="F29" s="248"/>
      <c r="G29" s="248"/>
      <c r="H29" s="248"/>
      <c r="I29" s="248"/>
      <c r="J29" s="165"/>
      <c r="K29" s="165"/>
      <c r="L29" s="166"/>
      <c r="M29" s="167"/>
      <c r="N29" s="165"/>
      <c r="O29" s="166"/>
      <c r="P29" s="166"/>
      <c r="Q29" s="166"/>
      <c r="R29" s="166"/>
      <c r="S29" s="166"/>
      <c r="T29" s="167"/>
      <c r="U29" s="241"/>
      <c r="V29" s="242"/>
      <c r="W29" s="242"/>
      <c r="X29" s="242"/>
      <c r="Y29" s="242"/>
      <c r="Z29" s="242"/>
      <c r="AA29" s="242"/>
      <c r="AB29" s="242"/>
      <c r="AC29" s="242"/>
      <c r="AD29" s="242"/>
      <c r="AE29" s="243"/>
      <c r="AF29" s="68"/>
      <c r="AY29" s="7" t="b">
        <v>0</v>
      </c>
    </row>
    <row r="30" spans="1:168" ht="18" customHeight="1" x14ac:dyDescent="0.2">
      <c r="A30" s="71">
        <v>5</v>
      </c>
      <c r="B30" s="247"/>
      <c r="C30" s="247"/>
      <c r="D30" s="247"/>
      <c r="E30" s="247"/>
      <c r="F30" s="248"/>
      <c r="G30" s="248"/>
      <c r="H30" s="248"/>
      <c r="I30" s="248"/>
      <c r="J30" s="165"/>
      <c r="K30" s="165"/>
      <c r="L30" s="166"/>
      <c r="M30" s="167"/>
      <c r="N30" s="165"/>
      <c r="O30" s="166"/>
      <c r="P30" s="166"/>
      <c r="Q30" s="166"/>
      <c r="R30" s="166"/>
      <c r="S30" s="166"/>
      <c r="T30" s="167"/>
      <c r="U30" s="241"/>
      <c r="V30" s="242"/>
      <c r="W30" s="242"/>
      <c r="X30" s="242"/>
      <c r="Y30" s="242"/>
      <c r="Z30" s="242"/>
      <c r="AA30" s="242"/>
      <c r="AB30" s="242"/>
      <c r="AC30" s="242"/>
      <c r="AD30" s="242"/>
      <c r="AE30" s="243"/>
      <c r="AF30" s="68"/>
      <c r="AY30" s="7" t="b">
        <v>0</v>
      </c>
    </row>
    <row r="31" spans="1:168" ht="18" customHeight="1" x14ac:dyDescent="0.2">
      <c r="A31" s="71">
        <v>6</v>
      </c>
      <c r="B31" s="247"/>
      <c r="C31" s="247"/>
      <c r="D31" s="247"/>
      <c r="E31" s="247"/>
      <c r="F31" s="248"/>
      <c r="G31" s="248"/>
      <c r="H31" s="248"/>
      <c r="I31" s="248"/>
      <c r="J31" s="165"/>
      <c r="K31" s="165"/>
      <c r="L31" s="166"/>
      <c r="M31" s="167"/>
      <c r="N31" s="165"/>
      <c r="O31" s="166"/>
      <c r="P31" s="166"/>
      <c r="Q31" s="166"/>
      <c r="R31" s="166"/>
      <c r="S31" s="166"/>
      <c r="T31" s="167"/>
      <c r="U31" s="241"/>
      <c r="V31" s="242"/>
      <c r="W31" s="242"/>
      <c r="X31" s="242"/>
      <c r="Y31" s="242"/>
      <c r="Z31" s="242"/>
      <c r="AA31" s="242"/>
      <c r="AB31" s="242"/>
      <c r="AC31" s="242"/>
      <c r="AD31" s="242"/>
      <c r="AE31" s="243"/>
      <c r="AF31" s="68"/>
      <c r="AY31" s="7" t="b">
        <v>0</v>
      </c>
    </row>
    <row r="32" spans="1:168" ht="18" customHeight="1" x14ac:dyDescent="0.2">
      <c r="A32" s="71">
        <v>7</v>
      </c>
      <c r="B32" s="247"/>
      <c r="C32" s="247"/>
      <c r="D32" s="247"/>
      <c r="E32" s="247"/>
      <c r="F32" s="248"/>
      <c r="G32" s="248"/>
      <c r="H32" s="248"/>
      <c r="I32" s="248"/>
      <c r="J32" s="165"/>
      <c r="K32" s="165"/>
      <c r="L32" s="166"/>
      <c r="M32" s="167"/>
      <c r="N32" s="165"/>
      <c r="O32" s="166"/>
      <c r="P32" s="166"/>
      <c r="Q32" s="166"/>
      <c r="R32" s="166"/>
      <c r="S32" s="166"/>
      <c r="T32" s="167"/>
      <c r="U32" s="241"/>
      <c r="V32" s="242"/>
      <c r="W32" s="242"/>
      <c r="X32" s="242"/>
      <c r="Y32" s="242"/>
      <c r="Z32" s="242"/>
      <c r="AA32" s="242"/>
      <c r="AB32" s="242"/>
      <c r="AC32" s="242"/>
      <c r="AD32" s="242"/>
      <c r="AE32" s="243"/>
      <c r="AF32" s="68"/>
      <c r="AY32" s="7" t="b">
        <v>0</v>
      </c>
    </row>
    <row r="33" spans="1:130" ht="18" customHeight="1" x14ac:dyDescent="0.2">
      <c r="A33" s="71">
        <v>8</v>
      </c>
      <c r="B33" s="247"/>
      <c r="C33" s="247"/>
      <c r="D33" s="247"/>
      <c r="E33" s="247"/>
      <c r="F33" s="248"/>
      <c r="G33" s="248"/>
      <c r="H33" s="248"/>
      <c r="I33" s="248"/>
      <c r="J33" s="165"/>
      <c r="K33" s="165"/>
      <c r="L33" s="166"/>
      <c r="M33" s="167"/>
      <c r="N33" s="165"/>
      <c r="O33" s="166"/>
      <c r="P33" s="166"/>
      <c r="Q33" s="166"/>
      <c r="R33" s="166"/>
      <c r="S33" s="166"/>
      <c r="T33" s="167"/>
      <c r="U33" s="241"/>
      <c r="V33" s="242"/>
      <c r="W33" s="242"/>
      <c r="X33" s="242"/>
      <c r="Y33" s="242"/>
      <c r="Z33" s="242"/>
      <c r="AA33" s="242"/>
      <c r="AB33" s="242"/>
      <c r="AC33" s="242"/>
      <c r="AD33" s="242"/>
      <c r="AE33" s="243"/>
      <c r="AF33" s="68"/>
      <c r="AY33" s="7" t="b">
        <v>0</v>
      </c>
    </row>
    <row r="34" spans="1:130" ht="18" customHeight="1" x14ac:dyDescent="0.2">
      <c r="A34" s="71">
        <v>9</v>
      </c>
      <c r="B34" s="247"/>
      <c r="C34" s="247"/>
      <c r="D34" s="247"/>
      <c r="E34" s="247"/>
      <c r="F34" s="248"/>
      <c r="G34" s="248"/>
      <c r="H34" s="248"/>
      <c r="I34" s="248"/>
      <c r="J34" s="165"/>
      <c r="K34" s="165"/>
      <c r="L34" s="166"/>
      <c r="M34" s="167"/>
      <c r="N34" s="165"/>
      <c r="O34" s="166"/>
      <c r="P34" s="166"/>
      <c r="Q34" s="166"/>
      <c r="R34" s="166"/>
      <c r="S34" s="166"/>
      <c r="T34" s="167"/>
      <c r="U34" s="241"/>
      <c r="V34" s="242"/>
      <c r="W34" s="242"/>
      <c r="X34" s="242"/>
      <c r="Y34" s="242"/>
      <c r="Z34" s="242"/>
      <c r="AA34" s="242"/>
      <c r="AB34" s="242"/>
      <c r="AC34" s="242"/>
      <c r="AD34" s="242"/>
      <c r="AE34" s="243"/>
      <c r="AF34" s="68"/>
      <c r="AY34" s="7" t="b">
        <v>0</v>
      </c>
    </row>
    <row r="35" spans="1:130" ht="18" customHeight="1" x14ac:dyDescent="0.2">
      <c r="A35" s="71">
        <v>10</v>
      </c>
      <c r="B35" s="247"/>
      <c r="C35" s="247"/>
      <c r="D35" s="247"/>
      <c r="E35" s="247"/>
      <c r="F35" s="248"/>
      <c r="G35" s="248"/>
      <c r="H35" s="248"/>
      <c r="I35" s="248"/>
      <c r="J35" s="165"/>
      <c r="K35" s="165"/>
      <c r="L35" s="166"/>
      <c r="M35" s="167"/>
      <c r="N35" s="165"/>
      <c r="O35" s="166"/>
      <c r="P35" s="166"/>
      <c r="Q35" s="166"/>
      <c r="R35" s="166"/>
      <c r="S35" s="166"/>
      <c r="T35" s="167"/>
      <c r="U35" s="241"/>
      <c r="V35" s="242"/>
      <c r="W35" s="242"/>
      <c r="X35" s="242"/>
      <c r="Y35" s="242"/>
      <c r="Z35" s="242"/>
      <c r="AA35" s="242"/>
      <c r="AB35" s="242"/>
      <c r="AC35" s="242"/>
      <c r="AD35" s="242"/>
      <c r="AE35" s="243"/>
      <c r="AF35" s="68"/>
      <c r="AY35" s="7" t="b">
        <v>0</v>
      </c>
    </row>
    <row r="36" spans="1:130" ht="18" customHeight="1" x14ac:dyDescent="0.2">
      <c r="A36" s="71">
        <v>11</v>
      </c>
      <c r="B36" s="247"/>
      <c r="C36" s="247"/>
      <c r="D36" s="247"/>
      <c r="E36" s="247"/>
      <c r="F36" s="248"/>
      <c r="G36" s="248"/>
      <c r="H36" s="248"/>
      <c r="I36" s="248"/>
      <c r="J36" s="165"/>
      <c r="K36" s="165"/>
      <c r="L36" s="166"/>
      <c r="M36" s="167"/>
      <c r="N36" s="165"/>
      <c r="O36" s="166"/>
      <c r="P36" s="166"/>
      <c r="Q36" s="166"/>
      <c r="R36" s="166"/>
      <c r="S36" s="166"/>
      <c r="T36" s="167"/>
      <c r="U36" s="241"/>
      <c r="V36" s="242"/>
      <c r="W36" s="242"/>
      <c r="X36" s="242"/>
      <c r="Y36" s="242"/>
      <c r="Z36" s="242"/>
      <c r="AA36" s="242"/>
      <c r="AB36" s="242"/>
      <c r="AC36" s="242"/>
      <c r="AD36" s="242"/>
      <c r="AE36" s="243"/>
      <c r="AF36" s="68"/>
    </row>
    <row r="37" spans="1:130" ht="18" customHeight="1" x14ac:dyDescent="0.2">
      <c r="A37" s="71">
        <v>12</v>
      </c>
      <c r="B37" s="247"/>
      <c r="C37" s="247"/>
      <c r="D37" s="247"/>
      <c r="E37" s="247"/>
      <c r="F37" s="248"/>
      <c r="G37" s="248"/>
      <c r="H37" s="248"/>
      <c r="I37" s="248"/>
      <c r="J37" s="165"/>
      <c r="K37" s="165"/>
      <c r="L37" s="166"/>
      <c r="M37" s="167"/>
      <c r="N37" s="165"/>
      <c r="O37" s="166"/>
      <c r="P37" s="166"/>
      <c r="Q37" s="166"/>
      <c r="R37" s="166"/>
      <c r="S37" s="166"/>
      <c r="T37" s="167"/>
      <c r="U37" s="241"/>
      <c r="V37" s="242"/>
      <c r="W37" s="242"/>
      <c r="X37" s="242"/>
      <c r="Y37" s="242"/>
      <c r="Z37" s="242"/>
      <c r="AA37" s="242"/>
      <c r="AB37" s="242"/>
      <c r="AC37" s="242"/>
      <c r="AD37" s="242"/>
      <c r="AE37" s="243"/>
      <c r="AF37" s="68"/>
    </row>
    <row r="38" spans="1:130" ht="18" customHeight="1" x14ac:dyDescent="0.2">
      <c r="A38" s="71">
        <v>13</v>
      </c>
      <c r="B38" s="247"/>
      <c r="C38" s="247"/>
      <c r="D38" s="247"/>
      <c r="E38" s="247"/>
      <c r="F38" s="248"/>
      <c r="G38" s="248"/>
      <c r="H38" s="248"/>
      <c r="I38" s="248"/>
      <c r="J38" s="165"/>
      <c r="K38" s="165"/>
      <c r="L38" s="166"/>
      <c r="M38" s="167"/>
      <c r="N38" s="165"/>
      <c r="O38" s="166"/>
      <c r="P38" s="166"/>
      <c r="Q38" s="166"/>
      <c r="R38" s="166"/>
      <c r="S38" s="166"/>
      <c r="T38" s="167"/>
      <c r="U38" s="241"/>
      <c r="V38" s="242"/>
      <c r="W38" s="242"/>
      <c r="X38" s="242"/>
      <c r="Y38" s="242"/>
      <c r="Z38" s="242"/>
      <c r="AA38" s="242"/>
      <c r="AB38" s="242"/>
      <c r="AC38" s="242"/>
      <c r="AD38" s="242"/>
      <c r="AE38" s="243"/>
      <c r="AF38" s="68"/>
    </row>
    <row r="39" spans="1:130" ht="18" customHeight="1" x14ac:dyDescent="0.2">
      <c r="A39" s="71">
        <v>14</v>
      </c>
      <c r="B39" s="247"/>
      <c r="C39" s="247"/>
      <c r="D39" s="247"/>
      <c r="E39" s="247"/>
      <c r="F39" s="248"/>
      <c r="G39" s="248"/>
      <c r="H39" s="248"/>
      <c r="I39" s="248"/>
      <c r="J39" s="165"/>
      <c r="K39" s="165"/>
      <c r="L39" s="166"/>
      <c r="M39" s="167"/>
      <c r="N39" s="165"/>
      <c r="O39" s="166"/>
      <c r="P39" s="166"/>
      <c r="Q39" s="166"/>
      <c r="R39" s="166"/>
      <c r="S39" s="166"/>
      <c r="T39" s="167"/>
      <c r="U39" s="241"/>
      <c r="V39" s="242"/>
      <c r="W39" s="242"/>
      <c r="X39" s="242"/>
      <c r="Y39" s="242"/>
      <c r="Z39" s="242"/>
      <c r="AA39" s="242"/>
      <c r="AB39" s="242"/>
      <c r="AC39" s="242"/>
      <c r="AD39" s="242"/>
      <c r="AE39" s="243"/>
      <c r="AF39" s="68"/>
    </row>
    <row r="40" spans="1:130" ht="18" customHeight="1" thickBot="1" x14ac:dyDescent="0.25">
      <c r="A40" s="72">
        <v>15</v>
      </c>
      <c r="B40" s="284"/>
      <c r="C40" s="284"/>
      <c r="D40" s="284"/>
      <c r="E40" s="284"/>
      <c r="F40" s="285"/>
      <c r="G40" s="285"/>
      <c r="H40" s="285"/>
      <c r="I40" s="285"/>
      <c r="J40" s="168"/>
      <c r="K40" s="168"/>
      <c r="L40" s="169"/>
      <c r="M40" s="170"/>
      <c r="N40" s="168"/>
      <c r="O40" s="169"/>
      <c r="P40" s="169"/>
      <c r="Q40" s="169"/>
      <c r="R40" s="169"/>
      <c r="S40" s="169"/>
      <c r="T40" s="170"/>
      <c r="U40" s="244"/>
      <c r="V40" s="245"/>
      <c r="W40" s="245"/>
      <c r="X40" s="245"/>
      <c r="Y40" s="245"/>
      <c r="Z40" s="245"/>
      <c r="AA40" s="245"/>
      <c r="AB40" s="245"/>
      <c r="AC40" s="245"/>
      <c r="AD40" s="245"/>
      <c r="AE40" s="246"/>
    </row>
    <row r="41" spans="1:130" ht="16.5" thickTop="1" thickBot="1" x14ac:dyDescent="0.25">
      <c r="A41" s="73"/>
      <c r="B41" s="286" t="s">
        <v>625</v>
      </c>
      <c r="C41" s="286"/>
      <c r="D41" s="286"/>
      <c r="E41" s="286"/>
      <c r="F41" s="286"/>
      <c r="G41" s="286"/>
      <c r="H41" s="286"/>
      <c r="I41" s="286"/>
      <c r="J41" s="74"/>
      <c r="K41" s="74"/>
      <c r="L41" s="74"/>
      <c r="M41" s="74"/>
      <c r="N41" s="74"/>
      <c r="O41" s="74"/>
      <c r="P41" s="74"/>
      <c r="Q41" s="74"/>
      <c r="R41" s="75"/>
      <c r="S41" s="75"/>
      <c r="T41" s="75"/>
      <c r="U41" s="75"/>
      <c r="V41" s="75"/>
      <c r="W41" s="75"/>
      <c r="X41" s="75"/>
      <c r="Y41" s="70"/>
      <c r="Z41" s="70"/>
      <c r="AA41" s="70"/>
      <c r="AB41" s="70"/>
      <c r="AC41" s="70"/>
      <c r="AD41" s="70"/>
      <c r="AE41" s="70"/>
      <c r="AF41" s="70"/>
    </row>
    <row r="42" spans="1:130" s="88" customFormat="1" ht="30.75" thickBot="1" x14ac:dyDescent="0.25">
      <c r="A42" s="112" t="s">
        <v>624</v>
      </c>
      <c r="B42" s="113" t="s">
        <v>494</v>
      </c>
      <c r="C42" s="114" t="s">
        <v>495</v>
      </c>
      <c r="D42" s="287" t="s">
        <v>496</v>
      </c>
      <c r="E42" s="288"/>
      <c r="F42" s="288"/>
      <c r="G42" s="288"/>
      <c r="H42" s="288"/>
      <c r="I42" s="289"/>
      <c r="J42" s="290" t="s">
        <v>413</v>
      </c>
      <c r="K42" s="291"/>
      <c r="L42" s="115" t="s">
        <v>414</v>
      </c>
      <c r="M42" s="146" t="s">
        <v>494</v>
      </c>
      <c r="N42" s="171" t="s">
        <v>497</v>
      </c>
      <c r="O42" s="172"/>
      <c r="P42" s="172"/>
      <c r="Q42" s="172"/>
      <c r="R42" s="172"/>
      <c r="S42" s="172"/>
      <c r="T42" s="173"/>
      <c r="U42" s="292" t="s">
        <v>414</v>
      </c>
      <c r="V42" s="292"/>
      <c r="W42" s="292"/>
      <c r="X42" s="292"/>
      <c r="Y42" s="292"/>
      <c r="Z42" s="293" t="s">
        <v>498</v>
      </c>
      <c r="AA42" s="293"/>
      <c r="AB42" s="293"/>
      <c r="AC42" s="294"/>
      <c r="AD42" s="294"/>
      <c r="AE42" s="295"/>
      <c r="AF42" s="116"/>
      <c r="BD42" s="88" t="s">
        <v>499</v>
      </c>
      <c r="BJ42" s="117"/>
      <c r="BK42" s="121"/>
      <c r="BL42" s="121"/>
      <c r="BM42" s="121"/>
      <c r="CI42" s="121"/>
      <c r="CJ42" s="121"/>
      <c r="CO42" s="121"/>
      <c r="CP42" s="121"/>
      <c r="DH42" s="121"/>
      <c r="DI42" s="117"/>
      <c r="DJ42" s="117"/>
      <c r="DM42" s="121"/>
      <c r="DN42" s="117"/>
      <c r="DO42" s="117"/>
      <c r="DP42" s="117"/>
      <c r="DQ42" s="117"/>
      <c r="DR42" s="117"/>
      <c r="DS42" s="117"/>
      <c r="DZ42" s="121"/>
    </row>
    <row r="43" spans="1:130" ht="15" customHeight="1" thickTop="1" x14ac:dyDescent="0.25">
      <c r="A43" s="77">
        <v>1</v>
      </c>
      <c r="B43" s="78"/>
      <c r="C43" s="79"/>
      <c r="D43" s="306"/>
      <c r="E43" s="306"/>
      <c r="F43" s="306"/>
      <c r="G43" s="306"/>
      <c r="H43" s="306"/>
      <c r="I43" s="306"/>
      <c r="J43" s="279"/>
      <c r="K43" s="279"/>
      <c r="L43" s="93"/>
      <c r="M43" s="150"/>
      <c r="N43" s="174"/>
      <c r="O43" s="175"/>
      <c r="P43" s="175"/>
      <c r="Q43" s="175"/>
      <c r="R43" s="175"/>
      <c r="S43" s="175"/>
      <c r="T43" s="176"/>
      <c r="U43" s="279"/>
      <c r="V43" s="279"/>
      <c r="W43" s="279"/>
      <c r="X43" s="279"/>
      <c r="Y43" s="279"/>
      <c r="Z43" s="280"/>
      <c r="AA43" s="281"/>
      <c r="AB43" s="281"/>
      <c r="AC43" s="282"/>
      <c r="AD43" s="282"/>
      <c r="AE43" s="283"/>
      <c r="AF43" s="70"/>
      <c r="AT43" s="80"/>
      <c r="AY43" s="81" t="str">
        <f>IF(OR(AND(J43="Basswood",D43="Large Z Frame")),"NonStandard", "Standard" )</f>
        <v>Standard</v>
      </c>
      <c r="AZ43" s="7" t="s">
        <v>157</v>
      </c>
      <c r="BA43" s="7" t="b">
        <v>0</v>
      </c>
      <c r="BD43" s="76" t="b">
        <f>IF(N43='Designer Shutter Data'!$EV$2,'Designer Shutter Data'!$EX$27,IF(N43='Designer Shutter Data'!$EV$3,'Designer Shutter Data'!$EY$27,IF(N43='Designer Shutter Data'!$EV$4,'Designer Shutter Data'!$EX$2,IF(N43='Designer Shutter Data'!$EV$5,'Designer Shutter Data'!$FA$27,IF(N43='Designer Shutter Data'!$EV$6,'Designer Shutter Data'!$FC$27,IF(N43='Designer Shutter Data'!$EV$7,'Designer Shutter Data'!$EY$2,IF(N43='Designer Shutter Data'!$EV$8,'Designer Shutter Data'!$EZ$2,IF(N43='Designer Shutter Data'!$EV$9,'Designer Shutter Data'!$FA$2,IF(N43='Designer Shutter Data'!$EV$10,'Designer Shutter Data'!$FB$2,IF(N43='Designer Shutter Data'!$EV$11,'Designer Shutter Data'!$FB$2,IF(N43='Designer Shutter Data'!$EV$11,'Designer Shutter Data'!$FC$2,IF(N43='Designer Shutter Data'!$EV$12,'Designer Shutter Data'!$FD$2,IF(N43='Designer Shutter Data'!$EV$13,'Designer Shutter Data'!$FE$11,IF(N43='Designer Shutter Data'!$EV$14,'Designer Shutter Data'!$FE$2,IF(N43='Designer Shutter Data'!$EV$15,'Designer Shutter Data'!$FN$27,IF(N43='Designer Shutter Data'!$EV$16,'Designer Shutter Data'!$FO$27,IF(N43='Designer Shutter Data'!$EV$17,'Designer Shutter Data'!$FG$2,IF(N43='Designer Shutter Data'!$EV$18,'Designer Shutter Data'!$FG$2,IF(N43='Designer Shutter Data'!$EV$19,'Designer Shutter Data'!$FA$38)))))))))))))))))))</f>
        <v>0</v>
      </c>
    </row>
    <row r="44" spans="1:130" ht="15" customHeight="1" x14ac:dyDescent="0.25">
      <c r="A44" s="42">
        <v>2</v>
      </c>
      <c r="B44" s="149"/>
      <c r="C44" s="82"/>
      <c r="D44" s="248"/>
      <c r="E44" s="248"/>
      <c r="F44" s="248"/>
      <c r="G44" s="248"/>
      <c r="H44" s="248"/>
      <c r="I44" s="248"/>
      <c r="J44" s="296"/>
      <c r="K44" s="296"/>
      <c r="L44" s="94"/>
      <c r="M44" s="149"/>
      <c r="N44" s="165"/>
      <c r="O44" s="166"/>
      <c r="P44" s="166"/>
      <c r="Q44" s="166"/>
      <c r="R44" s="166"/>
      <c r="S44" s="166"/>
      <c r="T44" s="167"/>
      <c r="U44" s="296"/>
      <c r="V44" s="296"/>
      <c r="W44" s="296"/>
      <c r="X44" s="296"/>
      <c r="Y44" s="296"/>
      <c r="Z44" s="297"/>
      <c r="AA44" s="298"/>
      <c r="AB44" s="298"/>
      <c r="AC44" s="299"/>
      <c r="AD44" s="299"/>
      <c r="AE44" s="300"/>
      <c r="AF44" s="70"/>
      <c r="AT44" s="80"/>
      <c r="AY44" s="81" t="str">
        <f>IF(OR(AND(J44="Basswood",D44="Large Z Frame")),"NonStandard", "Standard" )</f>
        <v>Standard</v>
      </c>
      <c r="AZ44" s="7" t="s">
        <v>157</v>
      </c>
      <c r="BA44" s="7" t="b">
        <v>0</v>
      </c>
      <c r="BD44" s="76" t="b">
        <f>IF(N44='Designer Shutter Data'!$EV$2,'Designer Shutter Data'!$EX$27,IF(N44='Designer Shutter Data'!$EV$3,'Designer Shutter Data'!$EY$27,IF(N44='Designer Shutter Data'!$EV$4,'Designer Shutter Data'!$EX$2,IF(N44='Designer Shutter Data'!$EV$5,'Designer Shutter Data'!$FA$27,IF(N44='Designer Shutter Data'!$EV$6,'Designer Shutter Data'!$FC$27,IF(N44='Designer Shutter Data'!$EV$7,'Designer Shutter Data'!$EY$2,IF(N44='Designer Shutter Data'!$EV$8,'Designer Shutter Data'!$EZ$2,IF(N44='Designer Shutter Data'!$EV$9,'Designer Shutter Data'!$FA$2,IF(N44='Designer Shutter Data'!$EV$10,'Designer Shutter Data'!$FB$2,IF(N44='Designer Shutter Data'!$EV$11,'Designer Shutter Data'!$FB$2,IF(N44='Designer Shutter Data'!$EV$11,'Designer Shutter Data'!$FC$2,IF(N44='Designer Shutter Data'!$EV$12,'Designer Shutter Data'!$FD$2,IF(N44='Designer Shutter Data'!$EV$13,'Designer Shutter Data'!$FE$11,IF(N44='Designer Shutter Data'!$EV$14,'Designer Shutter Data'!$FE$2,IF(N44='Designer Shutter Data'!$EV$15,'Designer Shutter Data'!$FN$27,IF(N44='Designer Shutter Data'!$EV$16,'Designer Shutter Data'!$FO$27,IF(N44='Designer Shutter Data'!$EV$17,'Designer Shutter Data'!$FG$2,IF(N44='Designer Shutter Data'!$EV$18,'Designer Shutter Data'!$FG$2,IF(N44='Designer Shutter Data'!$EV$19,'Designer Shutter Data'!$FA$38)))))))))))))))))))</f>
        <v>0</v>
      </c>
    </row>
    <row r="45" spans="1:130" ht="15" customHeight="1" x14ac:dyDescent="0.25">
      <c r="A45" s="42">
        <v>3</v>
      </c>
      <c r="B45" s="149"/>
      <c r="C45" s="82"/>
      <c r="D45" s="248"/>
      <c r="E45" s="248"/>
      <c r="F45" s="248"/>
      <c r="G45" s="248"/>
      <c r="H45" s="248"/>
      <c r="I45" s="248"/>
      <c r="J45" s="296"/>
      <c r="K45" s="296"/>
      <c r="L45" s="94"/>
      <c r="M45" s="149"/>
      <c r="N45" s="165"/>
      <c r="O45" s="166"/>
      <c r="P45" s="166"/>
      <c r="Q45" s="166"/>
      <c r="R45" s="166"/>
      <c r="S45" s="166"/>
      <c r="T45" s="167"/>
      <c r="U45" s="296"/>
      <c r="V45" s="296"/>
      <c r="W45" s="296"/>
      <c r="X45" s="296"/>
      <c r="Y45" s="296"/>
      <c r="Z45" s="297"/>
      <c r="AA45" s="298"/>
      <c r="AB45" s="298"/>
      <c r="AC45" s="299"/>
      <c r="AD45" s="299"/>
      <c r="AE45" s="300"/>
      <c r="AF45" s="70"/>
      <c r="AT45" s="80"/>
      <c r="AY45" s="81" t="str">
        <f t="shared" ref="AY45:AY52" si="49">IF(OR(AND(J45="Basswood",D45="Large Z Frame")),"NonStandard", "Standard" )</f>
        <v>Standard</v>
      </c>
      <c r="AZ45" s="7" t="s">
        <v>157</v>
      </c>
      <c r="BA45" s="7" t="b">
        <v>0</v>
      </c>
      <c r="BD45" s="76" t="b">
        <f>IF(N45='Designer Shutter Data'!$EV$2,'Designer Shutter Data'!$EX$27,IF(N45='Designer Shutter Data'!$EV$3,'Designer Shutter Data'!$EY$27,IF(N45='Designer Shutter Data'!$EV$4,'Designer Shutter Data'!$EX$2,IF(N45='Designer Shutter Data'!$EV$5,'Designer Shutter Data'!$FA$27,IF(N45='Designer Shutter Data'!$EV$6,'Designer Shutter Data'!$FC$27,IF(N45='Designer Shutter Data'!$EV$7,'Designer Shutter Data'!$EY$2,IF(N45='Designer Shutter Data'!$EV$8,'Designer Shutter Data'!$EZ$2,IF(N45='Designer Shutter Data'!$EV$9,'Designer Shutter Data'!$FA$2,IF(N45='Designer Shutter Data'!$EV$10,'Designer Shutter Data'!$FB$2,IF(N45='Designer Shutter Data'!$EV$11,'Designer Shutter Data'!$FB$2,IF(N45='Designer Shutter Data'!$EV$11,'Designer Shutter Data'!$FC$2,IF(N45='Designer Shutter Data'!$EV$12,'Designer Shutter Data'!$FD$2,IF(N45='Designer Shutter Data'!$EV$13,'Designer Shutter Data'!$FE$11,IF(N45='Designer Shutter Data'!$EV$14,'Designer Shutter Data'!$FE$2,IF(N45='Designer Shutter Data'!$EV$15,'Designer Shutter Data'!$FN$27,IF(N45='Designer Shutter Data'!$EV$16,'Designer Shutter Data'!$FO$27,IF(N45='Designer Shutter Data'!$EV$17,'Designer Shutter Data'!$FG$2,IF(N45='Designer Shutter Data'!$EV$18,'Designer Shutter Data'!$FG$2,IF(N45='Designer Shutter Data'!$EV$19,'Designer Shutter Data'!$FA$38)))))))))))))))))))</f>
        <v>0</v>
      </c>
    </row>
    <row r="46" spans="1:130" ht="15" customHeight="1" x14ac:dyDescent="0.25">
      <c r="A46" s="42">
        <v>4</v>
      </c>
      <c r="B46" s="149"/>
      <c r="C46" s="82"/>
      <c r="D46" s="248"/>
      <c r="E46" s="248"/>
      <c r="F46" s="248"/>
      <c r="G46" s="248"/>
      <c r="H46" s="248"/>
      <c r="I46" s="248"/>
      <c r="J46" s="296"/>
      <c r="K46" s="296"/>
      <c r="L46" s="94"/>
      <c r="M46" s="149"/>
      <c r="N46" s="165"/>
      <c r="O46" s="166"/>
      <c r="P46" s="166"/>
      <c r="Q46" s="166"/>
      <c r="R46" s="166"/>
      <c r="S46" s="166"/>
      <c r="T46" s="167"/>
      <c r="U46" s="296"/>
      <c r="V46" s="296"/>
      <c r="W46" s="296"/>
      <c r="X46" s="296"/>
      <c r="Y46" s="296"/>
      <c r="Z46" s="297"/>
      <c r="AA46" s="298"/>
      <c r="AB46" s="298"/>
      <c r="AC46" s="299"/>
      <c r="AD46" s="299"/>
      <c r="AE46" s="300"/>
      <c r="AF46" s="70"/>
      <c r="AT46" s="80"/>
      <c r="AY46" s="81" t="str">
        <f t="shared" si="49"/>
        <v>Standard</v>
      </c>
      <c r="AZ46" s="7" t="s">
        <v>157</v>
      </c>
      <c r="BA46" s="7" t="b">
        <v>0</v>
      </c>
      <c r="BD46" s="76" t="b">
        <f>IF(N46='Designer Shutter Data'!$EV$2,'Designer Shutter Data'!$EX$27,IF(N46='Designer Shutter Data'!$EV$3,'Designer Shutter Data'!$EY$27,IF(N46='Designer Shutter Data'!$EV$4,'Designer Shutter Data'!$EX$2,IF(N46='Designer Shutter Data'!$EV$5,'Designer Shutter Data'!$FA$27,IF(N46='Designer Shutter Data'!$EV$6,'Designer Shutter Data'!$FC$27,IF(N46='Designer Shutter Data'!$EV$7,'Designer Shutter Data'!$EY$2,IF(N46='Designer Shutter Data'!$EV$8,'Designer Shutter Data'!$EZ$2,IF(N46='Designer Shutter Data'!$EV$9,'Designer Shutter Data'!$FA$2,IF(N46='Designer Shutter Data'!$EV$10,'Designer Shutter Data'!$FB$2,IF(N46='Designer Shutter Data'!$EV$11,'Designer Shutter Data'!$FB$2,IF(N46='Designer Shutter Data'!$EV$11,'Designer Shutter Data'!$FC$2,IF(N46='Designer Shutter Data'!$EV$12,'Designer Shutter Data'!$FD$2,IF(N46='Designer Shutter Data'!$EV$13,'Designer Shutter Data'!$FE$11,IF(N46='Designer Shutter Data'!$EV$14,'Designer Shutter Data'!$FE$2,IF(N46='Designer Shutter Data'!$EV$15,'Designer Shutter Data'!$FN$27,IF(N46='Designer Shutter Data'!$EV$16,'Designer Shutter Data'!$FO$27,IF(N46='Designer Shutter Data'!$EV$17,'Designer Shutter Data'!$FG$2,IF(N46='Designer Shutter Data'!$EV$18,'Designer Shutter Data'!$FG$2,IF(N46='Designer Shutter Data'!$EV$19,'Designer Shutter Data'!$FA$38)))))))))))))))))))</f>
        <v>0</v>
      </c>
    </row>
    <row r="47" spans="1:130" ht="15" customHeight="1" x14ac:dyDescent="0.25">
      <c r="A47" s="42">
        <v>5</v>
      </c>
      <c r="B47" s="149"/>
      <c r="C47" s="82"/>
      <c r="D47" s="248"/>
      <c r="E47" s="248"/>
      <c r="F47" s="248"/>
      <c r="G47" s="248"/>
      <c r="H47" s="248"/>
      <c r="I47" s="248"/>
      <c r="J47" s="296"/>
      <c r="K47" s="296"/>
      <c r="L47" s="94"/>
      <c r="M47" s="149"/>
      <c r="N47" s="165"/>
      <c r="O47" s="166"/>
      <c r="P47" s="166"/>
      <c r="Q47" s="166"/>
      <c r="R47" s="166"/>
      <c r="S47" s="166"/>
      <c r="T47" s="167"/>
      <c r="U47" s="296"/>
      <c r="V47" s="296"/>
      <c r="W47" s="296"/>
      <c r="X47" s="296"/>
      <c r="Y47" s="296"/>
      <c r="Z47" s="297"/>
      <c r="AA47" s="298"/>
      <c r="AB47" s="298"/>
      <c r="AC47" s="299"/>
      <c r="AD47" s="299"/>
      <c r="AE47" s="300"/>
      <c r="AF47" s="70"/>
      <c r="AT47" s="80"/>
      <c r="AY47" s="81" t="str">
        <f t="shared" si="49"/>
        <v>Standard</v>
      </c>
      <c r="AZ47" s="7" t="s">
        <v>157</v>
      </c>
      <c r="BA47" s="7" t="b">
        <v>0</v>
      </c>
      <c r="BD47" s="76" t="b">
        <f>IF(N47='Designer Shutter Data'!$EV$2,'Designer Shutter Data'!$EX$27,IF(N47='Designer Shutter Data'!$EV$3,'Designer Shutter Data'!$EY$27,IF(N47='Designer Shutter Data'!$EV$4,'Designer Shutter Data'!$EX$2,IF(N47='Designer Shutter Data'!$EV$5,'Designer Shutter Data'!$FA$27,IF(N47='Designer Shutter Data'!$EV$6,'Designer Shutter Data'!$FC$27,IF(N47='Designer Shutter Data'!$EV$7,'Designer Shutter Data'!$EY$2,IF(N47='Designer Shutter Data'!$EV$8,'Designer Shutter Data'!$EZ$2,IF(N47='Designer Shutter Data'!$EV$9,'Designer Shutter Data'!$FA$2,IF(N47='Designer Shutter Data'!$EV$10,'Designer Shutter Data'!$FB$2,IF(N47='Designer Shutter Data'!$EV$11,'Designer Shutter Data'!$FB$2,IF(N47='Designer Shutter Data'!$EV$11,'Designer Shutter Data'!$FC$2,IF(N47='Designer Shutter Data'!$EV$12,'Designer Shutter Data'!$FD$2,IF(N47='Designer Shutter Data'!$EV$13,'Designer Shutter Data'!$FE$11,IF(N47='Designer Shutter Data'!$EV$14,'Designer Shutter Data'!$FE$2,IF(N47='Designer Shutter Data'!$EV$15,'Designer Shutter Data'!$FN$27,IF(N47='Designer Shutter Data'!$EV$16,'Designer Shutter Data'!$FO$27,IF(N47='Designer Shutter Data'!$EV$17,'Designer Shutter Data'!$FG$2,IF(N47='Designer Shutter Data'!$EV$18,'Designer Shutter Data'!$FG$2,IF(N47='Designer Shutter Data'!$EV$19,'Designer Shutter Data'!$FA$38)))))))))))))))))))</f>
        <v>0</v>
      </c>
    </row>
    <row r="48" spans="1:130" ht="15" customHeight="1" x14ac:dyDescent="0.25">
      <c r="A48" s="42">
        <v>6</v>
      </c>
      <c r="B48" s="149"/>
      <c r="C48" s="82"/>
      <c r="D48" s="248"/>
      <c r="E48" s="248"/>
      <c r="F48" s="248"/>
      <c r="G48" s="248"/>
      <c r="H48" s="248"/>
      <c r="I48" s="248"/>
      <c r="J48" s="296"/>
      <c r="K48" s="296"/>
      <c r="L48" s="94"/>
      <c r="M48" s="149"/>
      <c r="N48" s="165"/>
      <c r="O48" s="166"/>
      <c r="P48" s="166"/>
      <c r="Q48" s="166"/>
      <c r="R48" s="166"/>
      <c r="S48" s="166"/>
      <c r="T48" s="167"/>
      <c r="U48" s="296"/>
      <c r="V48" s="296"/>
      <c r="W48" s="296"/>
      <c r="X48" s="296"/>
      <c r="Y48" s="296"/>
      <c r="Z48" s="297"/>
      <c r="AA48" s="298"/>
      <c r="AB48" s="298"/>
      <c r="AC48" s="299"/>
      <c r="AD48" s="299"/>
      <c r="AE48" s="300"/>
      <c r="AF48" s="70"/>
      <c r="AT48" s="80"/>
      <c r="AY48" s="81" t="str">
        <f t="shared" si="49"/>
        <v>Standard</v>
      </c>
      <c r="AZ48" s="7" t="s">
        <v>157</v>
      </c>
      <c r="BA48" s="7" t="b">
        <v>0</v>
      </c>
      <c r="BD48" s="76" t="b">
        <f>IF(N48='Designer Shutter Data'!$EV$2,'Designer Shutter Data'!$EX$27,IF(N48='Designer Shutter Data'!$EV$3,'Designer Shutter Data'!$EY$27,IF(N48='Designer Shutter Data'!$EV$4,'Designer Shutter Data'!$EX$2,IF(N48='Designer Shutter Data'!$EV$5,'Designer Shutter Data'!$FA$27,IF(N48='Designer Shutter Data'!$EV$6,'Designer Shutter Data'!$FC$27,IF(N48='Designer Shutter Data'!$EV$7,'Designer Shutter Data'!$EY$2,IF(N48='Designer Shutter Data'!$EV$8,'Designer Shutter Data'!$EZ$2,IF(N48='Designer Shutter Data'!$EV$9,'Designer Shutter Data'!$FA$2,IF(N48='Designer Shutter Data'!$EV$10,'Designer Shutter Data'!$FB$2,IF(N48='Designer Shutter Data'!$EV$11,'Designer Shutter Data'!$FB$2,IF(N48='Designer Shutter Data'!$EV$11,'Designer Shutter Data'!$FC$2,IF(N48='Designer Shutter Data'!$EV$12,'Designer Shutter Data'!$FD$2,IF(N48='Designer Shutter Data'!$EV$13,'Designer Shutter Data'!$FE$11,IF(N48='Designer Shutter Data'!$EV$14,'Designer Shutter Data'!$FE$2,IF(N48='Designer Shutter Data'!$EV$15,'Designer Shutter Data'!$FN$27,IF(N48='Designer Shutter Data'!$EV$16,'Designer Shutter Data'!$FO$27,IF(N48='Designer Shutter Data'!$EV$17,'Designer Shutter Data'!$FG$2,IF(N48='Designer Shutter Data'!$EV$18,'Designer Shutter Data'!$FG$2,IF(N48='Designer Shutter Data'!$EV$19,'Designer Shutter Data'!$FA$38)))))))))))))))))))</f>
        <v>0</v>
      </c>
    </row>
    <row r="49" spans="1:56" ht="15" customHeight="1" x14ac:dyDescent="0.25">
      <c r="A49" s="42">
        <v>7</v>
      </c>
      <c r="B49" s="149"/>
      <c r="C49" s="82"/>
      <c r="D49" s="248"/>
      <c r="E49" s="248"/>
      <c r="F49" s="248"/>
      <c r="G49" s="248"/>
      <c r="H49" s="248"/>
      <c r="I49" s="248"/>
      <c r="J49" s="296"/>
      <c r="K49" s="296"/>
      <c r="L49" s="94"/>
      <c r="M49" s="149"/>
      <c r="N49" s="165"/>
      <c r="O49" s="166"/>
      <c r="P49" s="166"/>
      <c r="Q49" s="166"/>
      <c r="R49" s="166"/>
      <c r="S49" s="166"/>
      <c r="T49" s="167"/>
      <c r="U49" s="296"/>
      <c r="V49" s="296"/>
      <c r="W49" s="296"/>
      <c r="X49" s="296"/>
      <c r="Y49" s="296"/>
      <c r="Z49" s="297"/>
      <c r="AA49" s="298"/>
      <c r="AB49" s="298"/>
      <c r="AC49" s="299"/>
      <c r="AD49" s="299"/>
      <c r="AE49" s="300"/>
      <c r="AF49" s="70"/>
      <c r="AT49" s="80"/>
      <c r="AY49" s="81" t="str">
        <f t="shared" si="49"/>
        <v>Standard</v>
      </c>
      <c r="AZ49" s="7" t="s">
        <v>157</v>
      </c>
      <c r="BA49" s="7" t="b">
        <v>0</v>
      </c>
      <c r="BD49" s="76" t="b">
        <f>IF(N49='Designer Shutter Data'!$EV$2,'Designer Shutter Data'!$EX$27,IF(N49='Designer Shutter Data'!$EV$3,'Designer Shutter Data'!$EY$27,IF(N49='Designer Shutter Data'!$EV$4,'Designer Shutter Data'!$EX$2,IF(N49='Designer Shutter Data'!$EV$5,'Designer Shutter Data'!$FA$27,IF(N49='Designer Shutter Data'!$EV$6,'Designer Shutter Data'!$FC$27,IF(N49='Designer Shutter Data'!$EV$7,'Designer Shutter Data'!$EY$2,IF(N49='Designer Shutter Data'!$EV$8,'Designer Shutter Data'!$EZ$2,IF(N49='Designer Shutter Data'!$EV$9,'Designer Shutter Data'!$FA$2,IF(N49='Designer Shutter Data'!$EV$10,'Designer Shutter Data'!$FB$2,IF(N49='Designer Shutter Data'!$EV$11,'Designer Shutter Data'!$FB$2,IF(N49='Designer Shutter Data'!$EV$11,'Designer Shutter Data'!$FC$2,IF(N49='Designer Shutter Data'!$EV$12,'Designer Shutter Data'!$FD$2,IF(N49='Designer Shutter Data'!$EV$13,'Designer Shutter Data'!$FE$11,IF(N49='Designer Shutter Data'!$EV$14,'Designer Shutter Data'!$FE$2,IF(N49='Designer Shutter Data'!$EV$15,'Designer Shutter Data'!$FN$27,IF(N49='Designer Shutter Data'!$EV$16,'Designer Shutter Data'!$FO$27,IF(N49='Designer Shutter Data'!$EV$17,'Designer Shutter Data'!$FG$2,IF(N49='Designer Shutter Data'!$EV$18,'Designer Shutter Data'!$FG$2,IF(N49='Designer Shutter Data'!$EV$19,'Designer Shutter Data'!$FA$38)))))))))))))))))))</f>
        <v>0</v>
      </c>
    </row>
    <row r="50" spans="1:56" ht="15" customHeight="1" x14ac:dyDescent="0.25">
      <c r="A50" s="42">
        <v>8</v>
      </c>
      <c r="B50" s="149"/>
      <c r="C50" s="82"/>
      <c r="D50" s="248"/>
      <c r="E50" s="248"/>
      <c r="F50" s="248"/>
      <c r="G50" s="248"/>
      <c r="H50" s="248"/>
      <c r="I50" s="248"/>
      <c r="J50" s="296"/>
      <c r="K50" s="296"/>
      <c r="L50" s="94"/>
      <c r="M50" s="149"/>
      <c r="N50" s="165"/>
      <c r="O50" s="166"/>
      <c r="P50" s="166"/>
      <c r="Q50" s="166"/>
      <c r="R50" s="166"/>
      <c r="S50" s="166"/>
      <c r="T50" s="167"/>
      <c r="U50" s="296"/>
      <c r="V50" s="296"/>
      <c r="W50" s="296"/>
      <c r="X50" s="296"/>
      <c r="Y50" s="296"/>
      <c r="Z50" s="297"/>
      <c r="AA50" s="298"/>
      <c r="AB50" s="298"/>
      <c r="AC50" s="299"/>
      <c r="AD50" s="299"/>
      <c r="AE50" s="300"/>
      <c r="AF50" s="70"/>
      <c r="AT50" s="80"/>
      <c r="AY50" s="81" t="str">
        <f t="shared" si="49"/>
        <v>Standard</v>
      </c>
      <c r="AZ50" s="7" t="s">
        <v>157</v>
      </c>
      <c r="BA50" s="7" t="b">
        <v>0</v>
      </c>
      <c r="BD50" s="76" t="b">
        <f>IF(N50='Designer Shutter Data'!$EV$2,'Designer Shutter Data'!$EX$27,IF(N50='Designer Shutter Data'!$EV$3,'Designer Shutter Data'!$EY$27,IF(N50='Designer Shutter Data'!$EV$4,'Designer Shutter Data'!$EX$2,IF(N50='Designer Shutter Data'!$EV$5,'Designer Shutter Data'!$FA$27,IF(N50='Designer Shutter Data'!$EV$6,'Designer Shutter Data'!$FC$27,IF(N50='Designer Shutter Data'!$EV$7,'Designer Shutter Data'!$EY$2,IF(N50='Designer Shutter Data'!$EV$8,'Designer Shutter Data'!$EZ$2,IF(N50='Designer Shutter Data'!$EV$9,'Designer Shutter Data'!$FA$2,IF(N50='Designer Shutter Data'!$EV$10,'Designer Shutter Data'!$FB$2,IF(N50='Designer Shutter Data'!$EV$11,'Designer Shutter Data'!$FB$2,IF(N50='Designer Shutter Data'!$EV$11,'Designer Shutter Data'!$FC$2,IF(N50='Designer Shutter Data'!$EV$12,'Designer Shutter Data'!$FD$2,IF(N50='Designer Shutter Data'!$EV$13,'Designer Shutter Data'!$FE$11,IF(N50='Designer Shutter Data'!$EV$14,'Designer Shutter Data'!$FE$2,IF(N50='Designer Shutter Data'!$EV$15,'Designer Shutter Data'!$FN$27,IF(N50='Designer Shutter Data'!$EV$16,'Designer Shutter Data'!$FO$27,IF(N50='Designer Shutter Data'!$EV$17,'Designer Shutter Data'!$FG$2,IF(N50='Designer Shutter Data'!$EV$18,'Designer Shutter Data'!$FG$2,IF(N50='Designer Shutter Data'!$EV$19,'Designer Shutter Data'!$FA$38)))))))))))))))))))</f>
        <v>0</v>
      </c>
    </row>
    <row r="51" spans="1:56" ht="15" customHeight="1" x14ac:dyDescent="0.25">
      <c r="A51" s="42">
        <v>9</v>
      </c>
      <c r="B51" s="149"/>
      <c r="C51" s="82"/>
      <c r="D51" s="248"/>
      <c r="E51" s="248"/>
      <c r="F51" s="248"/>
      <c r="G51" s="248"/>
      <c r="H51" s="248"/>
      <c r="I51" s="248"/>
      <c r="J51" s="296"/>
      <c r="K51" s="296"/>
      <c r="L51" s="94"/>
      <c r="M51" s="149"/>
      <c r="N51" s="165"/>
      <c r="O51" s="166"/>
      <c r="P51" s="166"/>
      <c r="Q51" s="166"/>
      <c r="R51" s="166"/>
      <c r="S51" s="166"/>
      <c r="T51" s="167"/>
      <c r="U51" s="296"/>
      <c r="V51" s="296"/>
      <c r="W51" s="296"/>
      <c r="X51" s="296"/>
      <c r="Y51" s="296"/>
      <c r="Z51" s="297"/>
      <c r="AA51" s="298"/>
      <c r="AB51" s="298"/>
      <c r="AC51" s="299"/>
      <c r="AD51" s="299"/>
      <c r="AE51" s="300"/>
      <c r="AF51" s="70"/>
      <c r="AT51" s="80"/>
      <c r="AY51" s="81" t="str">
        <f t="shared" si="49"/>
        <v>Standard</v>
      </c>
      <c r="AZ51" s="7" t="s">
        <v>157</v>
      </c>
      <c r="BA51" s="7" t="b">
        <v>0</v>
      </c>
      <c r="BD51" s="76" t="b">
        <f>IF(N51='Designer Shutter Data'!$EV$2,'Designer Shutter Data'!$EX$27,IF(N51='Designer Shutter Data'!$EV$3,'Designer Shutter Data'!$EY$27,IF(N51='Designer Shutter Data'!$EV$4,'Designer Shutter Data'!$EX$2,IF(N51='Designer Shutter Data'!$EV$5,'Designer Shutter Data'!$FA$27,IF(N51='Designer Shutter Data'!$EV$6,'Designer Shutter Data'!$FC$27,IF(N51='Designer Shutter Data'!$EV$7,'Designer Shutter Data'!$EY$2,IF(N51='Designer Shutter Data'!$EV$8,'Designer Shutter Data'!$EZ$2,IF(N51='Designer Shutter Data'!$EV$9,'Designer Shutter Data'!$FA$2,IF(N51='Designer Shutter Data'!$EV$10,'Designer Shutter Data'!$FB$2,IF(N51='Designer Shutter Data'!$EV$11,'Designer Shutter Data'!$FB$2,IF(N51='Designer Shutter Data'!$EV$11,'Designer Shutter Data'!$FC$2,IF(N51='Designer Shutter Data'!$EV$12,'Designer Shutter Data'!$FD$2,IF(N51='Designer Shutter Data'!$EV$13,'Designer Shutter Data'!$FE$11,IF(N51='Designer Shutter Data'!$EV$14,'Designer Shutter Data'!$FE$2,IF(N51='Designer Shutter Data'!$EV$15,'Designer Shutter Data'!$FN$27,IF(N51='Designer Shutter Data'!$EV$16,'Designer Shutter Data'!$FO$27,IF(N51='Designer Shutter Data'!$EV$17,'Designer Shutter Data'!$FG$2,IF(N51='Designer Shutter Data'!$EV$18,'Designer Shutter Data'!$FG$2,IF(N51='Designer Shutter Data'!$EV$19,'Designer Shutter Data'!$FA$38)))))))))))))))))))</f>
        <v>0</v>
      </c>
    </row>
    <row r="52" spans="1:56" ht="15" customHeight="1" thickBot="1" x14ac:dyDescent="0.3">
      <c r="A52" s="83">
        <v>10</v>
      </c>
      <c r="B52" s="151"/>
      <c r="C52" s="84"/>
      <c r="D52" s="285"/>
      <c r="E52" s="285"/>
      <c r="F52" s="285"/>
      <c r="G52" s="285"/>
      <c r="H52" s="285"/>
      <c r="I52" s="285"/>
      <c r="J52" s="301"/>
      <c r="K52" s="301"/>
      <c r="L52" s="95"/>
      <c r="M52" s="151"/>
      <c r="N52" s="168"/>
      <c r="O52" s="169"/>
      <c r="P52" s="169"/>
      <c r="Q52" s="169"/>
      <c r="R52" s="169"/>
      <c r="S52" s="169"/>
      <c r="T52" s="170"/>
      <c r="U52" s="301"/>
      <c r="V52" s="301"/>
      <c r="W52" s="301"/>
      <c r="X52" s="301"/>
      <c r="Y52" s="301"/>
      <c r="Z52" s="302"/>
      <c r="AA52" s="303"/>
      <c r="AB52" s="303"/>
      <c r="AC52" s="304"/>
      <c r="AD52" s="304"/>
      <c r="AE52" s="305"/>
      <c r="AF52" s="70"/>
      <c r="AT52" s="80"/>
      <c r="AY52" s="81" t="str">
        <f t="shared" si="49"/>
        <v>Standard</v>
      </c>
      <c r="AZ52" s="7" t="s">
        <v>157</v>
      </c>
      <c r="BA52" s="7" t="b">
        <v>0</v>
      </c>
      <c r="BD52" s="76" t="b">
        <f>IF(N52='Designer Shutter Data'!$EV$2,'Designer Shutter Data'!$EX$27,IF(N52='Designer Shutter Data'!$EV$3,'Designer Shutter Data'!$EY$27,IF(N52='Designer Shutter Data'!$EV$4,'Designer Shutter Data'!$EX$2,IF(N52='Designer Shutter Data'!$EV$5,'Designer Shutter Data'!$FA$27,IF(N52='Designer Shutter Data'!$EV$6,'Designer Shutter Data'!$FC$27,IF(N52='Designer Shutter Data'!$EV$7,'Designer Shutter Data'!$EY$2,IF(N52='Designer Shutter Data'!$EV$8,'Designer Shutter Data'!$EZ$2,IF(N52='Designer Shutter Data'!$EV$9,'Designer Shutter Data'!$FA$2,IF(N52='Designer Shutter Data'!$EV$10,'Designer Shutter Data'!$FB$2,IF(N52='Designer Shutter Data'!$EV$11,'Designer Shutter Data'!$FB$2,IF(N52='Designer Shutter Data'!$EV$11,'Designer Shutter Data'!$FC$2,IF(N52='Designer Shutter Data'!$EV$12,'Designer Shutter Data'!$FD$2,IF(N52='Designer Shutter Data'!$EV$13,'Designer Shutter Data'!$FE$11,IF(N52='Designer Shutter Data'!$EV$14,'Designer Shutter Data'!$FE$2,IF(N52='Designer Shutter Data'!$EV$15,'Designer Shutter Data'!$FN$27,IF(N52='Designer Shutter Data'!$EV$16,'Designer Shutter Data'!$FO$27,IF(N52='Designer Shutter Data'!$EV$17,'Designer Shutter Data'!$FG$2,IF(N52='Designer Shutter Data'!$EV$18,'Designer Shutter Data'!$FG$2,IF(N52='Designer Shutter Data'!$EV$19,'Designer Shutter Data'!$FA$38)))))))))))))))))))</f>
        <v>0</v>
      </c>
    </row>
    <row r="53" spans="1:56" ht="15.75" thickTop="1" x14ac:dyDescent="0.2"/>
  </sheetData>
  <sheetProtection algorithmName="SHA-512" hashValue="OENlkFHcMQv/gaVfh3lN2H4B46ET8NXJd8xR0jnsA/SbZgRI5Eq+vl/bb7PJfTRDW94aWsiCH8g9OO/vHvvZvg==" saltValue="N0aJPtFqwgaWE+IC1MbJ4g==" spinCount="100000" sheet="1" objects="1" scenarios="1"/>
  <mergeCells count="182">
    <mergeCell ref="B32:E32"/>
    <mergeCell ref="F32:J32"/>
    <mergeCell ref="B33:E33"/>
    <mergeCell ref="D43:I43"/>
    <mergeCell ref="J43:K43"/>
    <mergeCell ref="K32:M32"/>
    <mergeCell ref="K33:M33"/>
    <mergeCell ref="K34:M34"/>
    <mergeCell ref="K35:M35"/>
    <mergeCell ref="B37:E37"/>
    <mergeCell ref="F37:J37"/>
    <mergeCell ref="B34:E34"/>
    <mergeCell ref="F34:J34"/>
    <mergeCell ref="B35:E35"/>
    <mergeCell ref="F35:J35"/>
    <mergeCell ref="U45:Y45"/>
    <mergeCell ref="Z45:AE45"/>
    <mergeCell ref="D44:I44"/>
    <mergeCell ref="J44:K44"/>
    <mergeCell ref="U44:Y44"/>
    <mergeCell ref="Z44:AE44"/>
    <mergeCell ref="D45:I45"/>
    <mergeCell ref="J45:K45"/>
    <mergeCell ref="N52:T52"/>
    <mergeCell ref="D48:I48"/>
    <mergeCell ref="J48:K48"/>
    <mergeCell ref="D52:I52"/>
    <mergeCell ref="J52:K52"/>
    <mergeCell ref="U52:Y52"/>
    <mergeCell ref="Z52:AE52"/>
    <mergeCell ref="D51:I51"/>
    <mergeCell ref="J51:K51"/>
    <mergeCell ref="U51:Y51"/>
    <mergeCell ref="Z51:AE51"/>
    <mergeCell ref="Z46:AE46"/>
    <mergeCell ref="D50:I50"/>
    <mergeCell ref="J50:K50"/>
    <mergeCell ref="U50:Y50"/>
    <mergeCell ref="Z50:AE50"/>
    <mergeCell ref="D49:I49"/>
    <mergeCell ref="U46:Y46"/>
    <mergeCell ref="D47:I47"/>
    <mergeCell ref="J47:K47"/>
    <mergeCell ref="U47:Y47"/>
    <mergeCell ref="Z47:AE47"/>
    <mergeCell ref="D46:I46"/>
    <mergeCell ref="J46:K46"/>
    <mergeCell ref="J49:K49"/>
    <mergeCell ref="U49:Y49"/>
    <mergeCell ref="Z49:AE49"/>
    <mergeCell ref="U48:Y48"/>
    <mergeCell ref="Z48:AE48"/>
    <mergeCell ref="U43:Y43"/>
    <mergeCell ref="Z43:AE43"/>
    <mergeCell ref="F33:J33"/>
    <mergeCell ref="B40:E40"/>
    <mergeCell ref="F40:J40"/>
    <mergeCell ref="B41:I41"/>
    <mergeCell ref="D42:I42"/>
    <mergeCell ref="J42:K42"/>
    <mergeCell ref="B38:E38"/>
    <mergeCell ref="F38:J38"/>
    <mergeCell ref="B39:E39"/>
    <mergeCell ref="F39:J39"/>
    <mergeCell ref="K40:M40"/>
    <mergeCell ref="K36:M36"/>
    <mergeCell ref="K37:M37"/>
    <mergeCell ref="K38:M38"/>
    <mergeCell ref="U42:Y42"/>
    <mergeCell ref="Z42:AE42"/>
    <mergeCell ref="K39:M39"/>
    <mergeCell ref="H12:I12"/>
    <mergeCell ref="P12:Q12"/>
    <mergeCell ref="H13:I13"/>
    <mergeCell ref="P13:Q13"/>
    <mergeCell ref="H14:I14"/>
    <mergeCell ref="P14:Q14"/>
    <mergeCell ref="H9:I9"/>
    <mergeCell ref="P9:Q9"/>
    <mergeCell ref="H10:I10"/>
    <mergeCell ref="P10:Q10"/>
    <mergeCell ref="H11:I11"/>
    <mergeCell ref="P11:Q11"/>
    <mergeCell ref="H8:I8"/>
    <mergeCell ref="P8:Q8"/>
    <mergeCell ref="A6:J6"/>
    <mergeCell ref="L7:V7"/>
    <mergeCell ref="M1:Z1"/>
    <mergeCell ref="M2:Z2"/>
    <mergeCell ref="M3:Z3"/>
    <mergeCell ref="M4:Z4"/>
    <mergeCell ref="W7:X7"/>
    <mergeCell ref="Y7:AA7"/>
    <mergeCell ref="P20:Q20"/>
    <mergeCell ref="H15:I15"/>
    <mergeCell ref="P15:Q15"/>
    <mergeCell ref="H16:I16"/>
    <mergeCell ref="P16:Q16"/>
    <mergeCell ref="H17:I17"/>
    <mergeCell ref="P17:Q17"/>
    <mergeCell ref="K31:M31"/>
    <mergeCell ref="H18:I18"/>
    <mergeCell ref="P18:Q18"/>
    <mergeCell ref="H19:I19"/>
    <mergeCell ref="P19:Q19"/>
    <mergeCell ref="H20:I20"/>
    <mergeCell ref="H23:I23"/>
    <mergeCell ref="P23:Q23"/>
    <mergeCell ref="K25:M25"/>
    <mergeCell ref="F26:J26"/>
    <mergeCell ref="F27:J27"/>
    <mergeCell ref="F30:J30"/>
    <mergeCell ref="N26:T26"/>
    <mergeCell ref="N27:T27"/>
    <mergeCell ref="N28:T28"/>
    <mergeCell ref="N29:T29"/>
    <mergeCell ref="F31:J31"/>
    <mergeCell ref="A24:B24"/>
    <mergeCell ref="B25:E25"/>
    <mergeCell ref="F25:J25"/>
    <mergeCell ref="U25:AE25"/>
    <mergeCell ref="H21:I21"/>
    <mergeCell ref="P21:Q21"/>
    <mergeCell ref="H22:I22"/>
    <mergeCell ref="P22:Q22"/>
    <mergeCell ref="K30:M30"/>
    <mergeCell ref="K26:M26"/>
    <mergeCell ref="K27:M27"/>
    <mergeCell ref="K28:M28"/>
    <mergeCell ref="K29:M29"/>
    <mergeCell ref="B26:E26"/>
    <mergeCell ref="U26:AE40"/>
    <mergeCell ref="B27:E27"/>
    <mergeCell ref="B28:E28"/>
    <mergeCell ref="B30:E30"/>
    <mergeCell ref="B31:E31"/>
    <mergeCell ref="F28:J28"/>
    <mergeCell ref="B29:E29"/>
    <mergeCell ref="F29:J29"/>
    <mergeCell ref="B36:E36"/>
    <mergeCell ref="F36:J36"/>
    <mergeCell ref="AD2:AE2"/>
    <mergeCell ref="AD3:AE3"/>
    <mergeCell ref="AD4:AE4"/>
    <mergeCell ref="A3:E3"/>
    <mergeCell ref="F3:J3"/>
    <mergeCell ref="A4:E5"/>
    <mergeCell ref="F4:J5"/>
    <mergeCell ref="M5:Z5"/>
    <mergeCell ref="M6:Z6"/>
    <mergeCell ref="AB2:AC2"/>
    <mergeCell ref="AB3:AC3"/>
    <mergeCell ref="AB4:AC4"/>
    <mergeCell ref="G1:J2"/>
    <mergeCell ref="A1:F2"/>
    <mergeCell ref="AB6:AC7"/>
    <mergeCell ref="AD6:AE7"/>
    <mergeCell ref="AB5:AC5"/>
    <mergeCell ref="AD5:AE5"/>
    <mergeCell ref="B7:J7"/>
    <mergeCell ref="N25:T25"/>
    <mergeCell ref="N44:T44"/>
    <mergeCell ref="N45:T45"/>
    <mergeCell ref="N46:T46"/>
    <mergeCell ref="N47:T47"/>
    <mergeCell ref="N48:T48"/>
    <mergeCell ref="N49:T49"/>
    <mergeCell ref="N50:T50"/>
    <mergeCell ref="N51:T51"/>
    <mergeCell ref="N30:T30"/>
    <mergeCell ref="N31:T31"/>
    <mergeCell ref="N32:T32"/>
    <mergeCell ref="N33:T33"/>
    <mergeCell ref="N34:T34"/>
    <mergeCell ref="N35:T35"/>
    <mergeCell ref="N36:T36"/>
    <mergeCell ref="N37:T37"/>
    <mergeCell ref="N38:T38"/>
    <mergeCell ref="N39:T39"/>
    <mergeCell ref="N40:T40"/>
    <mergeCell ref="N42:T42"/>
    <mergeCell ref="N43:T43"/>
  </mergeCells>
  <conditionalFormatting sqref="B44:C52">
    <cfRule type="expression" dxfId="109" priority="36">
      <formula>BQ27="Yes"</formula>
    </cfRule>
    <cfRule type="expression" dxfId="108" priority="37">
      <formula>BP27="Yes"</formula>
    </cfRule>
  </conditionalFormatting>
  <conditionalFormatting sqref="C9:C23">
    <cfRule type="expression" dxfId="107" priority="10">
      <formula>AW9="Yes"</formula>
    </cfRule>
  </conditionalFormatting>
  <conditionalFormatting sqref="C43">
    <cfRule type="expression" dxfId="106" priority="34">
      <formula>BR26="Yes"</formula>
    </cfRule>
    <cfRule type="expression" dxfId="105" priority="35">
      <formula>BQ26="Yes"</formula>
    </cfRule>
  </conditionalFormatting>
  <conditionalFormatting sqref="D9:D23">
    <cfRule type="expression" dxfId="104" priority="53">
      <formula>BD9="Yes"</formula>
    </cfRule>
  </conditionalFormatting>
  <conditionalFormatting sqref="D43:D52">
    <cfRule type="expression" dxfId="103" priority="30">
      <formula>BS26="Yes"</formula>
    </cfRule>
    <cfRule type="expression" dxfId="102" priority="31">
      <formula>BR26="Yes"</formula>
    </cfRule>
  </conditionalFormatting>
  <conditionalFormatting sqref="F9:F23">
    <cfRule type="expression" dxfId="101" priority="29">
      <formula>CJ9="Failed"</formula>
    </cfRule>
  </conditionalFormatting>
  <conditionalFormatting sqref="G9:G23">
    <cfRule type="containsText" dxfId="100" priority="1" operator="containsText" text="Luvre">
      <formula>NOT(ISERROR(SEARCH("Luvre",G9)))</formula>
    </cfRule>
    <cfRule type="containsText" dxfId="99" priority="2" operator="containsText" text="Night">
      <formula>NOT(ISERROR(SEARCH("Night",G9)))</formula>
    </cfRule>
    <cfRule type="containsText" dxfId="98" priority="4" operator="containsText" text="Plus">
      <formula>NOT(ISERROR(SEARCH("Plus",G9)))</formula>
    </cfRule>
  </conditionalFormatting>
  <conditionalFormatting sqref="H9:I23">
    <cfRule type="expression" dxfId="97" priority="46">
      <formula>CB9="No"</formula>
    </cfRule>
  </conditionalFormatting>
  <conditionalFormatting sqref="J9:J23">
    <cfRule type="expression" dxfId="96" priority="45">
      <formula>CC9="Yes"</formula>
    </cfRule>
  </conditionalFormatting>
  <conditionalFormatting sqref="K9:K23">
    <cfRule type="expression" dxfId="95" priority="20" stopIfTrue="1">
      <formula>AZ9="Yes"</formula>
    </cfRule>
  </conditionalFormatting>
  <conditionalFormatting sqref="M6:N6">
    <cfRule type="notContainsBlanks" dxfId="94" priority="28">
      <formula>LEN(TRIM(M6))&gt;0</formula>
    </cfRule>
  </conditionalFormatting>
  <conditionalFormatting sqref="O9:O23">
    <cfRule type="expression" dxfId="93" priority="6">
      <formula>EH9="ERROR"</formula>
    </cfRule>
    <cfRule type="expression" dxfId="92" priority="13">
      <formula>DJ9="Layout Code &amp; T Post Quantity Issue"</formula>
    </cfRule>
    <cfRule type="expression" dxfId="91" priority="15">
      <formula>CJ9="Failed"</formula>
    </cfRule>
  </conditionalFormatting>
  <conditionalFormatting sqref="P9:Q23">
    <cfRule type="expression" dxfId="90" priority="40">
      <formula>CG9="Error"</formula>
    </cfRule>
  </conditionalFormatting>
  <conditionalFormatting sqref="U9:U23">
    <cfRule type="expression" dxfId="89" priority="67">
      <formula>EC9="Highlight"</formula>
    </cfRule>
  </conditionalFormatting>
  <conditionalFormatting sqref="V9:V23">
    <cfRule type="expression" dxfId="88" priority="16">
      <formula>AX9="Required"</formula>
    </cfRule>
  </conditionalFormatting>
  <conditionalFormatting sqref="W9:W23">
    <cfRule type="expression" dxfId="87" priority="9">
      <formula>EE9="Yes"</formula>
    </cfRule>
  </conditionalFormatting>
  <conditionalFormatting sqref="X9:X23">
    <cfRule type="expression" dxfId="86" priority="11">
      <formula>BH9="Highlight"</formula>
    </cfRule>
    <cfRule type="expression" dxfId="85" priority="27">
      <formula>DE9="Yes"</formula>
    </cfRule>
    <cfRule type="expression" dxfId="84" priority="41">
      <formula>CE9="Yes"</formula>
    </cfRule>
  </conditionalFormatting>
  <conditionalFormatting sqref="Y7">
    <cfRule type="containsText" dxfId="83" priority="26" operator="containsText" text="Layout Code &amp; T Post Quantity Issue">
      <formula>NOT(ISERROR(SEARCH("Layout Code &amp; T Post Quantity Issue",Y7)))</formula>
    </cfRule>
  </conditionalFormatting>
  <conditionalFormatting sqref="Y9:Y23">
    <cfRule type="expression" dxfId="82" priority="51">
      <formula>DO9="Yes"</formula>
    </cfRule>
  </conditionalFormatting>
  <conditionalFormatting sqref="Z9:AA23">
    <cfRule type="expression" dxfId="81" priority="22">
      <formula>DQ9="Error"</formula>
    </cfRule>
    <cfRule type="expression" dxfId="80" priority="23">
      <formula>BK9="Error"</formula>
    </cfRule>
  </conditionalFormatting>
  <conditionalFormatting sqref="AD9:AD23">
    <cfRule type="containsText" dxfId="79" priority="3" operator="containsText" text="Yes">
      <formula>NOT(ISERROR(SEARCH("Yes",AD9)))</formula>
    </cfRule>
  </conditionalFormatting>
  <conditionalFormatting sqref="AE1">
    <cfRule type="cellIs" dxfId="78" priority="5" operator="greaterThan">
      <formula>1</formula>
    </cfRule>
  </conditionalFormatting>
  <conditionalFormatting sqref="AT9:AT23">
    <cfRule type="containsErrors" dxfId="77" priority="70">
      <formula>ISERROR(AT9)</formula>
    </cfRule>
  </conditionalFormatting>
  <dataValidations count="36">
    <dataValidation type="list" allowBlank="1" showInputMessage="1" showErrorMessage="1" errorTitle="Invalid Entry" error="Invalid Entry" sqref="R9:R23" xr:uid="{00000000-0002-0000-0000-000000000000}">
      <formula1>INDIRECT(DK9)</formula1>
    </dataValidation>
    <dataValidation type="list" allowBlank="1" showInputMessage="1" showErrorMessage="1" errorTitle="Invalid Entry" error="Invalid Entry" sqref="S9:T23" xr:uid="{00000000-0002-0000-0000-000001000000}">
      <formula1>INDIRECT(DK9)</formula1>
    </dataValidation>
    <dataValidation type="list" allowBlank="1" showInputMessage="1" showErrorMessage="1" errorTitle="Invalid Entry" error="Invalid Entry" sqref="X9:X23" xr:uid="{00000000-0002-0000-0000-000002000000}">
      <formula1>INDIRECT(DE9)</formula1>
    </dataValidation>
    <dataValidation type="list" allowBlank="1" showInputMessage="1" showErrorMessage="1" errorTitle="Invalid Entry" error="Invalid Entry" sqref="P9:Q23" xr:uid="{00000000-0002-0000-0000-000003000000}">
      <formula1>INDIRECT(SUBSTITUTE(DW9," ","_"))</formula1>
    </dataValidation>
    <dataValidation type="list" errorStyle="information" allowBlank="1" showInputMessage="1" showErrorMessage="1" errorTitle="Invalid Entry" error="Invalid Entry" sqref="L9:L23" xr:uid="{00000000-0002-0000-0000-000005000000}">
      <formula1>INDIRECT(DY9)</formula1>
    </dataValidation>
    <dataValidation type="list" errorStyle="information" allowBlank="1" showInputMessage="1" showErrorMessage="1" errorTitle="Check Layout Code" error="The Layout Codes In This List Are The Most Common Codes._x000a__x000a_When Entering A Different Special Code, Please Refer To The Shutter Manual." sqref="O9:O23" xr:uid="{00000000-0002-0000-0000-000006000000}">
      <formula1>INDIRECT(SUBSTITUTE(EB9," ","_"))</formula1>
    </dataValidation>
    <dataValidation type="list" allowBlank="1" showInputMessage="1" showErrorMessage="1" errorTitle="Invalid Entry" error="Invalid Entry" sqref="X44:Y52" xr:uid="{00000000-0002-0000-0000-000007000000}">
      <formula1>INDIRECT(SUBSTITUTE(BE44," ","_"))</formula1>
    </dataValidation>
    <dataValidation type="list" allowBlank="1" showInputMessage="1" showErrorMessage="1" errorTitle="Invalid Entry" error="Invalid Entry" sqref="U44:V52 U43:Y43" xr:uid="{00000000-0002-0000-0000-000008000000}">
      <formula1>INDIRECT(SUBSTITUTE(BD43," ","_"))</formula1>
    </dataValidation>
    <dataValidation type="list" allowBlank="1" showInputMessage="1" showErrorMessage="1" errorTitle="Invalid Entry" error="Invalid Entry" sqref="W44:W52" xr:uid="{00000000-0002-0000-0000-000009000000}">
      <formula1>INDIRECT(SUBSTITUTE(BE44," ","_"))</formula1>
    </dataValidation>
    <dataValidation type="list" allowBlank="1" showInputMessage="1" showErrorMessage="1" errorTitle="Invalid Entry" error="Please select from list!" sqref="AT42:AT52" xr:uid="{00000000-0002-0000-0000-00000A000000}">
      <formula1>Pelmet</formula1>
    </dataValidation>
    <dataValidation allowBlank="1" showInputMessage="1" showErrorMessage="1" errorTitle="Invalid Entry" error="Invalid Entry" sqref="AY9:AY23 AT9:AT23" xr:uid="{00000000-0002-0000-0000-00000B000000}"/>
    <dataValidation type="list" allowBlank="1" showInputMessage="1" showErrorMessage="1" errorTitle="Invalid Entry" error="Invalid Entry" sqref="N43:T52" xr:uid="{00000000-0002-0000-0000-00000D000000}">
      <formula1>FauxwoodDesignerHardware</formula1>
    </dataValidation>
    <dataValidation type="list" allowBlank="1" showInputMessage="1" showErrorMessage="1" errorTitle="Invalid Entry" error="Invalid Entry" sqref="K40 K26:K38" xr:uid="{00000000-0002-0000-0000-00000F000000}">
      <formula1>FauxwoodDesignerSpecialComments3</formula1>
    </dataValidation>
    <dataValidation type="list" allowBlank="1" showInputMessage="1" showErrorMessage="1" errorTitle="Invalid Entry" error="Invalid Entry" sqref="F26:J40" xr:uid="{00000000-0002-0000-0000-000012000000}">
      <formula1>FauxwoodDesignerSpecialComments2</formula1>
    </dataValidation>
    <dataValidation type="list" allowBlank="1" showInputMessage="1" showErrorMessage="1" errorTitle="Invalid Entry" error="Invalid Entry" sqref="G9:G23" xr:uid="{00000000-0002-0000-0000-000013000000}">
      <formula1>FauxwoodDesignerShutterMaterial</formula1>
    </dataValidation>
    <dataValidation type="whole" errorStyle="information" allowBlank="1" showInputMessage="1" showErrorMessage="1" errorTitle="Be Aware" error="Minimum Panel Height is 350mm._x000a__x000a_Maximum Panel Height is 2600mm." sqref="D9:D23" xr:uid="{00000000-0002-0000-0000-000014000000}">
      <formula1>350</formula1>
      <formula2>2600</formula2>
    </dataValidation>
    <dataValidation type="list" allowBlank="1" showInputMessage="1" showErrorMessage="1" sqref="E9:E23" xr:uid="{00000000-0002-0000-0000-000015000000}">
      <formula1>"IN,OUT,MS"</formula1>
    </dataValidation>
    <dataValidation type="whole" errorStyle="information" allowBlank="1" showInputMessage="1" showErrorMessage="1" errorTitle="Be Aware" error="Minimum Panel Width is 180mm._x000a__x000a_Maximum Fauxwood Panel Width _x000a_is 900mm." sqref="C9:C23" xr:uid="{00000000-0002-0000-0000-000016000000}">
      <formula1>130</formula1>
      <formula2>3600</formula2>
    </dataValidation>
    <dataValidation type="list" allowBlank="1" showInputMessage="1" showErrorMessage="1" errorTitle="Invalid Entry" error="Invalid Entry" sqref="B26:E40" xr:uid="{00000000-0002-0000-0000-000017000000}">
      <formula1>FauxwoodDesignerSpecialComments1</formula1>
    </dataValidation>
    <dataValidation type="whole" errorStyle="warning" allowBlank="1" showInputMessage="1" showErrorMessage="1" errorTitle="Length Warning" error="Please note that only Fascia's are able to be made greater than 3000mm in length._x000a__x000a_Fascia's can be made to a maximum of 3600mm." sqref="C43:C52" xr:uid="{00000000-0002-0000-0000-000018000000}">
      <formula1>0</formula1>
      <formula2>3000</formula2>
    </dataValidation>
    <dataValidation type="list" allowBlank="1" showInputMessage="1" showErrorMessage="1" errorTitle="Invalid Entry" error="Invalid Entry" sqref="D43:I52" xr:uid="{00000000-0002-0000-0000-000019000000}">
      <formula1>FauxwoodDesignerExtras</formula1>
    </dataValidation>
    <dataValidation type="list" allowBlank="1" showInputMessage="1" showErrorMessage="1" errorTitle="Invalid Entry" error="Invalid Entry" sqref="J43:K52" xr:uid="{00000000-0002-0000-0000-00001A000000}">
      <formula1>FauxwoodDesignerExtrasMaterial</formula1>
    </dataValidation>
    <dataValidation type="list" allowBlank="1" showInputMessage="1" showErrorMessage="1" errorTitle="Invalid Entry" error="Invalid Entry" sqref="L43:L52" xr:uid="{00000000-0002-0000-0000-00001B000000}">
      <formula1>FauxwoodDesignerExtrasColour</formula1>
    </dataValidation>
    <dataValidation type="list" allowBlank="1" showInputMessage="1" showErrorMessage="1" errorTitle="Invalid Entry" error="Invalid Entry" sqref="W9:W23" xr:uid="{00000000-0002-0000-0000-00001D000000}">
      <formula1>INDIRECT(DF9)</formula1>
    </dataValidation>
    <dataValidation type="list" allowBlank="1" showInputMessage="1" showErrorMessage="1" errorTitle="Invalid Entry" error="Invalid Entry" sqref="Y9:Y23" xr:uid="{00000000-0002-0000-0000-00001F000000}">
      <formula1>INDIRECT(SUBSTITUTE(AX9," ","_"))</formula1>
    </dataValidation>
    <dataValidation type="list" allowBlank="1" showInputMessage="1" showErrorMessage="1" errorTitle="Invalid Entry" error="Invalid Entry" sqref="AD6" xr:uid="{A8769DFA-BB98-4641-AA14-98AD7959C076}">
      <formula1>Port</formula1>
    </dataValidation>
    <dataValidation allowBlank="1" showInputMessage="1" errorTitle="Invalid Entry" error="Invalid Entry" sqref="M43:M52" xr:uid="{1802F00E-C572-4810-BD52-05D8967C7FFA}"/>
    <dataValidation type="list" allowBlank="1" showInputMessage="1" showErrorMessage="1" errorTitle="Invalid Entry" error="Invalid Entry" sqref="F3:J3" xr:uid="{8C4AB5D8-DC78-4967-A79C-5BBF3FADCC1F}">
      <formula1>ShutterEmail</formula1>
    </dataValidation>
    <dataValidation type="list" allowBlank="1" showInputMessage="1" showErrorMessage="1" errorTitle="Invalid Entry" error="Invalid Entry" sqref="J9:J23" xr:uid="{6A95CE30-66BB-4297-86A3-A8CB3C53FA7B}">
      <formula1>INDIRECT(SUBSTITUTE(ER9," ","_"))</formula1>
    </dataValidation>
    <dataValidation type="list" allowBlank="1" showInputMessage="1" showErrorMessage="1" errorTitle="Invalid Entry" error="Invalid Entry" sqref="AC9:AC23" xr:uid="{31216F04-E737-4CE6-B89F-2DD8A4DF3842}">
      <formula1>INDIRECT(SUBSTITUTE(ET9," ","_"))</formula1>
    </dataValidation>
    <dataValidation type="list" allowBlank="1" showInputMessage="1" showErrorMessage="1" errorTitle="Invalid Entry" error="Invalid Entry" sqref="AD9:AD23" xr:uid="{04C84054-2CB8-488C-B237-8A2EBE5FF233}">
      <formula1>INDIRECT(SUBSTITUTE(EY9," ","_"))</formula1>
    </dataValidation>
    <dataValidation type="list" allowBlank="1" showInputMessage="1" showErrorMessage="1" errorTitle="Invalid Entry" error="Invalid Entry" sqref="M9:M23" xr:uid="{27693A8E-0C7D-4358-BA06-1B843A4F68DE}">
      <formula1>INDIRECT(SUBSTITUTE(FE9," ","_"))</formula1>
    </dataValidation>
    <dataValidation type="list" allowBlank="1" showInputMessage="1" showErrorMessage="1" errorTitle="Invalid Entry" error="Invalid Entry" sqref="V9:V23" xr:uid="{2DBF645D-93B1-4F16-AC45-89A65950C726}">
      <formula1>INDIRECT(SUBSTITUTE(FB9," ","_"))</formula1>
    </dataValidation>
    <dataValidation type="list" allowBlank="1" showInputMessage="1" showErrorMessage="1" errorTitle="Invalid Entry" error="Invalid Entry" sqref="N9:N23" xr:uid="{153593A1-561F-4EBF-A8CF-9085BF28F149}">
      <formula1>INDIRECT(SUBSTITUTE(FH9," ","_"))</formula1>
    </dataValidation>
    <dataValidation type="list" allowBlank="1" showInputMessage="1" showErrorMessage="1" errorTitle="Invalid Entry" error="Invalid Entry" sqref="U9:U23" xr:uid="{0315E71B-29F1-4421-8417-0E704E594229}">
      <formula1>INDIRECT(SUBSTITUTE(FL9," ","_"))</formula1>
    </dataValidation>
    <dataValidation type="list" allowBlank="1" showInputMessage="1" showErrorMessage="1" errorTitle="Invalid Entry" error="Invalid Entry" sqref="H9:I23" xr:uid="{A8C8E6E1-A548-4E73-9ACF-37E4EA6C7F34}">
      <formula1>INDIRECT(SUBSTITUTE(AV9," ","_"))</formula1>
    </dataValidation>
  </dataValidations>
  <printOptions horizontalCentered="1"/>
  <pageMargins left="0.15748031496062992" right="0.15748031496062992" top="0.19685039370078741" bottom="0.19685039370078741" header="0.15748031496062992" footer="0.15748031496062992"/>
  <pageSetup paperSize="9" scale="35" orientation="landscape"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ADD640-3A72-432B-8ACD-9DA16A3E8734}">
  <sheetPr>
    <tabColor theme="5" tint="0.39997558519241921"/>
    <pageSetUpPr fitToPage="1"/>
  </sheetPr>
  <dimension ref="A1:FZ53"/>
  <sheetViews>
    <sheetView view="pageBreakPreview" zoomScale="85" zoomScaleSheetLayoutView="85" workbookViewId="0">
      <selection activeCell="B9" sqref="B9"/>
    </sheetView>
  </sheetViews>
  <sheetFormatPr defaultRowHeight="15" x14ac:dyDescent="0.2"/>
  <cols>
    <col min="1" max="1" width="6" style="6" customWidth="1"/>
    <col min="2" max="2" width="17.28515625" style="6" customWidth="1"/>
    <col min="3" max="3" width="13" style="6" customWidth="1"/>
    <col min="4" max="4" width="12.42578125" style="6" customWidth="1"/>
    <col min="5" max="5" width="8.140625" style="6" customWidth="1"/>
    <col min="6" max="6" width="9.42578125" style="6" customWidth="1"/>
    <col min="7" max="7" width="21.7109375" style="6" customWidth="1"/>
    <col min="8" max="9" width="12" style="6" customWidth="1"/>
    <col min="10" max="10" width="11.28515625" style="6" customWidth="1"/>
    <col min="11" max="11" width="16.7109375" style="6" customWidth="1"/>
    <col min="12" max="12" width="24.85546875" style="6" customWidth="1"/>
    <col min="13" max="15" width="19.5703125" style="6" customWidth="1"/>
    <col min="16" max="17" width="11" style="6" customWidth="1"/>
    <col min="18" max="21" width="11.5703125" style="6" customWidth="1"/>
    <col min="22" max="22" width="10.5703125" style="6" customWidth="1"/>
    <col min="23" max="23" width="19.140625" style="6" customWidth="1"/>
    <col min="24" max="24" width="10.85546875" style="6" customWidth="1"/>
    <col min="25" max="25" width="8.85546875" style="6" customWidth="1"/>
    <col min="26" max="28" width="8.28515625" style="6" customWidth="1"/>
    <col min="29" max="29" width="21" style="6" customWidth="1"/>
    <col min="30" max="30" width="9.5703125" style="6" customWidth="1"/>
    <col min="31" max="31" width="15.85546875" style="6" customWidth="1"/>
    <col min="32" max="32" width="16" style="9" customWidth="1"/>
    <col min="33" max="33" width="37.7109375" style="6" customWidth="1"/>
    <col min="34" max="34" width="9.140625" style="6" hidden="1" customWidth="1"/>
    <col min="35" max="36" width="27.7109375" style="6" hidden="1" customWidth="1"/>
    <col min="37" max="37" width="16.42578125" style="6" hidden="1" customWidth="1"/>
    <col min="38" max="38" width="17.85546875" style="6" hidden="1" customWidth="1"/>
    <col min="39" max="45" width="9.140625" style="6" hidden="1" customWidth="1"/>
    <col min="46" max="46" width="9.5703125" style="6" customWidth="1"/>
    <col min="47" max="47" width="9.140625" style="6" hidden="1" customWidth="1"/>
    <col min="48" max="48" width="28.140625" style="6" hidden="1" customWidth="1"/>
    <col min="49" max="49" width="13.28515625" style="7" hidden="1" customWidth="1"/>
    <col min="50" max="50" width="13.85546875" style="7" hidden="1" customWidth="1"/>
    <col min="51" max="51" width="52" style="7" hidden="1" customWidth="1"/>
    <col min="52" max="52" width="35.5703125" style="7" hidden="1" customWidth="1"/>
    <col min="53" max="53" width="26.140625" style="7" hidden="1" customWidth="1"/>
    <col min="54" max="55" width="15.42578125" style="7" hidden="1" customWidth="1"/>
    <col min="56" max="56" width="54.42578125" style="7" hidden="1" customWidth="1"/>
    <col min="57" max="57" width="15.42578125" style="7" hidden="1" customWidth="1"/>
    <col min="58" max="58" width="15.7109375" style="7" hidden="1" customWidth="1"/>
    <col min="59" max="59" width="15.5703125" style="7" hidden="1" customWidth="1"/>
    <col min="60" max="60" width="22.140625" style="7" hidden="1" customWidth="1"/>
    <col min="61" max="61" width="19.7109375" style="6" hidden="1" customWidth="1"/>
    <col min="62" max="62" width="15.140625" style="106" hidden="1" customWidth="1"/>
    <col min="63" max="65" width="15.140625" style="118" hidden="1" customWidth="1"/>
    <col min="66" max="66" width="18.5703125" style="7" hidden="1" customWidth="1"/>
    <col min="67" max="67" width="20.5703125" style="7" hidden="1" customWidth="1"/>
    <col min="68" max="68" width="16.42578125" style="7" hidden="1" customWidth="1"/>
    <col min="69" max="69" width="14.28515625" style="7" hidden="1" customWidth="1"/>
    <col min="70" max="70" width="15.7109375" style="7" hidden="1" customWidth="1"/>
    <col min="71" max="71" width="12.140625" style="7" hidden="1" customWidth="1"/>
    <col min="72" max="72" width="13.7109375" style="7" hidden="1" customWidth="1"/>
    <col min="73" max="73" width="21.140625" style="7" hidden="1" customWidth="1"/>
    <col min="74" max="75" width="12.140625" style="6" hidden="1" customWidth="1"/>
    <col min="76" max="76" width="12.140625" style="7" hidden="1" customWidth="1"/>
    <col min="77" max="77" width="25.28515625" style="7" hidden="1" customWidth="1"/>
    <col min="78" max="78" width="29.5703125" style="7" hidden="1" customWidth="1"/>
    <col min="79" max="79" width="26" style="7" hidden="1" customWidth="1"/>
    <col min="80" max="80" width="26.28515625" style="7" hidden="1" customWidth="1"/>
    <col min="81" max="81" width="19.42578125" style="7" hidden="1" customWidth="1"/>
    <col min="82" max="82" width="30.42578125" style="7" hidden="1" customWidth="1"/>
    <col min="83" max="83" width="33" style="7" hidden="1" customWidth="1"/>
    <col min="84" max="84" width="21.7109375" style="7" hidden="1" customWidth="1"/>
    <col min="85" max="85" width="24" style="7" hidden="1" customWidth="1"/>
    <col min="86" max="86" width="27.42578125" style="7" hidden="1" customWidth="1"/>
    <col min="87" max="87" width="21.85546875" style="118" hidden="1" customWidth="1"/>
    <col min="88" max="88" width="19.42578125" style="118" hidden="1" customWidth="1"/>
    <col min="89" max="90" width="35.85546875" style="6" hidden="1" customWidth="1"/>
    <col min="91" max="91" width="101.85546875" style="6" hidden="1" customWidth="1"/>
    <col min="92" max="92" width="19.85546875" style="6" hidden="1" customWidth="1"/>
    <col min="93" max="94" width="16.140625" style="123" hidden="1" customWidth="1"/>
    <col min="95" max="95" width="21.5703125" style="6" hidden="1" customWidth="1"/>
    <col min="96" max="96" width="20.7109375" style="6" hidden="1" customWidth="1"/>
    <col min="97" max="97" width="15.85546875" style="6" hidden="1" customWidth="1"/>
    <col min="98" max="98" width="23.5703125" style="6" hidden="1" customWidth="1"/>
    <col min="99" max="101" width="27.5703125" style="7" hidden="1" customWidth="1"/>
    <col min="102" max="102" width="27.85546875" style="7" hidden="1" customWidth="1"/>
    <col min="103" max="103" width="25.7109375" style="6" hidden="1" customWidth="1"/>
    <col min="104" max="104" width="32.85546875" style="7" hidden="1" customWidth="1"/>
    <col min="105" max="105" width="35.42578125" style="6" hidden="1" customWidth="1"/>
    <col min="106" max="106" width="28" style="6" hidden="1" customWidth="1"/>
    <col min="107" max="107" width="32.140625" style="6" hidden="1" customWidth="1"/>
    <col min="108" max="108" width="38" style="6" hidden="1" customWidth="1"/>
    <col min="109" max="109" width="51" style="6" hidden="1" customWidth="1"/>
    <col min="110" max="110" width="37.28515625" style="6" hidden="1" customWidth="1"/>
    <col min="111" max="111" width="9.140625" style="6" hidden="1" customWidth="1"/>
    <col min="112" max="112" width="29.85546875" style="123" hidden="1" customWidth="1"/>
    <col min="113" max="113" width="31.85546875" style="103" hidden="1" customWidth="1"/>
    <col min="114" max="114" width="62" style="103" hidden="1" customWidth="1"/>
    <col min="115" max="115" width="58.28515625" style="7" hidden="1" customWidth="1"/>
    <col min="116" max="116" width="52.85546875" style="7" hidden="1" customWidth="1"/>
    <col min="117" max="117" width="58.42578125" style="118" hidden="1" customWidth="1"/>
    <col min="118" max="118" width="27.42578125" style="106" hidden="1" customWidth="1"/>
    <col min="119" max="119" width="22" style="106" hidden="1" customWidth="1"/>
    <col min="120" max="120" width="20.42578125" style="106" hidden="1" customWidth="1"/>
    <col min="121" max="122" width="21.7109375" style="106" hidden="1" customWidth="1"/>
    <col min="123" max="123" width="19.5703125" style="106" hidden="1" customWidth="1"/>
    <col min="124" max="124" width="33" style="7" hidden="1" customWidth="1"/>
    <col min="125" max="126" width="11" style="6" hidden="1" customWidth="1"/>
    <col min="127" max="127" width="46.85546875" style="7" hidden="1" customWidth="1"/>
    <col min="128" max="128" width="41" style="7" hidden="1" customWidth="1"/>
    <col min="129" max="129" width="39.85546875" style="7" hidden="1" customWidth="1"/>
    <col min="130" max="130" width="58.42578125" style="118" hidden="1" customWidth="1"/>
    <col min="131" max="131" width="117.7109375" style="6" hidden="1" customWidth="1"/>
    <col min="132" max="132" width="46.42578125" style="6" hidden="1" customWidth="1"/>
    <col min="133" max="133" width="24.7109375" style="6" hidden="1" customWidth="1"/>
    <col min="134" max="134" width="24.28515625" style="7" hidden="1" customWidth="1"/>
    <col min="135" max="135" width="16.85546875" style="7" hidden="1" customWidth="1"/>
    <col min="136" max="136" width="39" style="7" hidden="1" customWidth="1"/>
    <col min="137" max="137" width="22.5703125" style="7" hidden="1" customWidth="1"/>
    <col min="138" max="139" width="9.140625" style="6" hidden="1" customWidth="1"/>
    <col min="140" max="140" width="14.5703125" style="6" hidden="1" customWidth="1"/>
    <col min="141" max="141" width="13.5703125" style="6" hidden="1" customWidth="1"/>
    <col min="142" max="142" width="15" style="6" hidden="1" customWidth="1"/>
    <col min="143" max="144" width="15.140625" style="6" hidden="1" customWidth="1"/>
    <col min="145" max="145" width="26.28515625" style="6" hidden="1" customWidth="1"/>
    <col min="146" max="146" width="25.28515625" style="6" hidden="1" customWidth="1"/>
    <col min="147" max="147" width="9.140625" style="6" hidden="1" customWidth="1"/>
    <col min="148" max="148" width="28.140625" style="6" hidden="1" customWidth="1"/>
    <col min="149" max="149" width="9.140625" style="6" hidden="1" customWidth="1"/>
    <col min="150" max="150" width="14.7109375" style="6" hidden="1" customWidth="1"/>
    <col min="151" max="151" width="18.5703125" style="6" hidden="1" customWidth="1"/>
    <col min="152" max="152" width="9.140625" style="6" hidden="1" customWidth="1"/>
    <col min="153" max="154" width="19.85546875" style="6" hidden="1" customWidth="1"/>
    <col min="155" max="155" width="23.5703125" style="6" hidden="1" customWidth="1"/>
    <col min="156" max="158" width="37.42578125" style="6" hidden="1" customWidth="1"/>
    <col min="159" max="159" width="16.42578125" style="6" hidden="1" customWidth="1"/>
    <col min="160" max="160" width="26.7109375" style="6" hidden="1" customWidth="1"/>
    <col min="161" max="161" width="48.140625" style="6" hidden="1" customWidth="1"/>
    <col min="162" max="163" width="9.140625" style="6" hidden="1" customWidth="1"/>
    <col min="164" max="164" width="31.85546875" style="6" hidden="1" customWidth="1"/>
    <col min="165" max="165" width="18.85546875" style="6" hidden="1" customWidth="1"/>
    <col min="166" max="166" width="20.5703125" style="6" hidden="1" customWidth="1"/>
    <col min="167" max="167" width="9.140625" style="6" hidden="1" customWidth="1"/>
    <col min="168" max="168" width="36.7109375" style="6" hidden="1" customWidth="1"/>
    <col min="169" max="182" width="9.140625" style="6" hidden="1" customWidth="1"/>
    <col min="183" max="185" width="9.140625" style="6" customWidth="1"/>
    <col min="186" max="16384" width="9.140625" style="6"/>
  </cols>
  <sheetData>
    <row r="1" spans="1:168" ht="27" customHeight="1" x14ac:dyDescent="0.2">
      <c r="A1" s="212"/>
      <c r="B1" s="213"/>
      <c r="C1" s="213"/>
      <c r="D1" s="213"/>
      <c r="E1" s="213"/>
      <c r="F1" s="213"/>
      <c r="G1" s="208" t="s">
        <v>755</v>
      </c>
      <c r="H1" s="208"/>
      <c r="I1" s="208"/>
      <c r="J1" s="209"/>
      <c r="K1" s="5"/>
      <c r="L1" s="91" t="s">
        <v>396</v>
      </c>
      <c r="M1" s="261">
        <f>'Designer Shutters Page 1'!M1:Z1</f>
        <v>0</v>
      </c>
      <c r="N1" s="262"/>
      <c r="O1" s="262"/>
      <c r="P1" s="262"/>
      <c r="Q1" s="262"/>
      <c r="R1" s="262"/>
      <c r="S1" s="262"/>
      <c r="T1" s="262"/>
      <c r="U1" s="262"/>
      <c r="V1" s="262"/>
      <c r="W1" s="262"/>
      <c r="X1" s="262"/>
      <c r="Y1" s="262"/>
      <c r="Z1" s="263"/>
      <c r="AA1" s="152"/>
      <c r="AB1" s="147" t="s">
        <v>774</v>
      </c>
      <c r="AC1" s="147">
        <f>'Designer Shutters Page 1'!EM10</f>
        <v>0</v>
      </c>
      <c r="AD1" s="147" t="s">
        <v>770</v>
      </c>
      <c r="AE1" s="147">
        <f>'Designer Shutters Page 1'!AE1</f>
        <v>0</v>
      </c>
      <c r="AF1" s="6"/>
    </row>
    <row r="2" spans="1:168" ht="21" customHeight="1" x14ac:dyDescent="0.2">
      <c r="A2" s="214"/>
      <c r="B2" s="215"/>
      <c r="C2" s="215"/>
      <c r="D2" s="215"/>
      <c r="E2" s="215"/>
      <c r="F2" s="215"/>
      <c r="G2" s="210"/>
      <c r="H2" s="210"/>
      <c r="I2" s="210"/>
      <c r="J2" s="211"/>
      <c r="K2" s="8"/>
      <c r="L2" s="91" t="s">
        <v>397</v>
      </c>
      <c r="M2" s="264">
        <f>'Designer Shutters Page 1'!M2:Z2</f>
        <v>0</v>
      </c>
      <c r="N2" s="265"/>
      <c r="O2" s="266"/>
      <c r="P2" s="266"/>
      <c r="Q2" s="266"/>
      <c r="R2" s="266"/>
      <c r="S2" s="266"/>
      <c r="T2" s="266"/>
      <c r="U2" s="266"/>
      <c r="V2" s="266"/>
      <c r="W2" s="266"/>
      <c r="X2" s="266"/>
      <c r="Y2" s="266"/>
      <c r="Z2" s="267"/>
      <c r="AA2" s="153"/>
      <c r="AB2" s="202" t="s">
        <v>767</v>
      </c>
      <c r="AC2" s="203"/>
      <c r="AD2" s="177">
        <f>'Designer Shutters Page 1'!AD2:AE2</f>
        <v>0</v>
      </c>
      <c r="AE2" s="178"/>
      <c r="FH2" s="6" t="s">
        <v>288</v>
      </c>
    </row>
    <row r="3" spans="1:168" ht="21" customHeight="1" x14ac:dyDescent="0.2">
      <c r="A3" s="183" t="s">
        <v>771</v>
      </c>
      <c r="B3" s="184"/>
      <c r="C3" s="184"/>
      <c r="D3" s="184"/>
      <c r="E3" s="185"/>
      <c r="F3" s="186" t="s">
        <v>793</v>
      </c>
      <c r="G3" s="187"/>
      <c r="H3" s="187"/>
      <c r="I3" s="187"/>
      <c r="J3" s="188"/>
      <c r="K3" s="5"/>
      <c r="L3" s="91" t="s">
        <v>398</v>
      </c>
      <c r="M3" s="268">
        <f>'Designer Shutters Page 1'!M3:Z3</f>
        <v>0</v>
      </c>
      <c r="N3" s="269"/>
      <c r="O3" s="269"/>
      <c r="P3" s="269"/>
      <c r="Q3" s="269"/>
      <c r="R3" s="269"/>
      <c r="S3" s="269"/>
      <c r="T3" s="269"/>
      <c r="U3" s="269"/>
      <c r="V3" s="269"/>
      <c r="W3" s="269"/>
      <c r="X3" s="269"/>
      <c r="Y3" s="269"/>
      <c r="Z3" s="270"/>
      <c r="AA3" s="153"/>
      <c r="AB3" s="204" t="s">
        <v>399</v>
      </c>
      <c r="AC3" s="205"/>
      <c r="AD3" s="179">
        <f>SUM(AE9:AE23)</f>
        <v>0</v>
      </c>
      <c r="AE3" s="180"/>
      <c r="AI3" s="6" t="s">
        <v>281</v>
      </c>
      <c r="AJ3" s="6" t="s">
        <v>288</v>
      </c>
      <c r="FH3" s="6" t="s">
        <v>866</v>
      </c>
      <c r="FI3" s="6" t="s">
        <v>867</v>
      </c>
    </row>
    <row r="4" spans="1:168" ht="21" customHeight="1" x14ac:dyDescent="0.2">
      <c r="A4" s="189" t="s">
        <v>400</v>
      </c>
      <c r="B4" s="190"/>
      <c r="C4" s="190"/>
      <c r="D4" s="190"/>
      <c r="E4" s="191"/>
      <c r="F4" s="189"/>
      <c r="G4" s="190"/>
      <c r="H4" s="190"/>
      <c r="I4" s="190"/>
      <c r="J4" s="191"/>
      <c r="K4" s="8"/>
      <c r="L4" s="91" t="s">
        <v>401</v>
      </c>
      <c r="M4" s="271">
        <f>'Designer Shutters Page 1'!M4:Z4</f>
        <v>0</v>
      </c>
      <c r="N4" s="266"/>
      <c r="O4" s="266"/>
      <c r="P4" s="266"/>
      <c r="Q4" s="266"/>
      <c r="R4" s="266"/>
      <c r="S4" s="266"/>
      <c r="T4" s="266"/>
      <c r="U4" s="266"/>
      <c r="V4" s="266"/>
      <c r="W4" s="266"/>
      <c r="X4" s="266"/>
      <c r="Y4" s="266"/>
      <c r="Z4" s="267"/>
      <c r="AA4" s="154"/>
      <c r="AB4" s="206" t="s">
        <v>402</v>
      </c>
      <c r="AC4" s="207"/>
      <c r="AD4" s="181">
        <f>SUM(F9:F23)</f>
        <v>0</v>
      </c>
      <c r="AE4" s="182"/>
      <c r="EO4" s="6" t="s">
        <v>823</v>
      </c>
      <c r="FH4" s="6" t="s">
        <v>868</v>
      </c>
      <c r="FI4" s="6" t="s">
        <v>165</v>
      </c>
    </row>
    <row r="5" spans="1:168" ht="21" customHeight="1" x14ac:dyDescent="0.2">
      <c r="A5" s="192"/>
      <c r="B5" s="193"/>
      <c r="C5" s="193"/>
      <c r="D5" s="193"/>
      <c r="E5" s="194"/>
      <c r="F5" s="192"/>
      <c r="G5" s="193"/>
      <c r="H5" s="193"/>
      <c r="I5" s="193"/>
      <c r="J5" s="194"/>
      <c r="K5" s="143" t="s">
        <v>688</v>
      </c>
      <c r="L5" s="91" t="s">
        <v>403</v>
      </c>
      <c r="M5" s="195">
        <f>'Designer Shutters Page 1'!M5:Z5</f>
        <v>0</v>
      </c>
      <c r="N5" s="196"/>
      <c r="O5" s="196"/>
      <c r="P5" s="196"/>
      <c r="Q5" s="196"/>
      <c r="R5" s="196"/>
      <c r="S5" s="196"/>
      <c r="T5" s="196"/>
      <c r="U5" s="196"/>
      <c r="V5" s="196"/>
      <c r="W5" s="196"/>
      <c r="X5" s="196"/>
      <c r="Y5" s="196"/>
      <c r="Z5" s="197"/>
      <c r="AA5" s="155"/>
      <c r="AB5" s="224" t="s">
        <v>844</v>
      </c>
      <c r="AC5" s="224"/>
      <c r="AD5" s="225">
        <f>'Designer Shutters Page 1'!AD5:AE5</f>
        <v>0</v>
      </c>
      <c r="AE5" s="225"/>
      <c r="FH5" s="6" t="s">
        <v>869</v>
      </c>
    </row>
    <row r="6" spans="1:168" ht="15.75" customHeight="1" x14ac:dyDescent="0.2">
      <c r="A6" s="258" t="s">
        <v>625</v>
      </c>
      <c r="B6" s="259"/>
      <c r="C6" s="259"/>
      <c r="D6" s="259"/>
      <c r="E6" s="259"/>
      <c r="F6" s="259"/>
      <c r="G6" s="259"/>
      <c r="H6" s="259"/>
      <c r="I6" s="259"/>
      <c r="J6" s="260"/>
      <c r="K6" s="144" t="str">
        <f>'Designer Shutters Page 1'!K6</f>
        <v>44PL</v>
      </c>
      <c r="L6" s="92" t="s">
        <v>404</v>
      </c>
      <c r="M6" s="198" t="str">
        <f>EA11</f>
        <v xml:space="preserve">                    </v>
      </c>
      <c r="N6" s="199"/>
      <c r="O6" s="199"/>
      <c r="P6" s="199"/>
      <c r="Q6" s="199"/>
      <c r="R6" s="199"/>
      <c r="S6" s="199"/>
      <c r="T6" s="199"/>
      <c r="U6" s="199"/>
      <c r="V6" s="199"/>
      <c r="W6" s="199"/>
      <c r="X6" s="199"/>
      <c r="Y6" s="200"/>
      <c r="Z6" s="201"/>
      <c r="AA6" s="156"/>
      <c r="AB6" s="216" t="s">
        <v>756</v>
      </c>
      <c r="AC6" s="217"/>
      <c r="AD6" s="220" t="str">
        <f>'Designer Shutters Page 1'!AD6:AE7</f>
        <v>SYD</v>
      </c>
      <c r="AE6" s="307"/>
      <c r="EA6" s="6" t="str">
        <f>CM13</f>
        <v xml:space="preserve">             </v>
      </c>
    </row>
    <row r="7" spans="1:168" ht="15.75" thickBot="1" x14ac:dyDescent="0.25">
      <c r="A7" s="10"/>
      <c r="B7" s="226" t="s">
        <v>405</v>
      </c>
      <c r="C7" s="227"/>
      <c r="D7" s="227"/>
      <c r="E7" s="227"/>
      <c r="F7" s="227"/>
      <c r="G7" s="227"/>
      <c r="H7" s="227"/>
      <c r="I7" s="227"/>
      <c r="J7" s="228"/>
      <c r="K7" s="111"/>
      <c r="L7" s="226" t="s">
        <v>405</v>
      </c>
      <c r="M7" s="227"/>
      <c r="N7" s="227"/>
      <c r="O7" s="227"/>
      <c r="P7" s="227"/>
      <c r="Q7" s="227"/>
      <c r="R7" s="227"/>
      <c r="S7" s="227"/>
      <c r="T7" s="227"/>
      <c r="U7" s="227"/>
      <c r="V7" s="228"/>
      <c r="W7" s="272" t="s">
        <v>621</v>
      </c>
      <c r="X7" s="273"/>
      <c r="Y7" s="274" t="str">
        <f>DJ24</f>
        <v/>
      </c>
      <c r="Z7" s="275"/>
      <c r="AA7" s="275"/>
      <c r="AB7" s="218"/>
      <c r="AC7" s="219"/>
      <c r="AD7" s="308"/>
      <c r="AE7" s="309"/>
      <c r="AV7" s="6" t="s">
        <v>880</v>
      </c>
      <c r="DN7" s="107" t="s">
        <v>407</v>
      </c>
      <c r="DO7" s="107"/>
      <c r="DP7" s="107"/>
      <c r="DQ7" s="107"/>
      <c r="DR7" s="107"/>
      <c r="DS7" s="107"/>
      <c r="EU7" s="3" t="s">
        <v>836</v>
      </c>
      <c r="EW7" s="6" t="s">
        <v>825</v>
      </c>
      <c r="FB7" s="6" t="s">
        <v>880</v>
      </c>
      <c r="FL7" s="6" t="s">
        <v>869</v>
      </c>
    </row>
    <row r="8" spans="1:168" ht="49.5" customHeight="1" thickTop="1" thickBot="1" x14ac:dyDescent="0.25">
      <c r="A8" s="12" t="s">
        <v>408</v>
      </c>
      <c r="B8" s="13" t="s">
        <v>409</v>
      </c>
      <c r="C8" s="13" t="s">
        <v>410</v>
      </c>
      <c r="D8" s="14" t="s">
        <v>411</v>
      </c>
      <c r="E8" s="15" t="s">
        <v>412</v>
      </c>
      <c r="F8" s="15" t="s">
        <v>568</v>
      </c>
      <c r="G8" s="16" t="s">
        <v>851</v>
      </c>
      <c r="H8" s="254" t="s">
        <v>414</v>
      </c>
      <c r="I8" s="255"/>
      <c r="J8" s="14" t="s">
        <v>0</v>
      </c>
      <c r="K8" s="17" t="s">
        <v>415</v>
      </c>
      <c r="L8" s="14" t="s">
        <v>417</v>
      </c>
      <c r="M8" s="13" t="s">
        <v>418</v>
      </c>
      <c r="N8" s="161" t="s">
        <v>865</v>
      </c>
      <c r="O8" s="13" t="s">
        <v>416</v>
      </c>
      <c r="P8" s="256" t="s">
        <v>419</v>
      </c>
      <c r="Q8" s="257"/>
      <c r="R8" s="14" t="s">
        <v>611</v>
      </c>
      <c r="S8" s="13" t="s">
        <v>612</v>
      </c>
      <c r="T8" s="13" t="s">
        <v>613</v>
      </c>
      <c r="U8" s="13" t="s">
        <v>623</v>
      </c>
      <c r="V8" s="14" t="s">
        <v>423</v>
      </c>
      <c r="W8" s="18" t="s">
        <v>622</v>
      </c>
      <c r="X8" s="18" t="s">
        <v>434</v>
      </c>
      <c r="Y8" s="18" t="s">
        <v>620</v>
      </c>
      <c r="Z8" s="18" t="s">
        <v>420</v>
      </c>
      <c r="AA8" s="18" t="s">
        <v>421</v>
      </c>
      <c r="AB8" s="18" t="s">
        <v>422</v>
      </c>
      <c r="AC8" s="18" t="s">
        <v>821</v>
      </c>
      <c r="AD8" s="18" t="s">
        <v>448</v>
      </c>
      <c r="AE8" s="19" t="s">
        <v>424</v>
      </c>
      <c r="AI8" s="6" t="s">
        <v>845</v>
      </c>
      <c r="AJ8" s="6" t="s">
        <v>846</v>
      </c>
      <c r="AK8" s="6" t="s">
        <v>847</v>
      </c>
      <c r="AT8" s="102" t="s">
        <v>425</v>
      </c>
      <c r="AV8" s="6" t="s">
        <v>414</v>
      </c>
      <c r="AW8" s="131" t="s">
        <v>641</v>
      </c>
      <c r="AX8" s="131" t="s">
        <v>348</v>
      </c>
      <c r="AY8" s="20" t="s">
        <v>426</v>
      </c>
      <c r="AZ8" s="20" t="s">
        <v>427</v>
      </c>
      <c r="BA8" s="20" t="s">
        <v>428</v>
      </c>
      <c r="BB8" s="20" t="s">
        <v>429</v>
      </c>
      <c r="BC8" s="20" t="s">
        <v>430</v>
      </c>
      <c r="BD8" s="20" t="s">
        <v>431</v>
      </c>
      <c r="BE8" s="20" t="s">
        <v>432</v>
      </c>
      <c r="BF8" s="20" t="s">
        <v>423</v>
      </c>
      <c r="BG8" s="20" t="s">
        <v>433</v>
      </c>
      <c r="BH8" s="20" t="s">
        <v>434</v>
      </c>
      <c r="BI8" s="20" t="s">
        <v>423</v>
      </c>
      <c r="BJ8" s="109" t="s">
        <v>435</v>
      </c>
      <c r="BK8" s="126" t="s">
        <v>436</v>
      </c>
      <c r="BL8" s="126" t="s">
        <v>437</v>
      </c>
      <c r="BM8" s="126" t="s">
        <v>438</v>
      </c>
      <c r="BN8" s="20" t="s">
        <v>66</v>
      </c>
      <c r="BO8" s="20" t="s">
        <v>439</v>
      </c>
      <c r="BP8" s="21" t="s">
        <v>440</v>
      </c>
      <c r="BQ8" s="21" t="s">
        <v>441</v>
      </c>
      <c r="BR8" s="21" t="s">
        <v>442</v>
      </c>
      <c r="BS8" s="22" t="s">
        <v>443</v>
      </c>
      <c r="BT8" s="22" t="s">
        <v>444</v>
      </c>
      <c r="BU8" s="22" t="s">
        <v>69</v>
      </c>
      <c r="BV8" s="22" t="s">
        <v>445</v>
      </c>
      <c r="BW8" s="22" t="s">
        <v>446</v>
      </c>
      <c r="BX8" s="22" t="s">
        <v>447</v>
      </c>
      <c r="BY8" s="23" t="s">
        <v>448</v>
      </c>
      <c r="BZ8" s="23" t="s">
        <v>0</v>
      </c>
      <c r="CA8" s="23" t="s">
        <v>449</v>
      </c>
      <c r="CB8" s="23" t="s">
        <v>450</v>
      </c>
      <c r="CC8" s="23" t="s">
        <v>451</v>
      </c>
      <c r="CD8" s="23" t="s">
        <v>452</v>
      </c>
      <c r="CE8" s="23" t="s">
        <v>419</v>
      </c>
      <c r="CF8" s="23" t="s">
        <v>453</v>
      </c>
      <c r="CG8" s="23" t="s">
        <v>454</v>
      </c>
      <c r="CH8" s="23" t="s">
        <v>455</v>
      </c>
      <c r="CI8" s="119" t="s">
        <v>456</v>
      </c>
      <c r="CJ8" s="119" t="s">
        <v>457</v>
      </c>
      <c r="CK8" s="24"/>
      <c r="CL8" s="24"/>
      <c r="CM8" s="24" t="s">
        <v>458</v>
      </c>
      <c r="CN8" s="22" t="s">
        <v>459</v>
      </c>
      <c r="CO8" s="128" t="s">
        <v>459</v>
      </c>
      <c r="CP8" s="128" t="s">
        <v>460</v>
      </c>
      <c r="CQ8" s="22" t="s">
        <v>461</v>
      </c>
      <c r="CR8" s="132" t="s">
        <v>684</v>
      </c>
      <c r="CS8" s="22" t="s">
        <v>406</v>
      </c>
      <c r="CT8" s="132" t="s">
        <v>462</v>
      </c>
      <c r="CU8" s="22" t="s">
        <v>463</v>
      </c>
      <c r="CV8" s="22" t="s">
        <v>464</v>
      </c>
      <c r="CW8" s="22" t="s">
        <v>465</v>
      </c>
      <c r="CX8" s="23" t="s">
        <v>466</v>
      </c>
      <c r="CY8" s="24" t="s">
        <v>467</v>
      </c>
      <c r="CZ8" s="23" t="s">
        <v>468</v>
      </c>
      <c r="DA8" s="25" t="s">
        <v>469</v>
      </c>
      <c r="DB8" s="25" t="s">
        <v>470</v>
      </c>
      <c r="DC8" s="25"/>
      <c r="DD8" s="25" t="s">
        <v>471</v>
      </c>
      <c r="DE8" s="25" t="s">
        <v>434</v>
      </c>
      <c r="DF8" s="88" t="s">
        <v>632</v>
      </c>
      <c r="DG8" s="25"/>
      <c r="DH8" s="124" t="s">
        <v>472</v>
      </c>
      <c r="DI8" s="104" t="s">
        <v>473</v>
      </c>
      <c r="DJ8" s="105" t="s">
        <v>474</v>
      </c>
      <c r="DK8" s="159" t="s">
        <v>475</v>
      </c>
      <c r="DL8" s="160" t="s">
        <v>476</v>
      </c>
      <c r="DM8" s="160" t="s">
        <v>477</v>
      </c>
      <c r="DN8" s="108" t="s">
        <v>478</v>
      </c>
      <c r="DO8" s="108" t="s">
        <v>479</v>
      </c>
      <c r="DP8" s="108" t="s">
        <v>480</v>
      </c>
      <c r="DQ8" s="108" t="s">
        <v>481</v>
      </c>
      <c r="DR8" s="108" t="s">
        <v>482</v>
      </c>
      <c r="DS8" s="108" t="s">
        <v>483</v>
      </c>
      <c r="DT8" s="88" t="s">
        <v>484</v>
      </c>
      <c r="DU8" s="27" t="s">
        <v>545</v>
      </c>
      <c r="DV8" s="27" t="s">
        <v>546</v>
      </c>
      <c r="DW8" s="27" t="s">
        <v>544</v>
      </c>
      <c r="DX8" s="26" t="s">
        <v>418</v>
      </c>
      <c r="DY8" s="88" t="s">
        <v>417</v>
      </c>
      <c r="DZ8" s="121" t="s">
        <v>562</v>
      </c>
      <c r="EA8" s="25" t="s">
        <v>565</v>
      </c>
      <c r="EB8" s="25" t="s">
        <v>610</v>
      </c>
      <c r="ED8" s="7" t="s">
        <v>645</v>
      </c>
      <c r="EE8" s="64" t="s">
        <v>646</v>
      </c>
      <c r="EF8" s="118" t="s">
        <v>680</v>
      </c>
      <c r="EG8" s="7" t="s">
        <v>681</v>
      </c>
      <c r="EH8" s="6" t="s">
        <v>682</v>
      </c>
      <c r="EJ8" s="134" t="s">
        <v>687</v>
      </c>
      <c r="EK8" s="134" t="s">
        <v>685</v>
      </c>
      <c r="EL8" s="135" t="s">
        <v>686</v>
      </c>
      <c r="EM8" s="73" t="s">
        <v>775</v>
      </c>
      <c r="EN8" s="73"/>
      <c r="EO8" s="6" t="s">
        <v>824</v>
      </c>
      <c r="EP8" s="6" t="s">
        <v>825</v>
      </c>
      <c r="ER8" s="6" t="s">
        <v>0</v>
      </c>
      <c r="ET8" s="6" t="s">
        <v>368</v>
      </c>
      <c r="EU8" s="6" t="s">
        <v>831</v>
      </c>
      <c r="EW8" s="134" t="s">
        <v>834</v>
      </c>
      <c r="EX8" s="134" t="s">
        <v>835</v>
      </c>
      <c r="EY8" s="135" t="s">
        <v>686</v>
      </c>
      <c r="EZ8" s="6" t="s">
        <v>838</v>
      </c>
      <c r="FA8" s="6" t="s">
        <v>863</v>
      </c>
      <c r="FB8" s="6" t="s">
        <v>864</v>
      </c>
      <c r="FC8" s="6" t="s">
        <v>834</v>
      </c>
      <c r="FD8" s="6" t="s">
        <v>687</v>
      </c>
      <c r="FE8" s="6" t="s">
        <v>686</v>
      </c>
      <c r="FH8" s="6" t="s">
        <v>866</v>
      </c>
      <c r="FJ8" s="6" t="s">
        <v>870</v>
      </c>
      <c r="FL8" s="11" t="s">
        <v>377</v>
      </c>
    </row>
    <row r="9" spans="1:168" ht="36.75" customHeight="1" thickTop="1" x14ac:dyDescent="0.2">
      <c r="A9" s="28">
        <v>1</v>
      </c>
      <c r="B9" s="29"/>
      <c r="C9" s="30"/>
      <c r="D9" s="31"/>
      <c r="E9" s="31"/>
      <c r="F9" s="30"/>
      <c r="G9" s="32"/>
      <c r="H9" s="276"/>
      <c r="I9" s="277"/>
      <c r="J9" s="30"/>
      <c r="K9" s="33"/>
      <c r="L9" s="33"/>
      <c r="M9" s="158"/>
      <c r="N9" s="33"/>
      <c r="O9" s="33"/>
      <c r="P9" s="278"/>
      <c r="Q9" s="278"/>
      <c r="R9" s="32"/>
      <c r="S9" s="32"/>
      <c r="T9" s="32"/>
      <c r="U9" s="32"/>
      <c r="V9" s="33"/>
      <c r="W9" s="33"/>
      <c r="X9" s="32"/>
      <c r="Y9" s="34"/>
      <c r="Z9" s="35"/>
      <c r="AA9" s="35"/>
      <c r="AB9" s="35"/>
      <c r="AC9" s="157"/>
      <c r="AD9" s="30"/>
      <c r="AE9" s="36" t="str">
        <f t="shared" ref="AE9:AE23" si="0">IF(SUM(D9)=0,"",IF(E9="MS",SUM(((C9*D9)/1000000)*F9),SUM(((C9*D9)/1000000))))</f>
        <v/>
      </c>
      <c r="AI9" s="6">
        <f>IF(M9=$AI$3,C9/1000,0)</f>
        <v>0</v>
      </c>
      <c r="AJ9" s="6">
        <f>IF(M9=$AJ$3,C9/1000*AK9,0)</f>
        <v>0</v>
      </c>
      <c r="AK9" s="6">
        <f>IF(O9&lt;&gt;"",VLOOKUP(O9,'Designer Shutter Data'!$KP$2:$KQ$44,2,FALSE),0)</f>
        <v>0</v>
      </c>
      <c r="AT9" s="37" t="str">
        <f t="shared" ref="AT9:AT23" si="1">IF(G9&lt;&gt;"",BS9+BW9+BX9,"")</f>
        <v/>
      </c>
      <c r="AV9" s="6" t="str">
        <f>IF(G9=$AV$7,'Designer Shutter Data'!$D$38,'Designer Shutter Data'!$D$2)</f>
        <v>FauxwoodDesignerColour</v>
      </c>
      <c r="AW9" s="130" t="e">
        <f>IF(CT9&gt;650, "Yes", "No")</f>
        <v>#N/A</v>
      </c>
      <c r="AX9" s="130" t="e">
        <f>VLOOKUP(M9,'Designer Shutter Data'!$JK$2:$JL$7,2,FALSE)</f>
        <v>#N/A</v>
      </c>
      <c r="AY9" s="38" t="b">
        <v>0</v>
      </c>
      <c r="AZ9" s="38" t="str">
        <f t="shared" ref="AZ9:AZ23" si="2">IF(D9&gt;1500, "Yes","No")</f>
        <v>No</v>
      </c>
      <c r="BA9" s="38" t="e">
        <f t="shared" ref="BA9:BA23" si="3">IF(E9="MS",C9*1,C9/F9)</f>
        <v>#DIV/0!</v>
      </c>
      <c r="BB9" s="38" t="e">
        <f t="shared" ref="BB9:BB23" si="4">IF(OR(AND(BA9&gt;650,G9="Fauxwood"),AND(BA9&gt;650,G9="Fauxwood Blockout"),AND(BA9&gt;950,G9="Basswood")), "Yes","No")</f>
        <v>#DIV/0!</v>
      </c>
      <c r="BC9" s="38" t="e">
        <f t="shared" ref="BC9:BC23" si="5">IF(OR(AND(BA9&gt;650,G9="Fauxwood",E9="MS"),AND(BA9&gt;700,G9="Fauxwood",E9="IN"),AND(BA9&gt;700,G9="Fauxwood",E9="OUT")), "Yes","No")</f>
        <v>#DIV/0!</v>
      </c>
      <c r="BD9" s="38" t="str">
        <f t="shared" ref="BD9:BD23" si="6">IF(D9&gt;2600, "Yes","No")</f>
        <v>No</v>
      </c>
      <c r="BE9" s="38" t="e">
        <f>IF(OR(AND(C9&gt;0,#REF!="")), "Required","NotRequired")</f>
        <v>#REF!</v>
      </c>
      <c r="BF9" s="38" t="b">
        <v>0</v>
      </c>
      <c r="BG9" s="38" t="e">
        <f>IF(OR(AND(AY9="FauxwoodY",BB9="Yes")), "Highlight","NoHighlight")</f>
        <v>#DIV/0!</v>
      </c>
      <c r="BH9" s="39" t="str">
        <f t="shared" ref="BH9:BH23" si="7">IF(OR(AND(M9="Sliding",X9="")), "Highlight","NoHighlight")</f>
        <v>NoHighlight</v>
      </c>
      <c r="BI9" s="38" t="str">
        <f t="shared" ref="BI9:BI23" si="8">IF(OR(AND(G9="Fauxwood",J9="89mm")),"FauxwoodRP","FauxwoodRPNo")</f>
        <v>FauxwoodRPNo</v>
      </c>
      <c r="BJ9" s="110" t="str">
        <f>IF(SUM(--ISNUMBER(SEARCH({"t","T"}, O9))),"Yes","No")</f>
        <v>No</v>
      </c>
      <c r="BK9" s="127" t="str">
        <f t="shared" ref="BK9:BK23" si="9">IF(Y9="N/A", "N/A", IF(OR(AND(Y9&gt;0,Z9="")), "Error","OK"))</f>
        <v>OK</v>
      </c>
      <c r="BL9" s="127" t="str">
        <f t="shared" ref="BL9:BL23" si="10">IF(Y9="N/A", "N/A", IF(OR(AND(Y9&gt;1,AA9="")), "Error","OK"))</f>
        <v>OK</v>
      </c>
      <c r="BM9" s="127" t="str">
        <f t="shared" ref="BM9:BM23" si="11">IF(Y9="N/A", "N/A", IF(OR(AND(Y9&gt;2,AB9="")), "Error","OK"))</f>
        <v>OK</v>
      </c>
      <c r="BN9" s="39" t="str">
        <f t="shared" ref="BN9:BN23" si="12">IF(OR(AND(F9&gt;1,L9="L",L9="l"),AND(F9&gt;1,L9="R",L9="r"),AND(F9&gt;2,L9="LR",L9="lr")), "Error","OK")</f>
        <v>OK</v>
      </c>
      <c r="BO9" s="39" t="str">
        <f t="shared" ref="BO9:BO23" si="13">IF(OR(AND(J9="63mm",G9="Fauxwood"),AND(J9="89mm",G9="Fauxwood")),"FauxwoodAI","FauxwoodAINo")</f>
        <v>FauxwoodAINo</v>
      </c>
      <c r="BP9" s="39" t="str">
        <f>IF(SUM(--ISNUMBER(SEARCH({"combo","Combo","COMBO"}, B26))),"Yes","No")</f>
        <v>No</v>
      </c>
      <c r="BQ9" s="39" t="str">
        <f>IF(OR(AND(BJ9="Yes",BP9="Yes")),"Yes","No")</f>
        <v>No</v>
      </c>
      <c r="BR9" s="39" t="str">
        <f>IF(SUM(--ISNUMBER(SEARCH({"c","C","b","B"}, L9))),"Yes","No")</f>
        <v>No</v>
      </c>
      <c r="BS9" s="11">
        <f t="shared" ref="BS9:BS23" si="14">IF(D9="",0,IF(M9="Fixed","N/A",IF(M9="Sliding","N/A",IF(M9="Track Bi Fold","N/A",IF(M9="Pivot Hinged","N/A",IF(D9&lt;741,2,IF(D9&lt;1321,3,IF(D9&lt;1906,4, IF(D9&lt;2601,5,6)))*IF(F9&gt;0,F9,1)))))))</f>
        <v>0</v>
      </c>
      <c r="BT9" s="11" t="s">
        <v>820</v>
      </c>
      <c r="BU9" s="11" t="s">
        <v>820</v>
      </c>
      <c r="BV9" s="40">
        <f t="shared" ref="BV9:BV23" si="15">IF(D9="",0,IF(M9="Fixed","N/A",IF(M9="Sliding","N/A",IF(M9="Track Bi Fold","N/A",IF(M9="Pivot Hinged","N/A",IF(D9&lt;1220,2,IF(D9&lt;1981,3,IF(D9&lt;2438,4,5)))*IF(F9&gt;0,F9,1))))))</f>
        <v>0</v>
      </c>
      <c r="BW9" s="40">
        <f t="shared" ref="BW9:BW23" si="16">IF(M9="Double Hinged",F9,0)</f>
        <v>0</v>
      </c>
      <c r="BX9" s="11" t="e">
        <f t="shared" ref="BX9:BX23" si="17">IF(C9/F9&gt;650,F9,0)</f>
        <v>#DIV/0!</v>
      </c>
      <c r="BY9" s="11" t="b">
        <v>0</v>
      </c>
      <c r="BZ9" s="11" t="b">
        <v>0</v>
      </c>
      <c r="CA9" s="11" t="e">
        <v>#REF!</v>
      </c>
      <c r="CB9" s="11" t="s">
        <v>82</v>
      </c>
      <c r="CC9" s="11" t="e">
        <f t="shared" ref="CC9:CC23" si="18">IF(OR(AND(BA9&gt;800,G9="Fauxwood",J9="63mm"),AND(BA9&gt;900,G9="Fauxwood",J9="89mm")), "Yes","No")</f>
        <v>#DIV/0!</v>
      </c>
      <c r="CD9" s="11" t="e">
        <f>VLOOKUP(P9,'Designer Shutter Data'!$H$3:$I$19,2,FALSE)</f>
        <v>#N/A</v>
      </c>
      <c r="CE9" s="11" t="s">
        <v>820</v>
      </c>
      <c r="CF9" s="11" t="str">
        <f>IF(SUM(--ISNUMBER(SEARCH({"z","Z"}, P9))),"Yes","No")</f>
        <v>No</v>
      </c>
      <c r="CG9" s="11" t="str">
        <f t="shared" ref="CG9:CG23" si="19">IF(OR(AND(E9="OUT",CF9="Yes")), "Error","OK")</f>
        <v>OK</v>
      </c>
      <c r="CH9" s="11">
        <f t="shared" ref="CH9:CH23" si="20">LEN(O9)</f>
        <v>0</v>
      </c>
      <c r="CI9" s="120" t="e">
        <f>IF(O9="N/A","N/A",VLOOKUP(O9,'Designer Shutter Data'!$AO$3:$AP$171,2,FALSE))</f>
        <v>#N/A</v>
      </c>
      <c r="CJ9" s="120" t="e">
        <f t="shared" ref="CJ9:CJ23" si="21">IF(CI9="N/A", "N/A", IF(F9&lt;&gt;CI9,"Failed","Passed"))</f>
        <v>#N/A</v>
      </c>
      <c r="CK9" s="40"/>
      <c r="CL9" s="40" t="s">
        <v>485</v>
      </c>
      <c r="CM9" s="40" t="str">
        <f>IF(COUNTIF(L9:L23,'Designer Shutter Data'!BJ4),'Designer Shutter Data'!BL4,"")</f>
        <v/>
      </c>
      <c r="CN9" s="41" t="str">
        <f t="shared" ref="CN9:CN23" si="22">IF(AND(OR(G9="Fauxwood Designer",M9="Hinged",M9="Track Bi Fold")), "Error","OK")</f>
        <v>OK</v>
      </c>
      <c r="CO9" s="129" t="b">
        <f t="shared" ref="CO9:CO23" si="23">IF(M9="Hinged",50,IF(M9="Double Hinged",50,IF(M9="Track Bi Fold",0,IF(M9="Sliding",40,IF(M9="Fixed",0,IF(M9="N/A","N/A"))))))</f>
        <v>0</v>
      </c>
      <c r="CP9" s="129" t="b">
        <f t="shared" ref="CP9:CP23" si="24">IF(M9="Hinged",50,IF(M9="Double Hinged",50,IF(M9="Track Bi Fold",0,IF(M9="Sliding",40,IF(M9="Fixed",0, IF(M9="N/A", "N/A"))))))</f>
        <v>0</v>
      </c>
      <c r="CQ9" s="40">
        <f t="shared" ref="CQ9:CQ23" si="25">IF(E9="IN",1,IF(E9="OUT",1,0))</f>
        <v>0</v>
      </c>
      <c r="CR9" s="133">
        <f t="shared" ref="CR9:CR23" si="26">IF(AND(OR(P9="No Frame", P9="Hanging Strip")),CP9,0)</f>
        <v>0</v>
      </c>
      <c r="CS9" s="40">
        <f>CP9*CQ9</f>
        <v>0</v>
      </c>
      <c r="CT9" s="133" t="e">
        <f t="shared" ref="CT9:CT23" si="27">IF(E9="MS",C9, (C9-EL9)/F9)</f>
        <v>#N/A</v>
      </c>
      <c r="CU9" s="11" t="b">
        <v>0</v>
      </c>
      <c r="CV9" s="11" t="b">
        <v>0</v>
      </c>
      <c r="CW9" s="11" t="b">
        <v>0</v>
      </c>
      <c r="CX9" s="11" t="b">
        <v>0</v>
      </c>
      <c r="CY9" s="40" t="e">
        <f>IF(OR(AND(#REF!&gt;0,#REF!="")), "Error","OK")</f>
        <v>#REF!</v>
      </c>
      <c r="CZ9" s="11" t="e">
        <v>#REF!</v>
      </c>
      <c r="DA9" s="6" t="str">
        <f t="shared" ref="DA9:DA23" si="28">IF(AND(OR(G9="Fauxwood"),AND(K9="Yes")), "Yes","")</f>
        <v/>
      </c>
      <c r="DB9" s="6" t="s">
        <v>820</v>
      </c>
      <c r="DC9" s="6" t="s">
        <v>820</v>
      </c>
      <c r="DD9" s="6" t="str">
        <f>IF(M9='Designer Shutter Data'!$F$5,"Yes",IF(M9='Designer Shutter Data'!$F$4,"Yes","No"))</f>
        <v>No</v>
      </c>
      <c r="DE9" s="6" t="b">
        <f>IF(M9='Designer Shutter Data'!$F$3,'Designer Shutter Data'!$FY$7,IF(M9='Designer Shutter Data'!$F$4,'Designer Shutter Data'!$FZ$2,IF(M9='Designer Shutter Data'!$F$5,FJ9, IF(M9='Designer Shutter Data'!$F$6,'Designer Shutter Data'!$GA$2,IF(M9='Designer Shutter Data'!$F$7,'Designer Shutter Data'!$FY$2, IF(M9='Designer Shutter Data'!$F$8,'Designer Shutter Data'!$FZ$7, IF(M9='Designer Shutter Data'!$F$14,'Designer Shutter Data'!$FZ$14)))))))</f>
        <v>0</v>
      </c>
      <c r="DF9" s="6" t="e">
        <f>VLOOKUP(M9,'Designer Shutter Data'!$M$2:$N$8,2,FALSE)</f>
        <v>#N/A</v>
      </c>
      <c r="DH9" s="123" t="e">
        <f>VLOOKUP(O9,'Designer Shutter Data'!$IN$2:$IO$169,2,FALSE)</f>
        <v>#N/A</v>
      </c>
      <c r="DI9" s="103" t="e">
        <f t="shared" ref="DI9:DI23" si="29">Y9-DH9</f>
        <v>#N/A</v>
      </c>
      <c r="DJ9" s="103" t="e">
        <f>IF(DI9=0,"OK", "Layout Code &amp; T Post Quantity Issue")</f>
        <v>#N/A</v>
      </c>
      <c r="DK9" s="7" t="b">
        <f>IF(P9='Designer Shutter Data'!$GC$2,'Designer Shutter Data'!$GD$2,IF(P9='Designer Shutter Data'!$GC$3,'Designer Shutter Data'!$GE$2,IF(P9='Designer Shutter Data'!$GC$4,'Designer Shutter Data'!$GF$2,IF(P9='Designer Shutter Data'!$GC$5,'Designer Shutter Data'!$GG$2,IF(P9='Designer Shutter Data'!$GC$6,'Designer Shutter Data'!$GH$2,IF(P9='Designer Shutter Data'!$GC$7,'Designer Shutter Data'!$GI$2,IF(P9='Designer Shutter Data'!$GC$8,'Designer Shutter Data'!$GJ$2,IF(P9='Designer Shutter Data'!$GC$9,'Designer Shutter Data'!$GK$2,IF(P9='Designer Shutter Data'!$GC$10,'Designer Shutter Data'!$GL$2,IF(P9='Designer Shutter Data'!$GC$11,'Designer Shutter Data'!$GM$2,IF(P9='Designer Shutter Data'!$GC$12,'Designer Shutter Data'!$GN$2,IF(P9='Designer Shutter Data'!$GC$13,'Designer Shutter Data'!$GO$2,IF(P9='Designer Shutter Data'!$GC$14,'Designer Shutter Data'!$GP$2,IF(P9='Designer Shutter Data'!$GC$15,'Designer Shutter Data'!$GD$15,IF(P9='Designer Shutter Data'!$GC$16,'Designer Shutter Data'!$GE$15,IF(P9='Designer Shutter Data'!$GC$17,'Designer Shutter Data'!$GF$15,IF(P9='Designer Shutter Data'!$GC$18,'Designer Shutter Data'!$GG$15,IF(P9='Designer Shutter Data'!$GC$19,'Designer Shutter Data'!$GD$73,IF(P9='Designer Shutter Data'!$GC$20,'Designer Shutter Data'!$GD$88, IF(P9='Designer Shutter Data'!$GC$21,'Designer Shutter Data'!$GH$15, IF(P9='Designer Shutter Data'!$GC$22,'Designer Shutter Data'!$GJ$2, IF(P9='Designer Shutter Data'!$GC$23,'Designer Shutter Data'!$GL$2))))))))))))))))))))))</f>
        <v>0</v>
      </c>
      <c r="DL9" s="7" t="b">
        <f>IF(P9='Designer Shutter Data'!$GC$2,'Designer Shutter Data'!$GD$25,IF(P9='Designer Shutter Data'!$GC$3,'Designer Shutter Data'!$GE$25,IF(P9='Designer Shutter Data'!$GC$4,'Designer Shutter Data'!$GF$25,IF(P9='Designer Shutter Data'!$GC$5,'Designer Shutter Data'!$GG$25,IF(P9='Designer Shutter Data'!$GC$6,'Designer Shutter Data'!$GH$25,IF(P9='Designer Shutter Data'!$GC$7,'Designer Shutter Data'!$GI$25,IF(P9='Designer Shutter Data'!$GC$8,'Designer Shutter Data'!$GJ$25,IF(P9='Designer Shutter Data'!$GC$9,'Designer Shutter Data'!$GK$25,IF(P9='Designer Shutter Data'!$GC$10,'Designer Shutter Data'!$GL$25,IF(P9='Designer Shutter Data'!$GC$11,'Designer Shutter Data'!$GM$25,IF(P9='Designer Shutter Data'!$GC$12,'Designer Shutter Data'!$GN$25,IF(P9='Designer Shutter Data'!$GC$13,'Designer Shutter Data'!$GO$25,IF(P9='Designer Shutter Data'!$GC$14,'Designer Shutter Data'!$GP$25,IF(P9='Designer Shutter Data'!$GC$15,'Designer Shutter Data'!$GD$37,IF(P9='Designer Shutter Data'!$GC$15,'Designer Shutter Data'!$GD$37,IF(P9='Designer Shutter Data'!$GC$16,'Designer Shutter Data'!$GE$37,IF(P9='Designer Shutter Data'!$GC$17,'Designer Shutter Data'!$GF$37,IF(P9='Designer Shutter Data'!$GC$18,'Designer Shutter Data'!$GG$37, IF(P9='Designer Shutter Data'!$GC$19,'Designer Shutter Data'!$GD$73, IF(P9='Designer Shutter Data'!$GC$20,'Designer Shutter Data'!$GE$88, IF(P9='Designer Shutter Data'!$GC$21,'Designer Shutter Data'!$GH$37,IF(P9='Designer Shutter Data'!$GC$22,'Designer Shutter Data'!$GJ$25,IF(P9='Designer Shutter Data'!$GC$23,'Designer Shutter Data'!$GL$25)))))))))))))))))))))))</f>
        <v>0</v>
      </c>
      <c r="DM9" s="118" t="b">
        <f>IF(P9='Designer Shutter Data'!$GC$2,'Designer Shutter Data'!$GD$47,IF(P9='Designer Shutter Data'!$GC$3,'Designer Shutter Data'!$GE$47,IF(P9='Designer Shutter Data'!$GC$4,'Designer Shutter Data'!$GF$47,IF(P9='Designer Shutter Data'!$GC$5,'Designer Shutter Data'!$GG$47,IF(P9='Designer Shutter Data'!$GC$6,'Designer Shutter Data'!$GH$47,IF(P9='Designer Shutter Data'!$GC$7,'Designer Shutter Data'!$GI$47,IF(P9='Designer Shutter Data'!$GC$8,'Designer Shutter Data'!$GJ$47,IF(P9='Designer Shutter Data'!$GC$9,'Designer Shutter Data'!$GK$47,IF(P9='Designer Shutter Data'!$GC$10,'Designer Shutter Data'!$GL$47,IF(P9='Designer Shutter Data'!$GC$11,'Designer Shutter Data'!$GM$47,IF(P9='Designer Shutter Data'!$GC$12,'Designer Shutter Data'!$GN$47,IF(P9='Designer Shutter Data'!$GC$13,'Designer Shutter Data'!$GO$47,IF(P9='Designer Shutter Data'!$GC$14,'Designer Shutter Data'!$GP$47, IF(P9='Designer Shutter Data'!$GC$19,'Designer Shutter Data'!$GD$73, IF(P9='Designer Shutter Data'!$GC$20,'Designer Shutter Data'!$GF$88, IF(M9='Designer Shutter Data'!$F$5,'Designer Shutter Data'!$GE$59, IF(M9='Designer Shutter Data'!$F$6,'Designer Shutter Data'!$GD$59, IF(P9='Designer Shutter Data'!$GC$21,'Designer Shutter Data'!$GF$59,IF(P9='Designer Shutter Data'!$GC$22,'Designer Shutter Data'!$GJ$47,IF(P9='Designer Shutter Data'!$GC$23,'Designer Shutter Data'!$GL$47))))))))))))))))))))</f>
        <v>0</v>
      </c>
      <c r="DN9" s="107" t="str">
        <f>IF(COUNTIF(BK9:BM9,$DN$7),"Required","")</f>
        <v/>
      </c>
      <c r="DO9" s="107" t="e">
        <f>IF(OR(AND(DJ9="Layout Code &amp; T Post Quantity Issue"), AND(DN9="Required")),"Yes","No")</f>
        <v>#N/A</v>
      </c>
      <c r="DP9" s="107" t="str">
        <f t="shared" ref="DP9:DP23" si="30">IF(OR(AND(AA9="",Y9=2)), "Error","OK")</f>
        <v>OK</v>
      </c>
      <c r="DQ9" s="107" t="str">
        <f t="shared" ref="DQ9:DQ23" si="31">IF(OR(AND(Z9&lt;&gt;"",Y9&lt;1)), "Error","OK")</f>
        <v>OK</v>
      </c>
      <c r="DR9" s="107" t="str">
        <f t="shared" ref="DR9:DR23" si="32">IF(OR(AND(AA9&lt;&gt;"",Y9&lt;2)), "Error","OK")</f>
        <v>OK</v>
      </c>
      <c r="DS9" s="107" t="str">
        <f t="shared" ref="DS9:DS23" si="33">IF(OR(AND(AB9&lt;&gt;"",Y9&lt;3)), "Error","OK")</f>
        <v>OK</v>
      </c>
      <c r="DT9" s="7" t="b">
        <f>IF(E9='Designer Shutter Data'!$GV$2,'Designer Shutter Data'!$GW$2,IF(E9='Designer Shutter Data'!$GV$3,'Designer Shutter Data'!$GX$2,IF(E9='Designer Shutter Data'!$GV$4,'Designer Shutter Data'!$GY$2)))</f>
        <v>0</v>
      </c>
      <c r="DU9" s="40" t="e">
        <f>MATCH(E9,'Designer Shutter Data'!$HB$1:$HD$1,0)</f>
        <v>#N/A</v>
      </c>
      <c r="DV9" s="40" t="e">
        <f>MATCH(M9,'Designer Shutter Data'!$HA$2:$HA$8,0)</f>
        <v>#N/A</v>
      </c>
      <c r="DW9" s="11" t="e">
        <f>INDEX('Designer Shutter Data'!$HB$2:$HD$8,DV9,DU9)</f>
        <v>#N/A</v>
      </c>
      <c r="DX9" s="11" t="b">
        <f>IF(E9='Designer Shutter Data'!$IG$1,'Designer Shutter Data'!$IG$2,IF(E9='Designer Shutter Data'!$IH$1,'Designer Shutter Data'!$IH$2, IF(E9='Designer Shutter Data'!$II$1,'Designer Shutter Data'!$II$2)))</f>
        <v>0</v>
      </c>
      <c r="DY9" s="11" t="str">
        <f>IF(E9="MS",'Designer Shutter Data'!$BI$2,IF(G9='Designer Shutter Data'!$BJ$34,'Designer Shutter Data'!$BJ$35,'Designer Shutter Data'!$BJ$2))</f>
        <v>FauxwoodDesignerWindowType</v>
      </c>
      <c r="DZ9" s="118" t="b">
        <f>IF(M9='Designer Shutter Data'!$F$3,'Designer Shutter Data'!$GF$88, IF(M9='Designer Shutter Data'!$F$4,'Designer Shutter Data'!$GF$59, IF(M9='Designer Shutter Data'!$F$5,'Designer Shutter Data'!$GE$59, IF(M9='Designer Shutter Data'!$F$6,'Designer Shutter Data'!$GD$59, IF(M9='Designer Shutter Data'!$F$7,'Designer Shutter Data'!$GD$73)))))</f>
        <v>0</v>
      </c>
      <c r="EA9" s="40" t="str">
        <f>IF(COUNTIF(E9:E23, 'Designer Shutter Data'!IR1),'Designer Shutter Data'!IS1,"")</f>
        <v/>
      </c>
      <c r="EB9" s="6" t="b">
        <f>IF(M9='Designer Shutter Data'!$IT$2,'Designer Shutter Data'!$JA$2, IF(M9='Designer Shutter Data'!$IT$3,'Designer Shutter Data'!$JC$2, IF(M9='Designer Shutter Data'!$IT$4,'Designer Shutter Data'!$JE$2, IF(M9='Designer Shutter Data'!$IT$5,'Designer Shutter Data'!$JG$2, IF(M9='Designer Shutter Data'!$IT$6,'Designer Shutter Data'!$JI$2, IF(M9='Designer Shutter Data'!$IT$7,'Designer Shutter Data'!$JZ$2, IF(M9='Designer Shutter Data'!$IT$8,'Designer Shutter Data'!$JI$16)))))))</f>
        <v>0</v>
      </c>
      <c r="EC9" s="6" t="str">
        <f t="shared" ref="EC9:EC23" si="34">IF(OR(AND(M9="Sliding",U9=""),AND(M9="Track Bi Fold",U9="")),"Highlight","NoHighlight")</f>
        <v>NoHighlight</v>
      </c>
      <c r="ED9" s="7" t="e">
        <f>VLOOKUP(M9,'Designer Shutter Data'!$JW$5:$JX$10,2,FALSE)</f>
        <v>#N/A</v>
      </c>
      <c r="EE9" s="7" t="e">
        <f t="shared" ref="EE9:EE23" si="35">IF(OR(AND(W9="",ED9="Yes")), "Yes","No")</f>
        <v>#N/A</v>
      </c>
      <c r="EF9" s="118" t="e">
        <f>VLOOKUP(O9,'Designer Shutter Data'!$AO$3:$AQ$171,1,FALSE)</f>
        <v>#N/A</v>
      </c>
      <c r="EG9" s="7" t="e">
        <f t="shared" ref="EG9:EG23" si="36">EXACT(O9,EF9)</f>
        <v>#N/A</v>
      </c>
      <c r="EH9" s="6" t="str">
        <f t="shared" ref="EH9:EH23" si="37">IF(O9="","",IFERROR(EG9,"ERROR"))</f>
        <v/>
      </c>
      <c r="EJ9" s="40" t="e">
        <f>MATCH(M9,'Designer Shutter Data'!$KD$1:$KI$1,0)</f>
        <v>#N/A</v>
      </c>
      <c r="EK9" s="40" t="e">
        <f>MATCH(P9,'Designer Shutter Data'!$KC$2:$KC$21,0)</f>
        <v>#N/A</v>
      </c>
      <c r="EL9" s="136" t="e">
        <f>INDEX('Designer Shutter Data'!$KD$2:$KI$21,EK9,EJ9)</f>
        <v>#N/A</v>
      </c>
      <c r="EM9" s="73">
        <f>IF(COUNT(C9:C23)&gt;0,1,0)</f>
        <v>0</v>
      </c>
      <c r="EN9" s="73" t="s">
        <v>776</v>
      </c>
      <c r="EO9" s="6" t="s">
        <v>822</v>
      </c>
      <c r="EP9" s="6" t="str">
        <f>IF(AC9&lt;&gt;$EO$4,'Designer Shutter Data'!$BR$2,'Designer Shutter Data'!$BR$9)</f>
        <v>Fluffy_Strip_Fauxwood</v>
      </c>
      <c r="ER9" s="6" t="str">
        <f>IF(G9='Designer Shutter Data'!$E$26,'Designer Shutter Data'!$E$27,IF(G9='Designer Shutter Data'!$E$37,'Designer Shutter Data'!$E$38,'Designer Shutter Data'!$E$2))</f>
        <v>FauxwoodDesignerBladeSize</v>
      </c>
      <c r="ET9" s="6" t="str">
        <f>IF(G9=$EU$7,$EU$8,$EO$8)</f>
        <v>Stile T Post</v>
      </c>
      <c r="EU9" s="6" t="s">
        <v>822</v>
      </c>
      <c r="EW9" s="40" t="e">
        <f>MATCH(G9,'Designer Shutter Data'!$AV$27:$AV$30,0)</f>
        <v>#N/A</v>
      </c>
      <c r="EX9" s="40" t="e">
        <f>MATCH(AC9,'Designer Shutter Data'!$AW$26:$AX$26,0)</f>
        <v>#N/A</v>
      </c>
      <c r="EY9" s="136" t="e">
        <f>INDEX('Designer Shutter Data'!$AW$27:$AX$30,EW9,EX9)</f>
        <v>#N/A</v>
      </c>
      <c r="EZ9" s="6" t="str">
        <f>IF(G9='Designer Shutter Data'!$S$15,'Designer Shutter Data'!$S$16, IF(G9=$FB$7,'Designer Shutter Data'!$T$15,'Designer Shutter Data'!$S$2))</f>
        <v>FauxwoodDesignerTiltrod</v>
      </c>
      <c r="FA9" s="6" t="e">
        <f>IF(G9=$FB$7,"No",VLOOKUP(L9,'Designer Shutter Data'!$BJ$62:$BK$75,2,FALSE))</f>
        <v>#N/A</v>
      </c>
      <c r="FB9" s="6" t="e">
        <f>IF(FA9="Yes", 'Designer Shutter Data'!$T$2,IF(G9=$FB$7,'Designer Shutter Data'!$T$15,'Designer Shutters Page 2'!EZ9))</f>
        <v>#N/A</v>
      </c>
      <c r="FC9" s="6" t="e">
        <f>MATCH(G9,'Designer Shutter Data'!$IG$15:$IJ$15,0)</f>
        <v>#N/A</v>
      </c>
      <c r="FD9" s="6" t="e">
        <f>MATCH(E9,'Designer Shutter Data'!$IF$16:$IF$18,0)</f>
        <v>#N/A</v>
      </c>
      <c r="FE9" s="6" t="e">
        <f>INDEX('Designer Shutter Data'!$IG$16:$IJ$18, 'Designer Shutters Page 2'!FD9, 'Designer Shutters Page 2'!FC9)</f>
        <v>#N/A</v>
      </c>
      <c r="FH9" s="6" t="str">
        <f>IF(M9=$FH$2,$FH$3,$FI$3)</f>
        <v>SlidingSystemNA</v>
      </c>
      <c r="FJ9" s="6" t="e">
        <f>VLOOKUP(O9,'Designer Shutter Data'!$KP$2:$KR$44,3,FALSE)</f>
        <v>#N/A</v>
      </c>
      <c r="FL9" s="11" t="b">
        <f>IF(N9=$FL$7,'Designer Shutter Data'!$GH$98,DM9)</f>
        <v>0</v>
      </c>
    </row>
    <row r="10" spans="1:168" ht="36.75" customHeight="1" x14ac:dyDescent="0.2">
      <c r="A10" s="42">
        <v>2</v>
      </c>
      <c r="B10" s="43"/>
      <c r="C10" s="44"/>
      <c r="D10" s="31"/>
      <c r="E10" s="31"/>
      <c r="F10" s="31"/>
      <c r="G10" s="43"/>
      <c r="H10" s="234"/>
      <c r="I10" s="235"/>
      <c r="J10" s="44"/>
      <c r="K10" s="45"/>
      <c r="L10" s="45"/>
      <c r="M10" s="45"/>
      <c r="N10" s="45"/>
      <c r="O10" s="45"/>
      <c r="P10" s="236"/>
      <c r="Q10" s="236"/>
      <c r="R10" s="43"/>
      <c r="S10" s="43"/>
      <c r="T10" s="43"/>
      <c r="U10" s="43"/>
      <c r="V10" s="45"/>
      <c r="W10" s="45"/>
      <c r="X10" s="43"/>
      <c r="Y10" s="46"/>
      <c r="Z10" s="47"/>
      <c r="AA10" s="47"/>
      <c r="AB10" s="47"/>
      <c r="AC10" s="44"/>
      <c r="AD10" s="44"/>
      <c r="AE10" s="48" t="str">
        <f t="shared" si="0"/>
        <v/>
      </c>
      <c r="AI10" s="6">
        <f t="shared" ref="AI10:AI23" si="38">IF(M10=$AI$3,C10/1000,0)</f>
        <v>0</v>
      </c>
      <c r="AJ10" s="6">
        <f t="shared" ref="AJ10:AJ23" si="39">IF(M10=$AJ$3,C10/1000*AK10,0)</f>
        <v>0</v>
      </c>
      <c r="AK10" s="6">
        <f>IF(O10&lt;&gt;"",VLOOKUP(O10,'Designer Shutter Data'!$KP$2:$KQ$44,2,FALSE),0)</f>
        <v>0</v>
      </c>
      <c r="AT10" s="49" t="str">
        <f t="shared" si="1"/>
        <v/>
      </c>
      <c r="AV10" s="6" t="str">
        <f>IF(G10=$AV$7,'Designer Shutter Data'!$D$38,'Designer Shutter Data'!$D$2)</f>
        <v>FauxwoodDesignerColour</v>
      </c>
      <c r="AW10" s="130" t="e">
        <f t="shared" ref="AW10:AW23" si="40">IF(CT10&gt;650, "Yes", "No")</f>
        <v>#N/A</v>
      </c>
      <c r="AX10" s="130" t="e">
        <f>VLOOKUP(M10,'Designer Shutter Data'!$JK$2:$JL$7,2,FALSE)</f>
        <v>#N/A</v>
      </c>
      <c r="AY10" s="38" t="b">
        <v>0</v>
      </c>
      <c r="AZ10" s="38" t="str">
        <f t="shared" si="2"/>
        <v>No</v>
      </c>
      <c r="BA10" s="38" t="e">
        <f t="shared" si="3"/>
        <v>#DIV/0!</v>
      </c>
      <c r="BB10" s="38" t="e">
        <f t="shared" si="4"/>
        <v>#DIV/0!</v>
      </c>
      <c r="BC10" s="38" t="e">
        <f t="shared" si="5"/>
        <v>#DIV/0!</v>
      </c>
      <c r="BD10" s="38" t="str">
        <f t="shared" si="6"/>
        <v>No</v>
      </c>
      <c r="BE10" s="38" t="e">
        <f>IF(OR(AND(C10&gt;0,#REF!="")), "Required","NotRequired")</f>
        <v>#REF!</v>
      </c>
      <c r="BF10" s="38" t="b">
        <v>0</v>
      </c>
      <c r="BG10" s="38" t="e">
        <f t="shared" ref="BG10:BG23" si="41">IF(OR(AND(AY10="FauxwoodY",BB10="Yes")), "Highlight","NoHighlight")</f>
        <v>#DIV/0!</v>
      </c>
      <c r="BH10" s="39" t="str">
        <f t="shared" si="7"/>
        <v>NoHighlight</v>
      </c>
      <c r="BI10" s="38" t="str">
        <f t="shared" si="8"/>
        <v>FauxwoodRPNo</v>
      </c>
      <c r="BJ10" s="110" t="str">
        <f>IF(SUM(--ISNUMBER(SEARCH({"t","T"}, O10))),"Yes","No")</f>
        <v>No</v>
      </c>
      <c r="BK10" s="127" t="str">
        <f t="shared" si="9"/>
        <v>OK</v>
      </c>
      <c r="BL10" s="127" t="str">
        <f t="shared" si="10"/>
        <v>OK</v>
      </c>
      <c r="BM10" s="127" t="str">
        <f t="shared" si="11"/>
        <v>OK</v>
      </c>
      <c r="BN10" s="39" t="str">
        <f t="shared" si="12"/>
        <v>OK</v>
      </c>
      <c r="BO10" s="39" t="str">
        <f t="shared" si="13"/>
        <v>FauxwoodAINo</v>
      </c>
      <c r="BP10" s="39" t="str">
        <f>IF(SUM(--ISNUMBER(SEARCH({"combo","Combo","COMBO"}, B27))),"Yes","No")</f>
        <v>No</v>
      </c>
      <c r="BQ10" s="39" t="str">
        <f t="shared" ref="BQ10:BQ23" si="42">IF(OR(AND(BJ10="Yes",BP10="Yes")),"Yes","No")</f>
        <v>No</v>
      </c>
      <c r="BR10" s="39" t="str">
        <f>IF(SUM(--ISNUMBER(SEARCH({"c","C","b","B"}, L10))),"Yes","No")</f>
        <v>No</v>
      </c>
      <c r="BS10" s="11">
        <f t="shared" si="14"/>
        <v>0</v>
      </c>
      <c r="BT10" s="11" t="s">
        <v>820</v>
      </c>
      <c r="BU10" s="11" t="s">
        <v>820</v>
      </c>
      <c r="BV10" s="40">
        <f t="shared" si="15"/>
        <v>0</v>
      </c>
      <c r="BW10" s="40">
        <f t="shared" si="16"/>
        <v>0</v>
      </c>
      <c r="BX10" s="11" t="e">
        <f t="shared" si="17"/>
        <v>#DIV/0!</v>
      </c>
      <c r="BY10" s="11" t="b">
        <v>0</v>
      </c>
      <c r="BZ10" s="11" t="b">
        <v>0</v>
      </c>
      <c r="CA10" s="11" t="e">
        <v>#REF!</v>
      </c>
      <c r="CB10" s="11" t="s">
        <v>82</v>
      </c>
      <c r="CC10" s="11" t="e">
        <f t="shared" si="18"/>
        <v>#DIV/0!</v>
      </c>
      <c r="CD10" s="11" t="e">
        <f>VLOOKUP(P10,'Designer Shutter Data'!$H$3:$I$19,2,FALSE)</f>
        <v>#N/A</v>
      </c>
      <c r="CE10" s="11" t="s">
        <v>820</v>
      </c>
      <c r="CF10" s="11" t="str">
        <f>IF(SUM(--ISNUMBER(SEARCH({"z","Z"}, P10))),"Yes","No")</f>
        <v>No</v>
      </c>
      <c r="CG10" s="11" t="str">
        <f t="shared" si="19"/>
        <v>OK</v>
      </c>
      <c r="CH10" s="11">
        <f t="shared" si="20"/>
        <v>0</v>
      </c>
      <c r="CI10" s="120" t="e">
        <f>IF(O10="N/A","N/A",VLOOKUP(O10,'Designer Shutter Data'!$AO$3:$AP$171,2,FALSE))</f>
        <v>#N/A</v>
      </c>
      <c r="CJ10" s="120" t="e">
        <f t="shared" si="21"/>
        <v>#N/A</v>
      </c>
      <c r="CK10" s="40"/>
      <c r="CL10" s="40" t="s">
        <v>486</v>
      </c>
      <c r="CM10" s="40" t="str">
        <f>IF(COUNTIF(L9:L23,'Designer Shutter Data'!BJ5),'Designer Shutter Data'!BL5,"")</f>
        <v/>
      </c>
      <c r="CN10" s="41" t="str">
        <f t="shared" si="22"/>
        <v>OK</v>
      </c>
      <c r="CO10" s="129" t="b">
        <f t="shared" si="23"/>
        <v>0</v>
      </c>
      <c r="CP10" s="129" t="b">
        <f t="shared" si="24"/>
        <v>0</v>
      </c>
      <c r="CQ10" s="40">
        <f t="shared" si="25"/>
        <v>0</v>
      </c>
      <c r="CR10" s="133">
        <f t="shared" si="26"/>
        <v>0</v>
      </c>
      <c r="CS10" s="40">
        <f t="shared" ref="CS10:CS23" si="43">CP10*CQ10</f>
        <v>0</v>
      </c>
      <c r="CT10" s="133" t="e">
        <f t="shared" si="27"/>
        <v>#N/A</v>
      </c>
      <c r="CU10" s="11" t="b">
        <v>0</v>
      </c>
      <c r="CV10" s="11" t="b">
        <v>0</v>
      </c>
      <c r="CW10" s="11" t="b">
        <v>0</v>
      </c>
      <c r="CX10" s="11" t="b">
        <v>0</v>
      </c>
      <c r="CY10" s="40" t="e">
        <f>IF(OR(AND(#REF!&gt;0,#REF!="")), "Error","OK")</f>
        <v>#REF!</v>
      </c>
      <c r="CZ10" s="11" t="e">
        <v>#REF!</v>
      </c>
      <c r="DA10" s="6" t="str">
        <f t="shared" si="28"/>
        <v/>
      </c>
      <c r="DD10" s="6" t="s">
        <v>84</v>
      </c>
      <c r="DE10" s="6" t="b">
        <f>IF(M10='Designer Shutter Data'!$F$3,'Designer Shutter Data'!$FY$7,IF(M10='Designer Shutter Data'!$F$4,'Designer Shutter Data'!$FZ$2,IF(M10='Designer Shutter Data'!$F$5,FJ10, IF(M10='Designer Shutter Data'!$F$6,'Designer Shutter Data'!$GA$2,IF(M10='Designer Shutter Data'!$F$7,'Designer Shutter Data'!$FY$2, IF(M10='Designer Shutter Data'!$F$8,'Designer Shutter Data'!$FZ$7, IF(M10='Designer Shutter Data'!$F$14,'Designer Shutter Data'!$FZ$14)))))))</f>
        <v>0</v>
      </c>
      <c r="DF10" s="6" t="e">
        <f>VLOOKUP(M10,'Designer Shutter Data'!$M$2:$N$8,2,FALSE)</f>
        <v>#N/A</v>
      </c>
      <c r="DH10" s="123" t="e">
        <f>VLOOKUP(O10,'Designer Shutter Data'!$IN$2:$IO$169,2,FALSE)</f>
        <v>#N/A</v>
      </c>
      <c r="DI10" s="103" t="e">
        <f t="shared" si="29"/>
        <v>#N/A</v>
      </c>
      <c r="DJ10" s="103" t="e">
        <f t="shared" ref="DJ10:DJ23" si="44">IF(DI10=0,"OK", "Layout Code &amp; T Post Quantity Issue")</f>
        <v>#N/A</v>
      </c>
      <c r="DK10" s="7" t="b">
        <f>IF(P10='Designer Shutter Data'!$GC$2,'Designer Shutter Data'!$GD$2,IF(P10='Designer Shutter Data'!$GC$3,'Designer Shutter Data'!$GE$2,IF(P10='Designer Shutter Data'!$GC$4,'Designer Shutter Data'!$GF$2,IF(P10='Designer Shutter Data'!$GC$5,'Designer Shutter Data'!$GG$2,IF(P10='Designer Shutter Data'!$GC$6,'Designer Shutter Data'!$GH$2,IF(P10='Designer Shutter Data'!$GC$7,'Designer Shutter Data'!$GI$2,IF(P10='Designer Shutter Data'!$GC$8,'Designer Shutter Data'!$GJ$2,IF(P10='Designer Shutter Data'!$GC$9,'Designer Shutter Data'!$GK$2,IF(P10='Designer Shutter Data'!$GC$10,'Designer Shutter Data'!$GL$2,IF(P10='Designer Shutter Data'!$GC$11,'Designer Shutter Data'!$GM$2,IF(P10='Designer Shutter Data'!$GC$12,'Designer Shutter Data'!$GN$2,IF(P10='Designer Shutter Data'!$GC$13,'Designer Shutter Data'!$GO$2,IF(P10='Designer Shutter Data'!$GC$14,'Designer Shutter Data'!$GP$2,IF(P10='Designer Shutter Data'!$GC$15,'Designer Shutter Data'!$GD$15,IF(P10='Designer Shutter Data'!$GC$16,'Designer Shutter Data'!$GE$15,IF(P10='Designer Shutter Data'!$GC$17,'Designer Shutter Data'!$GF$15,IF(P10='Designer Shutter Data'!$GC$18,'Designer Shutter Data'!$GG$15,IF(P10='Designer Shutter Data'!$GC$19,'Designer Shutter Data'!$GD$73,IF(P10='Designer Shutter Data'!$GC$20,'Designer Shutter Data'!$GD$88, IF(P10='Designer Shutter Data'!$GC$21,'Designer Shutter Data'!$GH$15, IF(P10='Designer Shutter Data'!$GC$22,'Designer Shutter Data'!$GJ$2, IF(P10='Designer Shutter Data'!$GC$23,'Designer Shutter Data'!$GL$2))))))))))))))))))))))</f>
        <v>0</v>
      </c>
      <c r="DL10" s="7" t="b">
        <f>IF(P10='Designer Shutter Data'!$GC$2,'Designer Shutter Data'!$GD$25,IF(P10='Designer Shutter Data'!$GC$3,'Designer Shutter Data'!$GE$25,IF(P10='Designer Shutter Data'!$GC$4,'Designer Shutter Data'!$GF$25,IF(P10='Designer Shutter Data'!$GC$5,'Designer Shutter Data'!$GG$25,IF(P10='Designer Shutter Data'!$GC$6,'Designer Shutter Data'!$GH$25,IF(P10='Designer Shutter Data'!$GC$7,'Designer Shutter Data'!$GI$25,IF(P10='Designer Shutter Data'!$GC$8,'Designer Shutter Data'!$GJ$25,IF(P10='Designer Shutter Data'!$GC$9,'Designer Shutter Data'!$GK$25,IF(P10='Designer Shutter Data'!$GC$10,'Designer Shutter Data'!$GL$25,IF(P10='Designer Shutter Data'!$GC$11,'Designer Shutter Data'!$GM$25,IF(P10='Designer Shutter Data'!$GC$12,'Designer Shutter Data'!$GN$25,IF(P10='Designer Shutter Data'!$GC$13,'Designer Shutter Data'!$GO$25,IF(P10='Designer Shutter Data'!$GC$14,'Designer Shutter Data'!$GP$25,IF(P10='Designer Shutter Data'!$GC$15,'Designer Shutter Data'!$GD$37,IF(P10='Designer Shutter Data'!$GC$15,'Designer Shutter Data'!$GD$37,IF(P10='Designer Shutter Data'!$GC$16,'Designer Shutter Data'!$GE$37,IF(P10='Designer Shutter Data'!$GC$17,'Designer Shutter Data'!$GF$37,IF(P10='Designer Shutter Data'!$GC$18,'Designer Shutter Data'!$GG$37, IF(P10='Designer Shutter Data'!$GC$19,'Designer Shutter Data'!$GD$73, IF(P10='Designer Shutter Data'!$GC$20,'Designer Shutter Data'!$GE$88, IF(P10='Designer Shutter Data'!$GC$21,'Designer Shutter Data'!$GH$37,IF(P10='Designer Shutter Data'!$GC$22,'Designer Shutter Data'!$GJ$25,IF(P10='Designer Shutter Data'!$GC$23,'Designer Shutter Data'!$GL$25)))))))))))))))))))))))</f>
        <v>0</v>
      </c>
      <c r="DM10" s="118" t="b">
        <f>IF(P10='Designer Shutter Data'!$GC$2,'Designer Shutter Data'!$GD$47,IF(P10='Designer Shutter Data'!$GC$3,'Designer Shutter Data'!$GE$47,IF(P10='Designer Shutter Data'!$GC$4,'Designer Shutter Data'!$GF$47,IF(P10='Designer Shutter Data'!$GC$5,'Designer Shutter Data'!$GG$47,IF(P10='Designer Shutter Data'!$GC$6,'Designer Shutter Data'!$GH$47,IF(P10='Designer Shutter Data'!$GC$7,'Designer Shutter Data'!$GI$47,IF(P10='Designer Shutter Data'!$GC$8,'Designer Shutter Data'!$GJ$47,IF(P10='Designer Shutter Data'!$GC$9,'Designer Shutter Data'!$GK$47,IF(P10='Designer Shutter Data'!$GC$10,'Designer Shutter Data'!$GL$47,IF(P10='Designer Shutter Data'!$GC$11,'Designer Shutter Data'!$GM$47,IF(P10='Designer Shutter Data'!$GC$12,'Designer Shutter Data'!$GN$47,IF(P10='Designer Shutter Data'!$GC$13,'Designer Shutter Data'!$GO$47,IF(P10='Designer Shutter Data'!$GC$14,'Designer Shutter Data'!$GP$47, IF(P10='Designer Shutter Data'!$GC$19,'Designer Shutter Data'!$GD$73, IF(P10='Designer Shutter Data'!$GC$20,'Designer Shutter Data'!$GF$88, IF(M10='Designer Shutter Data'!$F$5,'Designer Shutter Data'!$GE$59, IF(M10='Designer Shutter Data'!$F$6,'Designer Shutter Data'!$GD$59, IF(P10='Designer Shutter Data'!$GC$21,'Designer Shutter Data'!$GF$59,IF(P10='Designer Shutter Data'!$GC$22,'Designer Shutter Data'!$GJ$47,IF(P10='Designer Shutter Data'!$GC$23,'Designer Shutter Data'!$GL$47))))))))))))))))))))</f>
        <v>0</v>
      </c>
      <c r="DN10" s="107" t="str">
        <f t="shared" ref="DN10:DN23" si="45">IF(COUNTIF(BK10:BM10,$DN$7),"Required","")</f>
        <v/>
      </c>
      <c r="DO10" s="107" t="e">
        <f t="shared" ref="DO10:DO23" si="46">IF(OR(AND(DJ10="Layout Code &amp; T Post Quantity Issue"), AND(DN10="Required")),"Yes","No")</f>
        <v>#N/A</v>
      </c>
      <c r="DP10" s="107" t="str">
        <f t="shared" si="30"/>
        <v>OK</v>
      </c>
      <c r="DQ10" s="107" t="str">
        <f t="shared" si="31"/>
        <v>OK</v>
      </c>
      <c r="DR10" s="107" t="str">
        <f t="shared" si="32"/>
        <v>OK</v>
      </c>
      <c r="DS10" s="107" t="str">
        <f t="shared" si="33"/>
        <v>OK</v>
      </c>
      <c r="DT10" s="7" t="b">
        <f>IF(E10='Designer Shutter Data'!$GV$2,'Designer Shutter Data'!$GW$2,IF(E10='Designer Shutter Data'!$GV$3,'Designer Shutter Data'!$GX$2,IF(E10='Designer Shutter Data'!$GV$4,'Designer Shutter Data'!$GY$2)))</f>
        <v>0</v>
      </c>
      <c r="DU10" s="40" t="e">
        <f>MATCH(E10,'Designer Shutter Data'!$HB$1:$HD$1,0)</f>
        <v>#N/A</v>
      </c>
      <c r="DV10" s="40" t="e">
        <f>MATCH(M10,'Designer Shutter Data'!$HA$2:$HA$8,0)</f>
        <v>#N/A</v>
      </c>
      <c r="DW10" s="11" t="e">
        <f>INDEX('Designer Shutter Data'!$HB$2:$HD$8,DV10,DU10)</f>
        <v>#N/A</v>
      </c>
      <c r="DX10" s="11" t="b">
        <f>IF(E10='Designer Shutter Data'!$IG$1,'Designer Shutter Data'!$IG$2,IF(E10='Designer Shutter Data'!$IH$1,'Designer Shutter Data'!$IH$2, IF(E10='Designer Shutter Data'!$II$1,'Designer Shutter Data'!$II$2)))</f>
        <v>0</v>
      </c>
      <c r="DY10" s="11" t="str">
        <f>IF(E10="MS",'Designer Shutter Data'!$BI$2,IF(G10='Designer Shutter Data'!$BJ$34,'Designer Shutter Data'!$BJ$35,'Designer Shutter Data'!$BJ$2))</f>
        <v>FauxwoodDesignerWindowType</v>
      </c>
      <c r="DZ10" s="118" t="b">
        <f>IF(M10='Designer Shutter Data'!$F$3,'Designer Shutter Data'!$GF$88, IF(M10='Designer Shutter Data'!$F$4,'Designer Shutter Data'!$GE$59, IF(M10='Designer Shutter Data'!$F$5,'Designer Shutter Data'!$GD$59, IF(M10='Designer Shutter Data'!$F$6,'Designer Shutter Data'!$GD$59, IF(M10='Designer Shutter Data'!$F$7,'Designer Shutter Data'!$GD$73)))))</f>
        <v>0</v>
      </c>
      <c r="EA10" s="40"/>
      <c r="EB10" s="6" t="b">
        <f>IF(M10='Designer Shutter Data'!$IT$2,'Designer Shutter Data'!$JA$2, IF(M10='Designer Shutter Data'!$IT$3,'Designer Shutter Data'!$JC$2, IF(M10='Designer Shutter Data'!$IT$4,'Designer Shutter Data'!$JE$2, IF(M10='Designer Shutter Data'!$IT$5,'Designer Shutter Data'!$JG$2, IF(M10='Designer Shutter Data'!$IT$6,'Designer Shutter Data'!$JI$2, IF(M10='Designer Shutter Data'!$IT$7,'Designer Shutter Data'!$JZ$2, IF(M10='Designer Shutter Data'!$IT$8,'Designer Shutter Data'!$JI$16)))))))</f>
        <v>0</v>
      </c>
      <c r="EC10" s="6" t="str">
        <f t="shared" si="34"/>
        <v>NoHighlight</v>
      </c>
      <c r="ED10" s="7" t="e">
        <f>VLOOKUP(M10,'Designer Shutter Data'!$JW$5:$JX$10,2,FALSE)</f>
        <v>#N/A</v>
      </c>
      <c r="EE10" s="7" t="e">
        <f t="shared" si="35"/>
        <v>#N/A</v>
      </c>
      <c r="EF10" s="118" t="e">
        <f>VLOOKUP(O10,'Designer Shutter Data'!$AO$3:$AQ$171,1,FALSE)</f>
        <v>#N/A</v>
      </c>
      <c r="EG10" s="7" t="e">
        <f t="shared" si="36"/>
        <v>#N/A</v>
      </c>
      <c r="EH10" s="6" t="str">
        <f t="shared" si="37"/>
        <v/>
      </c>
      <c r="EJ10" s="40" t="e">
        <f>MATCH(M10,'Designer Shutter Data'!$KD$1:$KI$1,0)</f>
        <v>#N/A</v>
      </c>
      <c r="EK10" s="40" t="e">
        <f>MATCH(P10,'Designer Shutter Data'!$KC$2:$KC$21,0)</f>
        <v>#N/A</v>
      </c>
      <c r="EL10" s="136" t="e">
        <f>INDEX('Designer Shutter Data'!$KD$2:$KI$21,EK10,EJ10)</f>
        <v>#N/A</v>
      </c>
      <c r="EM10" s="73">
        <f>IF(COUNT(#REF!)&gt;0,2,0)</f>
        <v>0</v>
      </c>
      <c r="EN10" s="73" t="s">
        <v>777</v>
      </c>
      <c r="EO10" s="6" t="s">
        <v>823</v>
      </c>
      <c r="EP10" s="6" t="str">
        <f>IF(AC10&lt;&gt;$EO$4,'Designer Shutter Data'!$BR$2,'Designer Shutter Data'!$BR$9)</f>
        <v>Fluffy_Strip_Fauxwood</v>
      </c>
      <c r="ER10" s="6" t="str">
        <f>IF(G10='Designer Shutter Data'!$E$26,'Designer Shutter Data'!$E$27,IF(G10='Designer Shutter Data'!$E$37,'Designer Shutter Data'!$E$38,'Designer Shutter Data'!$E$2))</f>
        <v>FauxwoodDesignerBladeSize</v>
      </c>
      <c r="ET10" s="6" t="str">
        <f t="shared" ref="ET10:ET23" si="47">IF(G10=$EU$7,$EU$8,$EO$8)</f>
        <v>Stile T Post</v>
      </c>
      <c r="EW10" s="40" t="e">
        <f>MATCH(G10,'Designer Shutter Data'!$AV$27:$AV$30,0)</f>
        <v>#N/A</v>
      </c>
      <c r="EX10" s="40" t="e">
        <f>MATCH(AC10,'Designer Shutter Data'!$AW$26:$AX$26,0)</f>
        <v>#N/A</v>
      </c>
      <c r="EY10" s="136" t="e">
        <f>INDEX('Designer Shutter Data'!$AW$27:$AX$30,EW10,EX10)</f>
        <v>#N/A</v>
      </c>
      <c r="EZ10" s="6" t="str">
        <f>IF(G10='Designer Shutter Data'!$S$15,'Designer Shutter Data'!$S$16, IF(G10=$FB$7,'Designer Shutter Data'!$T$15,'Designer Shutter Data'!$S$2))</f>
        <v>FauxwoodDesignerTiltrod</v>
      </c>
      <c r="FA10" s="6" t="e">
        <f>IF(G10=$FB$7,"No",VLOOKUP(L10,'Designer Shutter Data'!$BJ$62:$BK$75,2,FALSE))</f>
        <v>#N/A</v>
      </c>
      <c r="FB10" s="6" t="e">
        <f>IF(FA10="Yes", 'Designer Shutter Data'!$T$2,IF(G10=$FB$7,'Designer Shutter Data'!$T$15,'Designer Shutters Page 2'!EZ10))</f>
        <v>#N/A</v>
      </c>
      <c r="FC10" s="6" t="e">
        <f>MATCH(G10,'Designer Shutter Data'!$IG$15:$IJ$15,0)</f>
        <v>#N/A</v>
      </c>
      <c r="FD10" s="6" t="e">
        <f>MATCH(E10,'Designer Shutter Data'!$IF$16:$IF$18,0)</f>
        <v>#N/A</v>
      </c>
      <c r="FE10" s="6" t="e">
        <f>INDEX('Designer Shutter Data'!$IG$16:$IJ$18, 'Designer Shutters Page 2'!FD10, 'Designer Shutters Page 2'!FC10)</f>
        <v>#N/A</v>
      </c>
      <c r="FH10" s="6" t="str">
        <f t="shared" ref="FH10:FH23" si="48">IF(M10=$FH$2,$FH$3,$FI$3)</f>
        <v>SlidingSystemNA</v>
      </c>
      <c r="FJ10" s="6" t="e">
        <f>VLOOKUP(O10,'Designer Shutter Data'!$KP$2:$KR$44,3,FALSE)</f>
        <v>#N/A</v>
      </c>
      <c r="FL10" s="11" t="b">
        <f>IF(N10=$FL$7,'Designer Shutter Data'!$GH$98,DM10)</f>
        <v>0</v>
      </c>
    </row>
    <row r="11" spans="1:168" ht="36.75" customHeight="1" x14ac:dyDescent="0.2">
      <c r="A11" s="50">
        <v>3</v>
      </c>
      <c r="B11" s="51"/>
      <c r="C11" s="44"/>
      <c r="D11" s="31"/>
      <c r="E11" s="31"/>
      <c r="F11" s="31"/>
      <c r="G11" s="43"/>
      <c r="H11" s="234"/>
      <c r="I11" s="235"/>
      <c r="J11" s="44"/>
      <c r="K11" s="45"/>
      <c r="L11" s="45"/>
      <c r="M11" s="45"/>
      <c r="N11" s="45"/>
      <c r="O11" s="45"/>
      <c r="P11" s="236"/>
      <c r="Q11" s="236"/>
      <c r="R11" s="43"/>
      <c r="S11" s="43"/>
      <c r="T11" s="43"/>
      <c r="U11" s="43"/>
      <c r="V11" s="45"/>
      <c r="W11" s="45"/>
      <c r="X11" s="43"/>
      <c r="Y11" s="46"/>
      <c r="Z11" s="47"/>
      <c r="AA11" s="47"/>
      <c r="AB11" s="47"/>
      <c r="AC11" s="44"/>
      <c r="AD11" s="44"/>
      <c r="AE11" s="48" t="str">
        <f t="shared" si="0"/>
        <v/>
      </c>
      <c r="AI11" s="6">
        <f t="shared" si="38"/>
        <v>0</v>
      </c>
      <c r="AJ11" s="6">
        <f t="shared" si="39"/>
        <v>0</v>
      </c>
      <c r="AK11" s="6">
        <f>IF(O11&lt;&gt;"",VLOOKUP(O11,'Designer Shutter Data'!$KP$2:$KQ$44,2,FALSE),0)</f>
        <v>0</v>
      </c>
      <c r="AT11" s="49" t="str">
        <f t="shared" si="1"/>
        <v/>
      </c>
      <c r="AV11" s="6" t="str">
        <f>IF(G11=$AV$7,'Designer Shutter Data'!$D$38,'Designer Shutter Data'!$D$2)</f>
        <v>FauxwoodDesignerColour</v>
      </c>
      <c r="AW11" s="130" t="e">
        <f t="shared" si="40"/>
        <v>#N/A</v>
      </c>
      <c r="AX11" s="130" t="e">
        <f>VLOOKUP(M11,'Designer Shutter Data'!$JK$2:$JL$7,2,FALSE)</f>
        <v>#N/A</v>
      </c>
      <c r="AY11" s="38" t="b">
        <v>0</v>
      </c>
      <c r="AZ11" s="38" t="str">
        <f t="shared" si="2"/>
        <v>No</v>
      </c>
      <c r="BA11" s="38" t="e">
        <f t="shared" si="3"/>
        <v>#DIV/0!</v>
      </c>
      <c r="BB11" s="38" t="e">
        <f t="shared" si="4"/>
        <v>#DIV/0!</v>
      </c>
      <c r="BC11" s="38" t="e">
        <f t="shared" si="5"/>
        <v>#DIV/0!</v>
      </c>
      <c r="BD11" s="38" t="str">
        <f t="shared" si="6"/>
        <v>No</v>
      </c>
      <c r="BE11" s="38" t="e">
        <f>IF(OR(AND(C11&gt;0,#REF!="")), "Required","NotRequired")</f>
        <v>#REF!</v>
      </c>
      <c r="BF11" s="38" t="b">
        <v>0</v>
      </c>
      <c r="BG11" s="38" t="e">
        <f t="shared" si="41"/>
        <v>#DIV/0!</v>
      </c>
      <c r="BH11" s="39" t="str">
        <f t="shared" si="7"/>
        <v>NoHighlight</v>
      </c>
      <c r="BI11" s="38" t="str">
        <f t="shared" si="8"/>
        <v>FauxwoodRPNo</v>
      </c>
      <c r="BJ11" s="110" t="str">
        <f>IF(SUM(--ISNUMBER(SEARCH({"t","T"}, O11))),"Yes","No")</f>
        <v>No</v>
      </c>
      <c r="BK11" s="127" t="str">
        <f t="shared" si="9"/>
        <v>OK</v>
      </c>
      <c r="BL11" s="127" t="str">
        <f t="shared" si="10"/>
        <v>OK</v>
      </c>
      <c r="BM11" s="127" t="str">
        <f t="shared" si="11"/>
        <v>OK</v>
      </c>
      <c r="BN11" s="39" t="str">
        <f t="shared" si="12"/>
        <v>OK</v>
      </c>
      <c r="BO11" s="39" t="str">
        <f t="shared" si="13"/>
        <v>FauxwoodAINo</v>
      </c>
      <c r="BP11" s="39" t="str">
        <f>IF(SUM(--ISNUMBER(SEARCH({"combo","Combo","COMBO"}, B28))),"Yes","No")</f>
        <v>No</v>
      </c>
      <c r="BQ11" s="39" t="str">
        <f t="shared" si="42"/>
        <v>No</v>
      </c>
      <c r="BR11" s="39" t="str">
        <f>IF(SUM(--ISNUMBER(SEARCH({"c","C","b","B"}, L11))),"Yes","No")</f>
        <v>No</v>
      </c>
      <c r="BS11" s="11">
        <f t="shared" si="14"/>
        <v>0</v>
      </c>
      <c r="BT11" s="11" t="s">
        <v>820</v>
      </c>
      <c r="BU11" s="11" t="s">
        <v>820</v>
      </c>
      <c r="BV11" s="40">
        <f t="shared" si="15"/>
        <v>0</v>
      </c>
      <c r="BW11" s="40">
        <f t="shared" si="16"/>
        <v>0</v>
      </c>
      <c r="BX11" s="11" t="e">
        <f t="shared" si="17"/>
        <v>#DIV/0!</v>
      </c>
      <c r="BY11" s="11" t="b">
        <v>0</v>
      </c>
      <c r="BZ11" s="11" t="b">
        <v>0</v>
      </c>
      <c r="CA11" s="11" t="e">
        <v>#REF!</v>
      </c>
      <c r="CB11" s="11" t="s">
        <v>82</v>
      </c>
      <c r="CC11" s="11" t="e">
        <f t="shared" si="18"/>
        <v>#DIV/0!</v>
      </c>
      <c r="CD11" s="11" t="e">
        <f>VLOOKUP(P11,'Designer Shutter Data'!$H$3:$I$19,2,FALSE)</f>
        <v>#N/A</v>
      </c>
      <c r="CE11" s="11" t="s">
        <v>820</v>
      </c>
      <c r="CF11" s="11" t="str">
        <f>IF(SUM(--ISNUMBER(SEARCH({"z","Z"}, P11))),"Yes","No")</f>
        <v>No</v>
      </c>
      <c r="CG11" s="11" t="str">
        <f t="shared" si="19"/>
        <v>OK</v>
      </c>
      <c r="CH11" s="11">
        <f t="shared" si="20"/>
        <v>0</v>
      </c>
      <c r="CI11" s="120" t="e">
        <f>IF(O11="N/A","N/A",VLOOKUP(O11,'Designer Shutter Data'!$AO$3:$AP$171,2,FALSE))</f>
        <v>#N/A</v>
      </c>
      <c r="CJ11" s="120" t="e">
        <f t="shared" si="21"/>
        <v>#N/A</v>
      </c>
      <c r="CK11" s="40"/>
      <c r="CL11" s="40" t="s">
        <v>487</v>
      </c>
      <c r="CM11" s="40" t="str">
        <f>IF(COUNTIF(L9:L23,'Designer Shutter Data'!BJ6)+COUNTIF(L9:L23,'Designer Shutter Data'!BJ51)+COUNTIF(L9:L23,'Designer Shutter Data'!BJ8)+COUNTIF(L9:L23,'Designer Shutter Data'!BJ9)+COUNTIF(L9:L23,'Designer Shutter Data'!BJ11)+COUNTIF(L9:L23,'Designer Shutter Data'!BJ12)+COUNTIF(L9:L23,'Designer Shutter Data'!BJ15),'Designer Shutter Data'!BL8,"")</f>
        <v/>
      </c>
      <c r="CN11" s="41" t="str">
        <f t="shared" si="22"/>
        <v>OK</v>
      </c>
      <c r="CO11" s="129" t="b">
        <f t="shared" si="23"/>
        <v>0</v>
      </c>
      <c r="CP11" s="129" t="b">
        <f t="shared" si="24"/>
        <v>0</v>
      </c>
      <c r="CQ11" s="40">
        <f t="shared" si="25"/>
        <v>0</v>
      </c>
      <c r="CR11" s="133">
        <f t="shared" si="26"/>
        <v>0</v>
      </c>
      <c r="CS11" s="40">
        <f t="shared" si="43"/>
        <v>0</v>
      </c>
      <c r="CT11" s="133" t="e">
        <f t="shared" si="27"/>
        <v>#N/A</v>
      </c>
      <c r="CU11" s="11" t="b">
        <v>0</v>
      </c>
      <c r="CV11" s="11" t="b">
        <v>0</v>
      </c>
      <c r="CW11" s="11" t="b">
        <v>0</v>
      </c>
      <c r="CX11" s="11" t="b">
        <v>0</v>
      </c>
      <c r="CY11" s="40" t="e">
        <f>IF(OR(AND(#REF!&gt;0,#REF!="")), "Error","OK")</f>
        <v>#REF!</v>
      </c>
      <c r="CZ11" s="11" t="e">
        <v>#REF!</v>
      </c>
      <c r="DA11" s="6" t="str">
        <f t="shared" si="28"/>
        <v/>
      </c>
      <c r="DD11" s="6" t="s">
        <v>84</v>
      </c>
      <c r="DE11" s="6" t="b">
        <f>IF(M11='Designer Shutter Data'!$F$3,'Designer Shutter Data'!$FY$7,IF(M11='Designer Shutter Data'!$F$4,'Designer Shutter Data'!$FZ$2,IF(M11='Designer Shutter Data'!$F$5,FJ11, IF(M11='Designer Shutter Data'!$F$6,'Designer Shutter Data'!$GA$2,IF(M11='Designer Shutter Data'!$F$7,'Designer Shutter Data'!$FY$2, IF(M11='Designer Shutter Data'!$F$8,'Designer Shutter Data'!$FZ$7, IF(M11='Designer Shutter Data'!$F$14,'Designer Shutter Data'!$FZ$14)))))))</f>
        <v>0</v>
      </c>
      <c r="DF11" s="6" t="e">
        <f>VLOOKUP(M11,'Designer Shutter Data'!$M$2:$N$8,2,FALSE)</f>
        <v>#N/A</v>
      </c>
      <c r="DH11" s="123" t="e">
        <f>VLOOKUP(O11,'Designer Shutter Data'!$IN$2:$IO$169,2,FALSE)</f>
        <v>#N/A</v>
      </c>
      <c r="DI11" s="103" t="e">
        <f t="shared" si="29"/>
        <v>#N/A</v>
      </c>
      <c r="DJ11" s="103" t="e">
        <f t="shared" si="44"/>
        <v>#N/A</v>
      </c>
      <c r="DK11" s="7" t="b">
        <f>IF(P11='Designer Shutter Data'!$GC$2,'Designer Shutter Data'!$GD$2,IF(P11='Designer Shutter Data'!$GC$3,'Designer Shutter Data'!$GE$2,IF(P11='Designer Shutter Data'!$GC$4,'Designer Shutter Data'!$GF$2,IF(P11='Designer Shutter Data'!$GC$5,'Designer Shutter Data'!$GG$2,IF(P11='Designer Shutter Data'!$GC$6,'Designer Shutter Data'!$GH$2,IF(P11='Designer Shutter Data'!$GC$7,'Designer Shutter Data'!$GI$2,IF(P11='Designer Shutter Data'!$GC$8,'Designer Shutter Data'!$GJ$2,IF(P11='Designer Shutter Data'!$GC$9,'Designer Shutter Data'!$GK$2,IF(P11='Designer Shutter Data'!$GC$10,'Designer Shutter Data'!$GL$2,IF(P11='Designer Shutter Data'!$GC$11,'Designer Shutter Data'!$GM$2,IF(P11='Designer Shutter Data'!$GC$12,'Designer Shutter Data'!$GN$2,IF(P11='Designer Shutter Data'!$GC$13,'Designer Shutter Data'!$GO$2,IF(P11='Designer Shutter Data'!$GC$14,'Designer Shutter Data'!$GP$2,IF(P11='Designer Shutter Data'!$GC$15,'Designer Shutter Data'!$GD$15,IF(P11='Designer Shutter Data'!$GC$16,'Designer Shutter Data'!$GE$15,IF(P11='Designer Shutter Data'!$GC$17,'Designer Shutter Data'!$GF$15,IF(P11='Designer Shutter Data'!$GC$18,'Designer Shutter Data'!$GG$15,IF(P11='Designer Shutter Data'!$GC$19,'Designer Shutter Data'!$GD$73,IF(P11='Designer Shutter Data'!$GC$20,'Designer Shutter Data'!$GD$88, IF(P11='Designer Shutter Data'!$GC$21,'Designer Shutter Data'!$GH$15, IF(P11='Designer Shutter Data'!$GC$22,'Designer Shutter Data'!$GJ$2, IF(P11='Designer Shutter Data'!$GC$23,'Designer Shutter Data'!$GL$2))))))))))))))))))))))</f>
        <v>0</v>
      </c>
      <c r="DL11" s="7" t="b">
        <f>IF(P11='Designer Shutter Data'!$GC$2,'Designer Shutter Data'!$GD$25,IF(P11='Designer Shutter Data'!$GC$3,'Designer Shutter Data'!$GE$25,IF(P11='Designer Shutter Data'!$GC$4,'Designer Shutter Data'!$GF$25,IF(P11='Designer Shutter Data'!$GC$5,'Designer Shutter Data'!$GG$25,IF(P11='Designer Shutter Data'!$GC$6,'Designer Shutter Data'!$GH$25,IF(P11='Designer Shutter Data'!$GC$7,'Designer Shutter Data'!$GI$25,IF(P11='Designer Shutter Data'!$GC$8,'Designer Shutter Data'!$GJ$25,IF(P11='Designer Shutter Data'!$GC$9,'Designer Shutter Data'!$GK$25,IF(P11='Designer Shutter Data'!$GC$10,'Designer Shutter Data'!$GL$25,IF(P11='Designer Shutter Data'!$GC$11,'Designer Shutter Data'!$GM$25,IF(P11='Designer Shutter Data'!$GC$12,'Designer Shutter Data'!$GN$25,IF(P11='Designer Shutter Data'!$GC$13,'Designer Shutter Data'!$GO$25,IF(P11='Designer Shutter Data'!$GC$14,'Designer Shutter Data'!$GP$25,IF(P11='Designer Shutter Data'!$GC$15,'Designer Shutter Data'!$GD$37,IF(P11='Designer Shutter Data'!$GC$15,'Designer Shutter Data'!$GD$37,IF(P11='Designer Shutter Data'!$GC$16,'Designer Shutter Data'!$GE$37,IF(P11='Designer Shutter Data'!$GC$17,'Designer Shutter Data'!$GF$37,IF(P11='Designer Shutter Data'!$GC$18,'Designer Shutter Data'!$GG$37, IF(P11='Designer Shutter Data'!$GC$19,'Designer Shutter Data'!$GD$73, IF(P11='Designer Shutter Data'!$GC$20,'Designer Shutter Data'!$GE$88, IF(P11='Designer Shutter Data'!$GC$21,'Designer Shutter Data'!$GH$37,IF(P11='Designer Shutter Data'!$GC$22,'Designer Shutter Data'!$GJ$25,IF(P11='Designer Shutter Data'!$GC$23,'Designer Shutter Data'!$GL$25)))))))))))))))))))))))</f>
        <v>0</v>
      </c>
      <c r="DM11" s="118" t="b">
        <f>IF(P11='Designer Shutter Data'!$GC$2,'Designer Shutter Data'!$GD$47,IF(P11='Designer Shutter Data'!$GC$3,'Designer Shutter Data'!$GE$47,IF(P11='Designer Shutter Data'!$GC$4,'Designer Shutter Data'!$GF$47,IF(P11='Designer Shutter Data'!$GC$5,'Designer Shutter Data'!$GG$47,IF(P11='Designer Shutter Data'!$GC$6,'Designer Shutter Data'!$GH$47,IF(P11='Designer Shutter Data'!$GC$7,'Designer Shutter Data'!$GI$47,IF(P11='Designer Shutter Data'!$GC$8,'Designer Shutter Data'!$GJ$47,IF(P11='Designer Shutter Data'!$GC$9,'Designer Shutter Data'!$GK$47,IF(P11='Designer Shutter Data'!$GC$10,'Designer Shutter Data'!$GL$47,IF(P11='Designer Shutter Data'!$GC$11,'Designer Shutter Data'!$GM$47,IF(P11='Designer Shutter Data'!$GC$12,'Designer Shutter Data'!$GN$47,IF(P11='Designer Shutter Data'!$GC$13,'Designer Shutter Data'!$GO$47,IF(P11='Designer Shutter Data'!$GC$14,'Designer Shutter Data'!$GP$47, IF(P11='Designer Shutter Data'!$GC$19,'Designer Shutter Data'!$GD$73, IF(P11='Designer Shutter Data'!$GC$20,'Designer Shutter Data'!$GF$88, IF(M11='Designer Shutter Data'!$F$5,'Designer Shutter Data'!$GE$59, IF(M11='Designer Shutter Data'!$F$6,'Designer Shutter Data'!$GD$59, IF(P11='Designer Shutter Data'!$GC$21,'Designer Shutter Data'!$GF$59,IF(P11='Designer Shutter Data'!$GC$22,'Designer Shutter Data'!$GJ$47,IF(P11='Designer Shutter Data'!$GC$23,'Designer Shutter Data'!$GL$47))))))))))))))))))))</f>
        <v>0</v>
      </c>
      <c r="DN11" s="107" t="str">
        <f t="shared" si="45"/>
        <v/>
      </c>
      <c r="DO11" s="107" t="e">
        <f t="shared" si="46"/>
        <v>#N/A</v>
      </c>
      <c r="DP11" s="107" t="str">
        <f t="shared" si="30"/>
        <v>OK</v>
      </c>
      <c r="DQ11" s="107" t="str">
        <f t="shared" si="31"/>
        <v>OK</v>
      </c>
      <c r="DR11" s="107" t="str">
        <f t="shared" si="32"/>
        <v>OK</v>
      </c>
      <c r="DS11" s="107" t="str">
        <f t="shared" si="33"/>
        <v>OK</v>
      </c>
      <c r="DT11" s="7" t="b">
        <f>IF(E11='Designer Shutter Data'!$GV$2,'Designer Shutter Data'!$GW$2,IF(E11='Designer Shutter Data'!$GV$3,'Designer Shutter Data'!$GX$2,IF(E11='Designer Shutter Data'!$GV$4,'Designer Shutter Data'!$GY$2)))</f>
        <v>0</v>
      </c>
      <c r="DU11" s="40" t="e">
        <f>MATCH(E11,'Designer Shutter Data'!$HB$1:$HD$1,0)</f>
        <v>#N/A</v>
      </c>
      <c r="DV11" s="40" t="e">
        <f>MATCH(M11,'Designer Shutter Data'!$HA$2:$HA$8,0)</f>
        <v>#N/A</v>
      </c>
      <c r="DW11" s="11" t="e">
        <f>INDEX('Designer Shutter Data'!$HB$2:$HD$8,DV11,DU11)</f>
        <v>#N/A</v>
      </c>
      <c r="DX11" s="11" t="b">
        <f>IF(E11='Designer Shutter Data'!$IG$1,'Designer Shutter Data'!$IG$2,IF(E11='Designer Shutter Data'!$IH$1,'Designer Shutter Data'!$IH$2, IF(E11='Designer Shutter Data'!$II$1,'Designer Shutter Data'!$II$2)))</f>
        <v>0</v>
      </c>
      <c r="DY11" s="11" t="str">
        <f>IF(E11="MS",'Designer Shutter Data'!$BI$2,IF(G11='Designer Shutter Data'!$BJ$34,'Designer Shutter Data'!$BJ$35,'Designer Shutter Data'!$BJ$2))</f>
        <v>FauxwoodDesignerWindowType</v>
      </c>
      <c r="DZ11" s="118" t="b">
        <f>IF(M11='Designer Shutter Data'!$F$3,'Designer Shutter Data'!$GF$88, IF(M11='Designer Shutter Data'!$F$4,'Designer Shutter Data'!$GE$59, IF(M11='Designer Shutter Data'!$F$5,'Designer Shutter Data'!$GD$59, IF(M11='Designer Shutter Data'!$F$6,'Designer Shutter Data'!$GD$59, IF(M11='Designer Shutter Data'!$F$7,'Designer Shutter Data'!$GD$73)))))</f>
        <v>0</v>
      </c>
      <c r="EA11" s="40" t="str">
        <f>EA9&amp;"       "&amp;EA6</f>
        <v xml:space="preserve">                    </v>
      </c>
      <c r="EB11" s="6" t="b">
        <f>IF(M11='Designer Shutter Data'!$IT$2,'Designer Shutter Data'!$JA$2, IF(M11='Designer Shutter Data'!$IT$3,'Designer Shutter Data'!$JC$2, IF(M11='Designer Shutter Data'!$IT$4,'Designer Shutter Data'!$JE$2, IF(M11='Designer Shutter Data'!$IT$5,'Designer Shutter Data'!$JG$2, IF(M11='Designer Shutter Data'!$IT$6,'Designer Shutter Data'!$JI$2, IF(M11='Designer Shutter Data'!$IT$7,'Designer Shutter Data'!$JZ$2, IF(M11='Designer Shutter Data'!$IT$8,'Designer Shutter Data'!$JI$16)))))))</f>
        <v>0</v>
      </c>
      <c r="EC11" s="6" t="str">
        <f t="shared" si="34"/>
        <v>NoHighlight</v>
      </c>
      <c r="ED11" s="7" t="e">
        <f>VLOOKUP(M11,'Designer Shutter Data'!$JW$5:$JX$10,2,FALSE)</f>
        <v>#N/A</v>
      </c>
      <c r="EE11" s="7" t="e">
        <f t="shared" si="35"/>
        <v>#N/A</v>
      </c>
      <c r="EF11" s="118" t="e">
        <f>VLOOKUP(O11,'Designer Shutter Data'!$AO$3:$AQ$171,1,FALSE)</f>
        <v>#N/A</v>
      </c>
      <c r="EG11" s="7" t="e">
        <f t="shared" si="36"/>
        <v>#N/A</v>
      </c>
      <c r="EH11" s="6" t="str">
        <f t="shared" si="37"/>
        <v/>
      </c>
      <c r="EJ11" s="40" t="e">
        <f>MATCH(M11,'Designer Shutter Data'!$KD$1:$KI$1,0)</f>
        <v>#N/A</v>
      </c>
      <c r="EK11" s="40" t="e">
        <f>MATCH(P11,'Designer Shutter Data'!$KC$2:$KC$21,0)</f>
        <v>#N/A</v>
      </c>
      <c r="EL11" s="136" t="e">
        <f>INDEX('Designer Shutter Data'!$KD$2:$KI$21,EK11,EJ11)</f>
        <v>#N/A</v>
      </c>
      <c r="EM11" s="73">
        <f>IF(COUNT(#REF!)&gt;0,3,0)</f>
        <v>0</v>
      </c>
      <c r="EN11" s="73" t="s">
        <v>778</v>
      </c>
      <c r="EP11" s="6" t="str">
        <f>IF(AC11&lt;&gt;$EO$4,'Designer Shutter Data'!$BR$2,'Designer Shutter Data'!$BR$9)</f>
        <v>Fluffy_Strip_Fauxwood</v>
      </c>
      <c r="ER11" s="6" t="str">
        <f>IF(G11='Designer Shutter Data'!$E$26,'Designer Shutter Data'!$E$27,IF(G11='Designer Shutter Data'!$E$37,'Designer Shutter Data'!$E$38,'Designer Shutter Data'!$E$2))</f>
        <v>FauxwoodDesignerBladeSize</v>
      </c>
      <c r="ET11" s="6" t="str">
        <f t="shared" si="47"/>
        <v>Stile T Post</v>
      </c>
      <c r="EW11" s="40" t="e">
        <f>MATCH(G11,'Designer Shutter Data'!$AV$27:$AV$30,0)</f>
        <v>#N/A</v>
      </c>
      <c r="EX11" s="40" t="e">
        <f>MATCH(AC11,'Designer Shutter Data'!$AW$26:$AX$26,0)</f>
        <v>#N/A</v>
      </c>
      <c r="EY11" s="136" t="e">
        <f>INDEX('Designer Shutter Data'!$AW$27:$AX$30,EW11,EX11)</f>
        <v>#N/A</v>
      </c>
      <c r="EZ11" s="6" t="str">
        <f>IF(G11='Designer Shutter Data'!$S$15,'Designer Shutter Data'!$S$16, IF(G11=$FB$7,'Designer Shutter Data'!$T$15,'Designer Shutter Data'!$S$2))</f>
        <v>FauxwoodDesignerTiltrod</v>
      </c>
      <c r="FA11" s="6" t="e">
        <f>IF(G11=$FB$7,"No",VLOOKUP(L11,'Designer Shutter Data'!$BJ$62:$BK$75,2,FALSE))</f>
        <v>#N/A</v>
      </c>
      <c r="FB11" s="6" t="e">
        <f>IF(FA11="Yes", 'Designer Shutter Data'!$T$2,IF(G11=$FB$7,'Designer Shutter Data'!$T$15,'Designer Shutters Page 2'!EZ11))</f>
        <v>#N/A</v>
      </c>
      <c r="FC11" s="6" t="e">
        <f>MATCH(G11,'Designer Shutter Data'!$IG$15:$IJ$15,0)</f>
        <v>#N/A</v>
      </c>
      <c r="FD11" s="6" t="e">
        <f>MATCH(E11,'Designer Shutter Data'!$IF$16:$IF$18,0)</f>
        <v>#N/A</v>
      </c>
      <c r="FE11" s="6" t="e">
        <f>INDEX('Designer Shutter Data'!$IG$16:$IJ$18, 'Designer Shutters Page 2'!FD11, 'Designer Shutters Page 2'!FC11)</f>
        <v>#N/A</v>
      </c>
      <c r="FH11" s="6" t="str">
        <f t="shared" si="48"/>
        <v>SlidingSystemNA</v>
      </c>
      <c r="FJ11" s="6" t="e">
        <f>VLOOKUP(O11,'Designer Shutter Data'!$KP$2:$KR$44,3,FALSE)</f>
        <v>#N/A</v>
      </c>
      <c r="FL11" s="11" t="b">
        <f>IF(N11=$FL$7,'Designer Shutter Data'!$GH$98,DM11)</f>
        <v>0</v>
      </c>
    </row>
    <row r="12" spans="1:168" ht="36.75" customHeight="1" x14ac:dyDescent="0.2">
      <c r="A12" s="50">
        <v>4</v>
      </c>
      <c r="B12" s="51"/>
      <c r="C12" s="44"/>
      <c r="D12" s="31"/>
      <c r="E12" s="44"/>
      <c r="F12" s="31"/>
      <c r="G12" s="43"/>
      <c r="H12" s="234"/>
      <c r="I12" s="235"/>
      <c r="J12" s="44"/>
      <c r="K12" s="45"/>
      <c r="L12" s="45"/>
      <c r="M12" s="45"/>
      <c r="N12" s="45"/>
      <c r="O12" s="45"/>
      <c r="P12" s="236"/>
      <c r="Q12" s="236"/>
      <c r="R12" s="43"/>
      <c r="S12" s="43"/>
      <c r="T12" s="43"/>
      <c r="U12" s="43"/>
      <c r="V12" s="45"/>
      <c r="W12" s="45"/>
      <c r="X12" s="43"/>
      <c r="Y12" s="46"/>
      <c r="Z12" s="47"/>
      <c r="AA12" s="47"/>
      <c r="AB12" s="47"/>
      <c r="AC12" s="44"/>
      <c r="AD12" s="44"/>
      <c r="AE12" s="48" t="str">
        <f t="shared" si="0"/>
        <v/>
      </c>
      <c r="AI12" s="6">
        <f t="shared" si="38"/>
        <v>0</v>
      </c>
      <c r="AJ12" s="6">
        <f t="shared" si="39"/>
        <v>0</v>
      </c>
      <c r="AK12" s="6">
        <f>IF(O12&lt;&gt;"",VLOOKUP(O12,'Designer Shutter Data'!$KP$2:$KQ$44,2,FALSE),0)</f>
        <v>0</v>
      </c>
      <c r="AT12" s="49" t="str">
        <f t="shared" si="1"/>
        <v/>
      </c>
      <c r="AV12" s="6" t="str">
        <f>IF(G12=$AV$7,'Designer Shutter Data'!$D$38,'Designer Shutter Data'!$D$2)</f>
        <v>FauxwoodDesignerColour</v>
      </c>
      <c r="AW12" s="130" t="e">
        <f t="shared" si="40"/>
        <v>#N/A</v>
      </c>
      <c r="AX12" s="130" t="e">
        <f>VLOOKUP(M12,'Designer Shutter Data'!$JK$2:$JL$7,2,FALSE)</f>
        <v>#N/A</v>
      </c>
      <c r="AY12" s="38" t="b">
        <v>0</v>
      </c>
      <c r="AZ12" s="38" t="str">
        <f t="shared" si="2"/>
        <v>No</v>
      </c>
      <c r="BA12" s="38" t="e">
        <f t="shared" si="3"/>
        <v>#DIV/0!</v>
      </c>
      <c r="BB12" s="38" t="e">
        <f t="shared" si="4"/>
        <v>#DIV/0!</v>
      </c>
      <c r="BC12" s="38" t="e">
        <f t="shared" si="5"/>
        <v>#DIV/0!</v>
      </c>
      <c r="BD12" s="38" t="str">
        <f t="shared" si="6"/>
        <v>No</v>
      </c>
      <c r="BE12" s="38" t="e">
        <f>IF(OR(AND(C12&gt;0,#REF!="")), "Required","NotRequired")</f>
        <v>#REF!</v>
      </c>
      <c r="BF12" s="38" t="b">
        <v>0</v>
      </c>
      <c r="BG12" s="38" t="e">
        <f t="shared" si="41"/>
        <v>#DIV/0!</v>
      </c>
      <c r="BH12" s="39" t="str">
        <f t="shared" si="7"/>
        <v>NoHighlight</v>
      </c>
      <c r="BI12" s="38" t="str">
        <f t="shared" si="8"/>
        <v>FauxwoodRPNo</v>
      </c>
      <c r="BJ12" s="110" t="str">
        <f>IF(SUM(--ISNUMBER(SEARCH({"t","T"}, O12))),"Yes","No")</f>
        <v>No</v>
      </c>
      <c r="BK12" s="127" t="str">
        <f t="shared" si="9"/>
        <v>OK</v>
      </c>
      <c r="BL12" s="127" t="str">
        <f t="shared" si="10"/>
        <v>OK</v>
      </c>
      <c r="BM12" s="127" t="str">
        <f t="shared" si="11"/>
        <v>OK</v>
      </c>
      <c r="BN12" s="39" t="str">
        <f t="shared" si="12"/>
        <v>OK</v>
      </c>
      <c r="BO12" s="39" t="str">
        <f t="shared" si="13"/>
        <v>FauxwoodAINo</v>
      </c>
      <c r="BP12" s="39" t="str">
        <f>IF(SUM(--ISNUMBER(SEARCH({"combo","Combo","COMBO"}, B29))),"Yes","No")</f>
        <v>No</v>
      </c>
      <c r="BQ12" s="39" t="str">
        <f t="shared" si="42"/>
        <v>No</v>
      </c>
      <c r="BR12" s="39" t="str">
        <f>IF(SUM(--ISNUMBER(SEARCH({"c","C","b","B"}, L12))),"Yes","No")</f>
        <v>No</v>
      </c>
      <c r="BS12" s="11">
        <f t="shared" si="14"/>
        <v>0</v>
      </c>
      <c r="BT12" s="11" t="s">
        <v>820</v>
      </c>
      <c r="BU12" s="11" t="s">
        <v>820</v>
      </c>
      <c r="BV12" s="40">
        <f t="shared" si="15"/>
        <v>0</v>
      </c>
      <c r="BW12" s="40">
        <f t="shared" si="16"/>
        <v>0</v>
      </c>
      <c r="BX12" s="11" t="e">
        <f t="shared" si="17"/>
        <v>#DIV/0!</v>
      </c>
      <c r="BY12" s="11" t="b">
        <v>0</v>
      </c>
      <c r="BZ12" s="11" t="b">
        <v>0</v>
      </c>
      <c r="CA12" s="11" t="e">
        <v>#REF!</v>
      </c>
      <c r="CB12" s="11" t="s">
        <v>82</v>
      </c>
      <c r="CC12" s="11" t="e">
        <f t="shared" si="18"/>
        <v>#DIV/0!</v>
      </c>
      <c r="CD12" s="11" t="e">
        <f>VLOOKUP(P12,'Designer Shutter Data'!$H$3:$I$19,2,FALSE)</f>
        <v>#N/A</v>
      </c>
      <c r="CE12" s="11" t="s">
        <v>820</v>
      </c>
      <c r="CF12" s="11" t="str">
        <f>IF(SUM(--ISNUMBER(SEARCH({"z","Z"}, P12))),"Yes","No")</f>
        <v>No</v>
      </c>
      <c r="CG12" s="11" t="str">
        <f t="shared" si="19"/>
        <v>OK</v>
      </c>
      <c r="CH12" s="11">
        <f t="shared" si="20"/>
        <v>0</v>
      </c>
      <c r="CI12" s="120" t="e">
        <f>IF(O12="N/A","N/A",VLOOKUP(O12,'Designer Shutter Data'!$AO$3:$AP$171,2,FALSE))</f>
        <v>#N/A</v>
      </c>
      <c r="CJ12" s="120" t="e">
        <f t="shared" si="21"/>
        <v>#N/A</v>
      </c>
      <c r="CK12" s="40"/>
      <c r="CL12" s="40" t="s">
        <v>488</v>
      </c>
      <c r="CM12" s="40" t="str">
        <f>IF(COUNTIF(L9:L23,'Designer Shutter Data'!BJ7)+COUNTIF(L9:L23,'Designer Shutter Data'!BJ10)+COUNTIF(L9:L23,'Designer Shutter Data'!BJ13)+COUNTIF(L9:L23,'Designer Shutter Data'!BJ14),'Designer Shutter Data'!BL7,"")</f>
        <v/>
      </c>
      <c r="CN12" s="41" t="str">
        <f t="shared" si="22"/>
        <v>OK</v>
      </c>
      <c r="CO12" s="129" t="b">
        <f t="shared" si="23"/>
        <v>0</v>
      </c>
      <c r="CP12" s="129" t="b">
        <f t="shared" si="24"/>
        <v>0</v>
      </c>
      <c r="CQ12" s="40">
        <f t="shared" si="25"/>
        <v>0</v>
      </c>
      <c r="CR12" s="133">
        <f t="shared" si="26"/>
        <v>0</v>
      </c>
      <c r="CS12" s="40">
        <f t="shared" si="43"/>
        <v>0</v>
      </c>
      <c r="CT12" s="133" t="e">
        <f t="shared" si="27"/>
        <v>#N/A</v>
      </c>
      <c r="CU12" s="11" t="b">
        <v>0</v>
      </c>
      <c r="CV12" s="11" t="b">
        <v>0</v>
      </c>
      <c r="CW12" s="11" t="b">
        <v>0</v>
      </c>
      <c r="CX12" s="11" t="b">
        <v>0</v>
      </c>
      <c r="CY12" s="40" t="e">
        <f>IF(OR(AND(#REF!&gt;0,#REF!="")), "Error","OK")</f>
        <v>#REF!</v>
      </c>
      <c r="CZ12" s="11" t="e">
        <v>#REF!</v>
      </c>
      <c r="DA12" s="6" t="str">
        <f t="shared" si="28"/>
        <v/>
      </c>
      <c r="DD12" s="6" t="s">
        <v>84</v>
      </c>
      <c r="DE12" s="6" t="b">
        <f>IF(M12='Designer Shutter Data'!$F$3,'Designer Shutter Data'!$FY$7,IF(M12='Designer Shutter Data'!$F$4,'Designer Shutter Data'!$FZ$2,IF(M12='Designer Shutter Data'!$F$5,FJ12, IF(M12='Designer Shutter Data'!$F$6,'Designer Shutter Data'!$GA$2,IF(M12='Designer Shutter Data'!$F$7,'Designer Shutter Data'!$FY$2, IF(M12='Designer Shutter Data'!$F$8,'Designer Shutter Data'!$FZ$7, IF(M12='Designer Shutter Data'!$F$14,'Designer Shutter Data'!$FZ$14)))))))</f>
        <v>0</v>
      </c>
      <c r="DF12" s="6" t="e">
        <f>VLOOKUP(M12,'Designer Shutter Data'!$M$2:$N$8,2,FALSE)</f>
        <v>#N/A</v>
      </c>
      <c r="DH12" s="123" t="e">
        <f>VLOOKUP(O12,'Designer Shutter Data'!$IN$2:$IO$169,2,FALSE)</f>
        <v>#N/A</v>
      </c>
      <c r="DI12" s="103" t="e">
        <f t="shared" si="29"/>
        <v>#N/A</v>
      </c>
      <c r="DJ12" s="103" t="e">
        <f t="shared" si="44"/>
        <v>#N/A</v>
      </c>
      <c r="DK12" s="7" t="b">
        <f>IF(P12='Designer Shutter Data'!$GC$2,'Designer Shutter Data'!$GD$2,IF(P12='Designer Shutter Data'!$GC$3,'Designer Shutter Data'!$GE$2,IF(P12='Designer Shutter Data'!$GC$4,'Designer Shutter Data'!$GF$2,IF(P12='Designer Shutter Data'!$GC$5,'Designer Shutter Data'!$GG$2,IF(P12='Designer Shutter Data'!$GC$6,'Designer Shutter Data'!$GH$2,IF(P12='Designer Shutter Data'!$GC$7,'Designer Shutter Data'!$GI$2,IF(P12='Designer Shutter Data'!$GC$8,'Designer Shutter Data'!$GJ$2,IF(P12='Designer Shutter Data'!$GC$9,'Designer Shutter Data'!$GK$2,IF(P12='Designer Shutter Data'!$GC$10,'Designer Shutter Data'!$GL$2,IF(P12='Designer Shutter Data'!$GC$11,'Designer Shutter Data'!$GM$2,IF(P12='Designer Shutter Data'!$GC$12,'Designer Shutter Data'!$GN$2,IF(P12='Designer Shutter Data'!$GC$13,'Designer Shutter Data'!$GO$2,IF(P12='Designer Shutter Data'!$GC$14,'Designer Shutter Data'!$GP$2,IF(P12='Designer Shutter Data'!$GC$15,'Designer Shutter Data'!$GD$15,IF(P12='Designer Shutter Data'!$GC$16,'Designer Shutter Data'!$GE$15,IF(P12='Designer Shutter Data'!$GC$17,'Designer Shutter Data'!$GF$15,IF(P12='Designer Shutter Data'!$GC$18,'Designer Shutter Data'!$GG$15,IF(P12='Designer Shutter Data'!$GC$19,'Designer Shutter Data'!$GD$73,IF(P12='Designer Shutter Data'!$GC$20,'Designer Shutter Data'!$GD$88, IF(P12='Designer Shutter Data'!$GC$21,'Designer Shutter Data'!$GH$15, IF(P12='Designer Shutter Data'!$GC$22,'Designer Shutter Data'!$GJ$2, IF(P12='Designer Shutter Data'!$GC$23,'Designer Shutter Data'!$GL$2))))))))))))))))))))))</f>
        <v>0</v>
      </c>
      <c r="DL12" s="7" t="b">
        <f>IF(P12='Designer Shutter Data'!$GC$2,'Designer Shutter Data'!$GD$25,IF(P12='Designer Shutter Data'!$GC$3,'Designer Shutter Data'!$GE$25,IF(P12='Designer Shutter Data'!$GC$4,'Designer Shutter Data'!$GF$25,IF(P12='Designer Shutter Data'!$GC$5,'Designer Shutter Data'!$GG$25,IF(P12='Designer Shutter Data'!$GC$6,'Designer Shutter Data'!$GH$25,IF(P12='Designer Shutter Data'!$GC$7,'Designer Shutter Data'!$GI$25,IF(P12='Designer Shutter Data'!$GC$8,'Designer Shutter Data'!$GJ$25,IF(P12='Designer Shutter Data'!$GC$9,'Designer Shutter Data'!$GK$25,IF(P12='Designer Shutter Data'!$GC$10,'Designer Shutter Data'!$GL$25,IF(P12='Designer Shutter Data'!$GC$11,'Designer Shutter Data'!$GM$25,IF(P12='Designer Shutter Data'!$GC$12,'Designer Shutter Data'!$GN$25,IF(P12='Designer Shutter Data'!$GC$13,'Designer Shutter Data'!$GO$25,IF(P12='Designer Shutter Data'!$GC$14,'Designer Shutter Data'!$GP$25,IF(P12='Designer Shutter Data'!$GC$15,'Designer Shutter Data'!$GD$37,IF(P12='Designer Shutter Data'!$GC$15,'Designer Shutter Data'!$GD$37,IF(P12='Designer Shutter Data'!$GC$16,'Designer Shutter Data'!$GE$37,IF(P12='Designer Shutter Data'!$GC$17,'Designer Shutter Data'!$GF$37,IF(P12='Designer Shutter Data'!$GC$18,'Designer Shutter Data'!$GG$37, IF(P12='Designer Shutter Data'!$GC$19,'Designer Shutter Data'!$GD$73, IF(P12='Designer Shutter Data'!$GC$20,'Designer Shutter Data'!$GE$88, IF(P12='Designer Shutter Data'!$GC$21,'Designer Shutter Data'!$GH$37,IF(P12='Designer Shutter Data'!$GC$22,'Designer Shutter Data'!$GJ$25,IF(P12='Designer Shutter Data'!$GC$23,'Designer Shutter Data'!$GL$25)))))))))))))))))))))))</f>
        <v>0</v>
      </c>
      <c r="DM12" s="118" t="b">
        <f>IF(P12='Designer Shutter Data'!$GC$2,'Designer Shutter Data'!$GD$47,IF(P12='Designer Shutter Data'!$GC$3,'Designer Shutter Data'!$GE$47,IF(P12='Designer Shutter Data'!$GC$4,'Designer Shutter Data'!$GF$47,IF(P12='Designer Shutter Data'!$GC$5,'Designer Shutter Data'!$GG$47,IF(P12='Designer Shutter Data'!$GC$6,'Designer Shutter Data'!$GH$47,IF(P12='Designer Shutter Data'!$GC$7,'Designer Shutter Data'!$GI$47,IF(P12='Designer Shutter Data'!$GC$8,'Designer Shutter Data'!$GJ$47,IF(P12='Designer Shutter Data'!$GC$9,'Designer Shutter Data'!$GK$47,IF(P12='Designer Shutter Data'!$GC$10,'Designer Shutter Data'!$GL$47,IF(P12='Designer Shutter Data'!$GC$11,'Designer Shutter Data'!$GM$47,IF(P12='Designer Shutter Data'!$GC$12,'Designer Shutter Data'!$GN$47,IF(P12='Designer Shutter Data'!$GC$13,'Designer Shutter Data'!$GO$47,IF(P12='Designer Shutter Data'!$GC$14,'Designer Shutter Data'!$GP$47, IF(P12='Designer Shutter Data'!$GC$19,'Designer Shutter Data'!$GD$73, IF(P12='Designer Shutter Data'!$GC$20,'Designer Shutter Data'!$GF$88, IF(M12='Designer Shutter Data'!$F$5,'Designer Shutter Data'!$GE$59, IF(M12='Designer Shutter Data'!$F$6,'Designer Shutter Data'!$GD$59, IF(P12='Designer Shutter Data'!$GC$21,'Designer Shutter Data'!$GF$59,IF(P12='Designer Shutter Data'!$GC$22,'Designer Shutter Data'!$GJ$47,IF(P12='Designer Shutter Data'!$GC$23,'Designer Shutter Data'!$GL$47))))))))))))))))))))</f>
        <v>0</v>
      </c>
      <c r="DN12" s="107" t="str">
        <f t="shared" si="45"/>
        <v/>
      </c>
      <c r="DO12" s="107" t="e">
        <f t="shared" si="46"/>
        <v>#N/A</v>
      </c>
      <c r="DP12" s="107" t="str">
        <f t="shared" si="30"/>
        <v>OK</v>
      </c>
      <c r="DQ12" s="107" t="str">
        <f t="shared" si="31"/>
        <v>OK</v>
      </c>
      <c r="DR12" s="107" t="str">
        <f t="shared" si="32"/>
        <v>OK</v>
      </c>
      <c r="DS12" s="107" t="str">
        <f t="shared" si="33"/>
        <v>OK</v>
      </c>
      <c r="DT12" s="7" t="b">
        <f>IF(E12='Designer Shutter Data'!$GV$2,'Designer Shutter Data'!$GW$2,IF(E12='Designer Shutter Data'!$GV$3,'Designer Shutter Data'!$GX$2,IF(E12='Designer Shutter Data'!$GV$4,'Designer Shutter Data'!$GY$2)))</f>
        <v>0</v>
      </c>
      <c r="DU12" s="40" t="e">
        <f>MATCH(E12,'Designer Shutter Data'!$HB$1:$HD$1,0)</f>
        <v>#N/A</v>
      </c>
      <c r="DV12" s="40" t="e">
        <f>MATCH(M12,'Designer Shutter Data'!$HA$2:$HA$8,0)</f>
        <v>#N/A</v>
      </c>
      <c r="DW12" s="11" t="e">
        <f>INDEX('Designer Shutter Data'!$HB$2:$HD$8,DV12,DU12)</f>
        <v>#N/A</v>
      </c>
      <c r="DX12" s="11" t="b">
        <f>IF(E12='Designer Shutter Data'!$IG$1,'Designer Shutter Data'!$IG$2,IF(E12='Designer Shutter Data'!$IH$1,'Designer Shutter Data'!$IH$2, IF(E12='Designer Shutter Data'!$II$1,'Designer Shutter Data'!$II$2)))</f>
        <v>0</v>
      </c>
      <c r="DY12" s="11" t="str">
        <f>IF(E12="MS",'Designer Shutter Data'!$BI$2,IF(G12='Designer Shutter Data'!$BJ$34,'Designer Shutter Data'!$BJ$35,'Designer Shutter Data'!$BJ$2))</f>
        <v>FauxwoodDesignerWindowType</v>
      </c>
      <c r="DZ12" s="118" t="b">
        <f>IF(M12='Designer Shutter Data'!$F$3,'Designer Shutter Data'!$GF$88, IF(M12='Designer Shutter Data'!$F$4,'Designer Shutter Data'!$GE$59, IF(M12='Designer Shutter Data'!$F$5,'Designer Shutter Data'!$GD$59, IF(M12='Designer Shutter Data'!$F$6,'Designer Shutter Data'!$GD$59, IF(M12='Designer Shutter Data'!$F$7,'Designer Shutter Data'!$GD$73)))))</f>
        <v>0</v>
      </c>
      <c r="EB12" s="6" t="b">
        <f>IF(M12='Designer Shutter Data'!$IT$2,'Designer Shutter Data'!$JA$2, IF(M12='Designer Shutter Data'!$IT$3,'Designer Shutter Data'!$JC$2, IF(M12='Designer Shutter Data'!$IT$4,'Designer Shutter Data'!$JE$2, IF(M12='Designer Shutter Data'!$IT$5,'Designer Shutter Data'!$JG$2, IF(M12='Designer Shutter Data'!$IT$6,'Designer Shutter Data'!$JI$2, IF(M12='Designer Shutter Data'!$IT$7,'Designer Shutter Data'!$JZ$2, IF(M12='Designer Shutter Data'!$IT$8,'Designer Shutter Data'!$JI$16)))))))</f>
        <v>0</v>
      </c>
      <c r="EC12" s="6" t="str">
        <f t="shared" si="34"/>
        <v>NoHighlight</v>
      </c>
      <c r="ED12" s="7" t="e">
        <f>VLOOKUP(M12,'Designer Shutter Data'!$JW$5:$JX$10,2,FALSE)</f>
        <v>#N/A</v>
      </c>
      <c r="EE12" s="7" t="e">
        <f t="shared" si="35"/>
        <v>#N/A</v>
      </c>
      <c r="EF12" s="118" t="e">
        <f>VLOOKUP(O12,'Designer Shutter Data'!$AO$3:$AQ$171,1,FALSE)</f>
        <v>#N/A</v>
      </c>
      <c r="EG12" s="7" t="e">
        <f t="shared" si="36"/>
        <v>#N/A</v>
      </c>
      <c r="EH12" s="6" t="str">
        <f t="shared" si="37"/>
        <v/>
      </c>
      <c r="EJ12" s="40" t="e">
        <f>MATCH(M12,'Designer Shutter Data'!$KD$1:$KI$1,0)</f>
        <v>#N/A</v>
      </c>
      <c r="EK12" s="40" t="e">
        <f>MATCH(P12,'Designer Shutter Data'!$KC$2:$KC$21,0)</f>
        <v>#N/A</v>
      </c>
      <c r="EL12" s="136" t="e">
        <f>INDEX('Designer Shutter Data'!$KD$2:$KI$21,EK12,EJ12)</f>
        <v>#N/A</v>
      </c>
      <c r="EM12" s="73">
        <f>MAX(EM9:EM11)</f>
        <v>0</v>
      </c>
      <c r="EN12" s="73"/>
      <c r="EP12" s="6" t="str">
        <f>IF(AC12&lt;&gt;$EO$4,'Designer Shutter Data'!$BR$2,'Designer Shutter Data'!$BR$9)</f>
        <v>Fluffy_Strip_Fauxwood</v>
      </c>
      <c r="ER12" s="6" t="str">
        <f>IF(G12='Designer Shutter Data'!$E$26,'Designer Shutter Data'!$E$27,IF(G12='Designer Shutter Data'!$E$37,'Designer Shutter Data'!$E$38,'Designer Shutter Data'!$E$2))</f>
        <v>FauxwoodDesignerBladeSize</v>
      </c>
      <c r="ET12" s="6" t="str">
        <f t="shared" si="47"/>
        <v>Stile T Post</v>
      </c>
      <c r="EW12" s="40" t="e">
        <f>MATCH(G12,'Designer Shutter Data'!$AV$27:$AV$30,0)</f>
        <v>#N/A</v>
      </c>
      <c r="EX12" s="40" t="e">
        <f>MATCH(AC12,'Designer Shutter Data'!$AW$26:$AX$26,0)</f>
        <v>#N/A</v>
      </c>
      <c r="EY12" s="136" t="e">
        <f>INDEX('Designer Shutter Data'!$AW$27:$AX$30,EW12,EX12)</f>
        <v>#N/A</v>
      </c>
      <c r="EZ12" s="6" t="str">
        <f>IF(G12='Designer Shutter Data'!$S$15,'Designer Shutter Data'!$S$16, IF(G12=$FB$7,'Designer Shutter Data'!$T$15,'Designer Shutter Data'!$S$2))</f>
        <v>FauxwoodDesignerTiltrod</v>
      </c>
      <c r="FA12" s="6" t="e">
        <f>IF(G12=$FB$7,"No",VLOOKUP(L12,'Designer Shutter Data'!$BJ$62:$BK$75,2,FALSE))</f>
        <v>#N/A</v>
      </c>
      <c r="FB12" s="6" t="e">
        <f>IF(FA12="Yes", 'Designer Shutter Data'!$T$2,IF(G12=$FB$7,'Designer Shutter Data'!$T$15,'Designer Shutters Page 2'!EZ12))</f>
        <v>#N/A</v>
      </c>
      <c r="FC12" s="6" t="e">
        <f>MATCH(G12,'Designer Shutter Data'!$IG$15:$IJ$15,0)</f>
        <v>#N/A</v>
      </c>
      <c r="FD12" s="6" t="e">
        <f>MATCH(E12,'Designer Shutter Data'!$IF$16:$IF$18,0)</f>
        <v>#N/A</v>
      </c>
      <c r="FE12" s="6" t="e">
        <f>INDEX('Designer Shutter Data'!$IG$16:$IJ$18, 'Designer Shutters Page 2'!FD12, 'Designer Shutters Page 2'!FC12)</f>
        <v>#N/A</v>
      </c>
      <c r="FH12" s="6" t="str">
        <f t="shared" si="48"/>
        <v>SlidingSystemNA</v>
      </c>
      <c r="FJ12" s="6" t="e">
        <f>VLOOKUP(O12,'Designer Shutter Data'!$KP$2:$KR$44,3,FALSE)</f>
        <v>#N/A</v>
      </c>
      <c r="FL12" s="11" t="b">
        <f>IF(N12=$FL$7,'Designer Shutter Data'!$GH$98,DM12)</f>
        <v>0</v>
      </c>
    </row>
    <row r="13" spans="1:168" ht="36.75" customHeight="1" x14ac:dyDescent="0.2">
      <c r="A13" s="50">
        <v>5</v>
      </c>
      <c r="B13" s="51"/>
      <c r="C13" s="44"/>
      <c r="D13" s="31"/>
      <c r="E13" s="44"/>
      <c r="F13" s="31"/>
      <c r="G13" s="43"/>
      <c r="H13" s="234"/>
      <c r="I13" s="235"/>
      <c r="J13" s="44"/>
      <c r="K13" s="45"/>
      <c r="L13" s="45"/>
      <c r="M13" s="45"/>
      <c r="N13" s="45"/>
      <c r="O13" s="45"/>
      <c r="P13" s="236"/>
      <c r="Q13" s="236"/>
      <c r="R13" s="43"/>
      <c r="S13" s="43"/>
      <c r="T13" s="43"/>
      <c r="U13" s="43"/>
      <c r="V13" s="45"/>
      <c r="W13" s="45"/>
      <c r="X13" s="43"/>
      <c r="Y13" s="46"/>
      <c r="Z13" s="47"/>
      <c r="AA13" s="47"/>
      <c r="AB13" s="47"/>
      <c r="AC13" s="44"/>
      <c r="AD13" s="44"/>
      <c r="AE13" s="48" t="str">
        <f t="shared" si="0"/>
        <v/>
      </c>
      <c r="AI13" s="6">
        <f t="shared" si="38"/>
        <v>0</v>
      </c>
      <c r="AJ13" s="6">
        <f t="shared" si="39"/>
        <v>0</v>
      </c>
      <c r="AK13" s="6">
        <f>IF(O13&lt;&gt;"",VLOOKUP(O13,'Designer Shutter Data'!$KP$2:$KQ$44,2,FALSE),0)</f>
        <v>0</v>
      </c>
      <c r="AT13" s="49" t="str">
        <f t="shared" si="1"/>
        <v/>
      </c>
      <c r="AV13" s="6" t="str">
        <f>IF(G13=$AV$7,'Designer Shutter Data'!$D$38,'Designer Shutter Data'!$D$2)</f>
        <v>FauxwoodDesignerColour</v>
      </c>
      <c r="AW13" s="130" t="e">
        <f t="shared" si="40"/>
        <v>#N/A</v>
      </c>
      <c r="AX13" s="130" t="e">
        <f>VLOOKUP(M13,'Designer Shutter Data'!$JK$2:$JL$7,2,FALSE)</f>
        <v>#N/A</v>
      </c>
      <c r="AY13" s="38" t="b">
        <v>0</v>
      </c>
      <c r="AZ13" s="38" t="str">
        <f t="shared" si="2"/>
        <v>No</v>
      </c>
      <c r="BA13" s="38" t="e">
        <f t="shared" si="3"/>
        <v>#DIV/0!</v>
      </c>
      <c r="BB13" s="38" t="e">
        <f t="shared" si="4"/>
        <v>#DIV/0!</v>
      </c>
      <c r="BC13" s="38" t="e">
        <f t="shared" si="5"/>
        <v>#DIV/0!</v>
      </c>
      <c r="BD13" s="38" t="str">
        <f t="shared" si="6"/>
        <v>No</v>
      </c>
      <c r="BE13" s="38" t="e">
        <f>IF(OR(AND(C13&gt;0,#REF!="")), "Required","NotRequired")</f>
        <v>#REF!</v>
      </c>
      <c r="BF13" s="38" t="b">
        <v>0</v>
      </c>
      <c r="BG13" s="38" t="e">
        <f t="shared" si="41"/>
        <v>#DIV/0!</v>
      </c>
      <c r="BH13" s="39" t="str">
        <f t="shared" si="7"/>
        <v>NoHighlight</v>
      </c>
      <c r="BI13" s="38" t="str">
        <f t="shared" si="8"/>
        <v>FauxwoodRPNo</v>
      </c>
      <c r="BJ13" s="110" t="str">
        <f>IF(SUM(--ISNUMBER(SEARCH({"t","T"}, O13))),"Yes","No")</f>
        <v>No</v>
      </c>
      <c r="BK13" s="127" t="str">
        <f t="shared" si="9"/>
        <v>OK</v>
      </c>
      <c r="BL13" s="127" t="str">
        <f t="shared" si="10"/>
        <v>OK</v>
      </c>
      <c r="BM13" s="127" t="str">
        <f t="shared" si="11"/>
        <v>OK</v>
      </c>
      <c r="BN13" s="39" t="str">
        <f t="shared" si="12"/>
        <v>OK</v>
      </c>
      <c r="BO13" s="39" t="str">
        <f t="shared" si="13"/>
        <v>FauxwoodAINo</v>
      </c>
      <c r="BP13" s="39" t="str">
        <f>IF(SUM(--ISNUMBER(SEARCH({"combo","Combo","COMBO"}, B30))),"Yes","No")</f>
        <v>No</v>
      </c>
      <c r="BQ13" s="39" t="str">
        <f t="shared" si="42"/>
        <v>No</v>
      </c>
      <c r="BR13" s="39" t="str">
        <f>IF(SUM(--ISNUMBER(SEARCH({"c","C","b","B"}, L13))),"Yes","No")</f>
        <v>No</v>
      </c>
      <c r="BS13" s="11">
        <f t="shared" si="14"/>
        <v>0</v>
      </c>
      <c r="BT13" s="11" t="s">
        <v>820</v>
      </c>
      <c r="BU13" s="11" t="s">
        <v>820</v>
      </c>
      <c r="BV13" s="40">
        <f t="shared" si="15"/>
        <v>0</v>
      </c>
      <c r="BW13" s="40">
        <f t="shared" si="16"/>
        <v>0</v>
      </c>
      <c r="BX13" s="11" t="e">
        <f t="shared" si="17"/>
        <v>#DIV/0!</v>
      </c>
      <c r="BY13" s="11" t="b">
        <v>0</v>
      </c>
      <c r="BZ13" s="11" t="b">
        <v>0</v>
      </c>
      <c r="CA13" s="11" t="e">
        <v>#REF!</v>
      </c>
      <c r="CB13" s="11" t="s">
        <v>82</v>
      </c>
      <c r="CC13" s="11" t="e">
        <f t="shared" si="18"/>
        <v>#DIV/0!</v>
      </c>
      <c r="CD13" s="11" t="e">
        <f>VLOOKUP(P13,'Designer Shutter Data'!$H$3:$I$19,2,FALSE)</f>
        <v>#N/A</v>
      </c>
      <c r="CE13" s="11" t="s">
        <v>820</v>
      </c>
      <c r="CF13" s="11" t="str">
        <f>IF(SUM(--ISNUMBER(SEARCH({"z","Z"}, P13))),"Yes","No")</f>
        <v>No</v>
      </c>
      <c r="CG13" s="11" t="str">
        <f t="shared" si="19"/>
        <v>OK</v>
      </c>
      <c r="CH13" s="11">
        <f t="shared" si="20"/>
        <v>0</v>
      </c>
      <c r="CI13" s="120" t="e">
        <f>IF(O13="N/A","N/A",VLOOKUP(O13,'Designer Shutter Data'!$AO$3:$AP$171,2,FALSE))</f>
        <v>#N/A</v>
      </c>
      <c r="CJ13" s="120" t="e">
        <f t="shared" si="21"/>
        <v>#N/A</v>
      </c>
      <c r="CK13" s="40"/>
      <c r="CL13" s="40"/>
      <c r="CM13" s="40" t="str">
        <f>CM9&amp;"       "&amp;CM10&amp;"   "&amp;CM11&amp;"   "&amp;CM12</f>
        <v xml:space="preserve">             </v>
      </c>
      <c r="CN13" s="41" t="str">
        <f t="shared" si="22"/>
        <v>OK</v>
      </c>
      <c r="CO13" s="129" t="b">
        <f t="shared" si="23"/>
        <v>0</v>
      </c>
      <c r="CP13" s="129" t="b">
        <f t="shared" si="24"/>
        <v>0</v>
      </c>
      <c r="CQ13" s="40">
        <f t="shared" si="25"/>
        <v>0</v>
      </c>
      <c r="CR13" s="133">
        <f t="shared" si="26"/>
        <v>0</v>
      </c>
      <c r="CS13" s="40">
        <f t="shared" si="43"/>
        <v>0</v>
      </c>
      <c r="CT13" s="133" t="e">
        <f t="shared" si="27"/>
        <v>#N/A</v>
      </c>
      <c r="CU13" s="11" t="b">
        <v>0</v>
      </c>
      <c r="CV13" s="11" t="b">
        <v>0</v>
      </c>
      <c r="CW13" s="11" t="b">
        <v>0</v>
      </c>
      <c r="CX13" s="11" t="b">
        <v>0</v>
      </c>
      <c r="CY13" s="40" t="e">
        <f>IF(OR(AND(#REF!&gt;0,#REF!="")), "Error","OK")</f>
        <v>#REF!</v>
      </c>
      <c r="CZ13" s="11" t="e">
        <v>#REF!</v>
      </c>
      <c r="DA13" s="6" t="str">
        <f t="shared" si="28"/>
        <v/>
      </c>
      <c r="DD13" s="6" t="s">
        <v>84</v>
      </c>
      <c r="DE13" s="6" t="b">
        <f>IF(M13='Designer Shutter Data'!$F$3,'Designer Shutter Data'!$FY$7,IF(M13='Designer Shutter Data'!$F$4,'Designer Shutter Data'!$FZ$2,IF(M13='Designer Shutter Data'!$F$5,FJ13, IF(M13='Designer Shutter Data'!$F$6,'Designer Shutter Data'!$GA$2,IF(M13='Designer Shutter Data'!$F$7,'Designer Shutter Data'!$FY$2, IF(M13='Designer Shutter Data'!$F$8,'Designer Shutter Data'!$FZ$7, IF(M13='Designer Shutter Data'!$F$14,'Designer Shutter Data'!$FZ$14)))))))</f>
        <v>0</v>
      </c>
      <c r="DF13" s="6" t="e">
        <f>VLOOKUP(M13,'Designer Shutter Data'!$M$2:$N$8,2,FALSE)</f>
        <v>#N/A</v>
      </c>
      <c r="DH13" s="123" t="e">
        <f>VLOOKUP(O13,'Designer Shutter Data'!$IN$2:$IO$169,2,FALSE)</f>
        <v>#N/A</v>
      </c>
      <c r="DI13" s="103" t="e">
        <f t="shared" si="29"/>
        <v>#N/A</v>
      </c>
      <c r="DJ13" s="103" t="e">
        <f t="shared" si="44"/>
        <v>#N/A</v>
      </c>
      <c r="DK13" s="7" t="b">
        <f>IF(P13='Designer Shutter Data'!$GC$2,'Designer Shutter Data'!$GD$2,IF(P13='Designer Shutter Data'!$GC$3,'Designer Shutter Data'!$GE$2,IF(P13='Designer Shutter Data'!$GC$4,'Designer Shutter Data'!$GF$2,IF(P13='Designer Shutter Data'!$GC$5,'Designer Shutter Data'!$GG$2,IF(P13='Designer Shutter Data'!$GC$6,'Designer Shutter Data'!$GH$2,IF(P13='Designer Shutter Data'!$GC$7,'Designer Shutter Data'!$GI$2,IF(P13='Designer Shutter Data'!$GC$8,'Designer Shutter Data'!$GJ$2,IF(P13='Designer Shutter Data'!$GC$9,'Designer Shutter Data'!$GK$2,IF(P13='Designer Shutter Data'!$GC$10,'Designer Shutter Data'!$GL$2,IF(P13='Designer Shutter Data'!$GC$11,'Designer Shutter Data'!$GM$2,IF(P13='Designer Shutter Data'!$GC$12,'Designer Shutter Data'!$GN$2,IF(P13='Designer Shutter Data'!$GC$13,'Designer Shutter Data'!$GO$2,IF(P13='Designer Shutter Data'!$GC$14,'Designer Shutter Data'!$GP$2,IF(P13='Designer Shutter Data'!$GC$15,'Designer Shutter Data'!$GD$15,IF(P13='Designer Shutter Data'!$GC$16,'Designer Shutter Data'!$GE$15,IF(P13='Designer Shutter Data'!$GC$17,'Designer Shutter Data'!$GF$15,IF(P13='Designer Shutter Data'!$GC$18,'Designer Shutter Data'!$GG$15,IF(P13='Designer Shutter Data'!$GC$19,'Designer Shutter Data'!$GD$73,IF(P13='Designer Shutter Data'!$GC$20,'Designer Shutter Data'!$GD$88, IF(P13='Designer Shutter Data'!$GC$21,'Designer Shutter Data'!$GH$15, IF(P13='Designer Shutter Data'!$GC$22,'Designer Shutter Data'!$GJ$2, IF(P13='Designer Shutter Data'!$GC$23,'Designer Shutter Data'!$GL$2))))))))))))))))))))))</f>
        <v>0</v>
      </c>
      <c r="DL13" s="7" t="b">
        <f>IF(P13='Designer Shutter Data'!$GC$2,'Designer Shutter Data'!$GD$25,IF(P13='Designer Shutter Data'!$GC$3,'Designer Shutter Data'!$GE$25,IF(P13='Designer Shutter Data'!$GC$4,'Designer Shutter Data'!$GF$25,IF(P13='Designer Shutter Data'!$GC$5,'Designer Shutter Data'!$GG$25,IF(P13='Designer Shutter Data'!$GC$6,'Designer Shutter Data'!$GH$25,IF(P13='Designer Shutter Data'!$GC$7,'Designer Shutter Data'!$GI$25,IF(P13='Designer Shutter Data'!$GC$8,'Designer Shutter Data'!$GJ$25,IF(P13='Designer Shutter Data'!$GC$9,'Designer Shutter Data'!$GK$25,IF(P13='Designer Shutter Data'!$GC$10,'Designer Shutter Data'!$GL$25,IF(P13='Designer Shutter Data'!$GC$11,'Designer Shutter Data'!$GM$25,IF(P13='Designer Shutter Data'!$GC$12,'Designer Shutter Data'!$GN$25,IF(P13='Designer Shutter Data'!$GC$13,'Designer Shutter Data'!$GO$25,IF(P13='Designer Shutter Data'!$GC$14,'Designer Shutter Data'!$GP$25,IF(P13='Designer Shutter Data'!$GC$15,'Designer Shutter Data'!$GD$37,IF(P13='Designer Shutter Data'!$GC$15,'Designer Shutter Data'!$GD$37,IF(P13='Designer Shutter Data'!$GC$16,'Designer Shutter Data'!$GE$37,IF(P13='Designer Shutter Data'!$GC$17,'Designer Shutter Data'!$GF$37,IF(P13='Designer Shutter Data'!$GC$18,'Designer Shutter Data'!$GG$37, IF(P13='Designer Shutter Data'!$GC$19,'Designer Shutter Data'!$GD$73, IF(P13='Designer Shutter Data'!$GC$20,'Designer Shutter Data'!$GE$88, IF(P13='Designer Shutter Data'!$GC$21,'Designer Shutter Data'!$GH$37,IF(P13='Designer Shutter Data'!$GC$22,'Designer Shutter Data'!$GJ$25,IF(P13='Designer Shutter Data'!$GC$23,'Designer Shutter Data'!$GL$25)))))))))))))))))))))))</f>
        <v>0</v>
      </c>
      <c r="DM13" s="118" t="b">
        <f>IF(P13='Designer Shutter Data'!$GC$2,'Designer Shutter Data'!$GD$47,IF(P13='Designer Shutter Data'!$GC$3,'Designer Shutter Data'!$GE$47,IF(P13='Designer Shutter Data'!$GC$4,'Designer Shutter Data'!$GF$47,IF(P13='Designer Shutter Data'!$GC$5,'Designer Shutter Data'!$GG$47,IF(P13='Designer Shutter Data'!$GC$6,'Designer Shutter Data'!$GH$47,IF(P13='Designer Shutter Data'!$GC$7,'Designer Shutter Data'!$GI$47,IF(P13='Designer Shutter Data'!$GC$8,'Designer Shutter Data'!$GJ$47,IF(P13='Designer Shutter Data'!$GC$9,'Designer Shutter Data'!$GK$47,IF(P13='Designer Shutter Data'!$GC$10,'Designer Shutter Data'!$GL$47,IF(P13='Designer Shutter Data'!$GC$11,'Designer Shutter Data'!$GM$47,IF(P13='Designer Shutter Data'!$GC$12,'Designer Shutter Data'!$GN$47,IF(P13='Designer Shutter Data'!$GC$13,'Designer Shutter Data'!$GO$47,IF(P13='Designer Shutter Data'!$GC$14,'Designer Shutter Data'!$GP$47, IF(P13='Designer Shutter Data'!$GC$19,'Designer Shutter Data'!$GD$73, IF(P13='Designer Shutter Data'!$GC$20,'Designer Shutter Data'!$GF$88, IF(M13='Designer Shutter Data'!$F$5,'Designer Shutter Data'!$GE$59, IF(M13='Designer Shutter Data'!$F$6,'Designer Shutter Data'!$GD$59, IF(P13='Designer Shutter Data'!$GC$21,'Designer Shutter Data'!$GF$59,IF(P13='Designer Shutter Data'!$GC$22,'Designer Shutter Data'!$GJ$47,IF(P13='Designer Shutter Data'!$GC$23,'Designer Shutter Data'!$GL$47))))))))))))))))))))</f>
        <v>0</v>
      </c>
      <c r="DN13" s="107" t="str">
        <f t="shared" si="45"/>
        <v/>
      </c>
      <c r="DO13" s="107" t="e">
        <f t="shared" si="46"/>
        <v>#N/A</v>
      </c>
      <c r="DP13" s="107" t="str">
        <f t="shared" si="30"/>
        <v>OK</v>
      </c>
      <c r="DQ13" s="107" t="str">
        <f t="shared" si="31"/>
        <v>OK</v>
      </c>
      <c r="DR13" s="107" t="str">
        <f t="shared" si="32"/>
        <v>OK</v>
      </c>
      <c r="DS13" s="107" t="str">
        <f t="shared" si="33"/>
        <v>OK</v>
      </c>
      <c r="DT13" s="7" t="b">
        <f>IF(E13='Designer Shutter Data'!$GV$2,'Designer Shutter Data'!$GW$2,IF(E13='Designer Shutter Data'!$GV$3,'Designer Shutter Data'!$GX$2,IF(E13='Designer Shutter Data'!$GV$4,'Designer Shutter Data'!$GY$2)))</f>
        <v>0</v>
      </c>
      <c r="DU13" s="40" t="e">
        <f>MATCH(E13,'Designer Shutter Data'!$HB$1:$HD$1,0)</f>
        <v>#N/A</v>
      </c>
      <c r="DV13" s="40" t="e">
        <f>MATCH(M13,'Designer Shutter Data'!$HA$2:$HA$8,0)</f>
        <v>#N/A</v>
      </c>
      <c r="DW13" s="11" t="e">
        <f>INDEX('Designer Shutter Data'!$HB$2:$HD$8,DV13,DU13)</f>
        <v>#N/A</v>
      </c>
      <c r="DX13" s="11" t="b">
        <f>IF(E13='Designer Shutter Data'!$IG$1,'Designer Shutter Data'!$IG$2,IF(E13='Designer Shutter Data'!$IH$1,'Designer Shutter Data'!$IH$2, IF(E13='Designer Shutter Data'!$II$1,'Designer Shutter Data'!$II$2)))</f>
        <v>0</v>
      </c>
      <c r="DY13" s="11" t="str">
        <f>IF(E13="MS",'Designer Shutter Data'!$BI$2,IF(G13='Designer Shutter Data'!$BJ$34,'Designer Shutter Data'!$BJ$35,'Designer Shutter Data'!$BJ$2))</f>
        <v>FauxwoodDesignerWindowType</v>
      </c>
      <c r="DZ13" s="118" t="b">
        <f>IF(M13='Designer Shutter Data'!$F$3,'Designer Shutter Data'!$GF$88, IF(M13='Designer Shutter Data'!$F$4,'Designer Shutter Data'!$GE$59, IF(M13='Designer Shutter Data'!$F$5,'Designer Shutter Data'!$GD$59, IF(M13='Designer Shutter Data'!$F$6,'Designer Shutter Data'!$GD$59, IF(M13='Designer Shutter Data'!$F$7,'Designer Shutter Data'!$GD$73)))))</f>
        <v>0</v>
      </c>
      <c r="EB13" s="6" t="b">
        <f>IF(M13='Designer Shutter Data'!$IT$2,'Designer Shutter Data'!$JA$2, IF(M13='Designer Shutter Data'!$IT$3,'Designer Shutter Data'!$JC$2, IF(M13='Designer Shutter Data'!$IT$4,'Designer Shutter Data'!$JE$2, IF(M13='Designer Shutter Data'!$IT$5,'Designer Shutter Data'!$JG$2, IF(M13='Designer Shutter Data'!$IT$6,'Designer Shutter Data'!$JI$2, IF(M13='Designer Shutter Data'!$IT$7,'Designer Shutter Data'!$JZ$2, IF(M13='Designer Shutter Data'!$IT$8,'Designer Shutter Data'!$JI$16)))))))</f>
        <v>0</v>
      </c>
      <c r="EC13" s="6" t="str">
        <f t="shared" si="34"/>
        <v>NoHighlight</v>
      </c>
      <c r="ED13" s="7" t="e">
        <f>VLOOKUP(M13,'Designer Shutter Data'!$JW$5:$JX$10,2,FALSE)</f>
        <v>#N/A</v>
      </c>
      <c r="EE13" s="7" t="e">
        <f t="shared" si="35"/>
        <v>#N/A</v>
      </c>
      <c r="EF13" s="118" t="e">
        <f>VLOOKUP(O13,'Designer Shutter Data'!$AO$3:$AQ$171,1,FALSE)</f>
        <v>#N/A</v>
      </c>
      <c r="EG13" s="7" t="e">
        <f t="shared" si="36"/>
        <v>#N/A</v>
      </c>
      <c r="EH13" s="6" t="str">
        <f t="shared" si="37"/>
        <v/>
      </c>
      <c r="EJ13" s="40" t="e">
        <f>MATCH(M13,'Designer Shutter Data'!$KD$1:$KI$1,0)</f>
        <v>#N/A</v>
      </c>
      <c r="EK13" s="40" t="e">
        <f>MATCH(P13,'Designer Shutter Data'!$KC$2:$KC$21,0)</f>
        <v>#N/A</v>
      </c>
      <c r="EL13" s="136" t="e">
        <f>INDEX('Designer Shutter Data'!$KD$2:$KI$21,EK13,EJ13)</f>
        <v>#N/A</v>
      </c>
      <c r="EP13" s="6" t="str">
        <f>IF(AC13&lt;&gt;$EO$4,'Designer Shutter Data'!$BR$2,'Designer Shutter Data'!$BR$9)</f>
        <v>Fluffy_Strip_Fauxwood</v>
      </c>
      <c r="ER13" s="6" t="str">
        <f>IF(G13='Designer Shutter Data'!$E$26,'Designer Shutter Data'!$E$27,IF(G13='Designer Shutter Data'!$E$37,'Designer Shutter Data'!$E$38,'Designer Shutter Data'!$E$2))</f>
        <v>FauxwoodDesignerBladeSize</v>
      </c>
      <c r="ET13" s="6" t="str">
        <f t="shared" si="47"/>
        <v>Stile T Post</v>
      </c>
      <c r="EW13" s="40" t="e">
        <f>MATCH(G13,'Designer Shutter Data'!$AV$27:$AV$30,0)</f>
        <v>#N/A</v>
      </c>
      <c r="EX13" s="40" t="e">
        <f>MATCH(AC13,'Designer Shutter Data'!$AW$26:$AX$26,0)</f>
        <v>#N/A</v>
      </c>
      <c r="EY13" s="136" t="e">
        <f>INDEX('Designer Shutter Data'!$AW$27:$AX$30,EW13,EX13)</f>
        <v>#N/A</v>
      </c>
      <c r="EZ13" s="6" t="str">
        <f>IF(G13='Designer Shutter Data'!$S$15,'Designer Shutter Data'!$S$16, IF(G13=$FB$7,'Designer Shutter Data'!$T$15,'Designer Shutter Data'!$S$2))</f>
        <v>FauxwoodDesignerTiltrod</v>
      </c>
      <c r="FA13" s="6" t="e">
        <f>IF(G13=$FB$7,"No",VLOOKUP(L13,'Designer Shutter Data'!$BJ$62:$BK$75,2,FALSE))</f>
        <v>#N/A</v>
      </c>
      <c r="FB13" s="6" t="e">
        <f>IF(FA13="Yes", 'Designer Shutter Data'!$T$2,IF(G13=$FB$7,'Designer Shutter Data'!$T$15,'Designer Shutters Page 2'!EZ13))</f>
        <v>#N/A</v>
      </c>
      <c r="FC13" s="6" t="e">
        <f>MATCH(G13,'Designer Shutter Data'!$IG$15:$IJ$15,0)</f>
        <v>#N/A</v>
      </c>
      <c r="FD13" s="6" t="e">
        <f>MATCH(E13,'Designer Shutter Data'!$IF$16:$IF$18,0)</f>
        <v>#N/A</v>
      </c>
      <c r="FE13" s="6" t="e">
        <f>INDEX('Designer Shutter Data'!$IG$16:$IJ$18, 'Designer Shutters Page 2'!FD13, 'Designer Shutters Page 2'!FC13)</f>
        <v>#N/A</v>
      </c>
      <c r="FH13" s="6" t="str">
        <f t="shared" si="48"/>
        <v>SlidingSystemNA</v>
      </c>
      <c r="FJ13" s="6" t="e">
        <f>VLOOKUP(O13,'Designer Shutter Data'!$KP$2:$KR$44,3,FALSE)</f>
        <v>#N/A</v>
      </c>
      <c r="FL13" s="11" t="b">
        <f>IF(N13=$FL$7,'Designer Shutter Data'!$GH$98,DM13)</f>
        <v>0</v>
      </c>
    </row>
    <row r="14" spans="1:168" ht="36.75" customHeight="1" x14ac:dyDescent="0.2">
      <c r="A14" s="50">
        <v>6</v>
      </c>
      <c r="B14" s="51"/>
      <c r="C14" s="44"/>
      <c r="D14" s="31"/>
      <c r="E14" s="44"/>
      <c r="F14" s="31"/>
      <c r="G14" s="43"/>
      <c r="H14" s="234"/>
      <c r="I14" s="235"/>
      <c r="J14" s="44"/>
      <c r="K14" s="45"/>
      <c r="L14" s="45"/>
      <c r="M14" s="45"/>
      <c r="N14" s="45"/>
      <c r="O14" s="45"/>
      <c r="P14" s="236"/>
      <c r="Q14" s="236"/>
      <c r="R14" s="43"/>
      <c r="S14" s="43"/>
      <c r="T14" s="43"/>
      <c r="U14" s="43"/>
      <c r="V14" s="45"/>
      <c r="W14" s="45"/>
      <c r="X14" s="43"/>
      <c r="Y14" s="46"/>
      <c r="Z14" s="47"/>
      <c r="AA14" s="47"/>
      <c r="AB14" s="47"/>
      <c r="AC14" s="44"/>
      <c r="AD14" s="44"/>
      <c r="AE14" s="48" t="str">
        <f t="shared" si="0"/>
        <v/>
      </c>
      <c r="AI14" s="6">
        <f t="shared" si="38"/>
        <v>0</v>
      </c>
      <c r="AJ14" s="6">
        <f t="shared" si="39"/>
        <v>0</v>
      </c>
      <c r="AK14" s="6">
        <f>IF(O14&lt;&gt;"",VLOOKUP(O14,'Designer Shutter Data'!$KP$2:$KQ$44,2,FALSE),0)</f>
        <v>0</v>
      </c>
      <c r="AT14" s="49" t="str">
        <f t="shared" si="1"/>
        <v/>
      </c>
      <c r="AV14" s="6" t="str">
        <f>IF(G14=$AV$7,'Designer Shutter Data'!$D$38,'Designer Shutter Data'!$D$2)</f>
        <v>FauxwoodDesignerColour</v>
      </c>
      <c r="AW14" s="130" t="e">
        <f t="shared" si="40"/>
        <v>#N/A</v>
      </c>
      <c r="AX14" s="130" t="e">
        <f>VLOOKUP(M14,'Designer Shutter Data'!$JK$2:$JL$7,2,FALSE)</f>
        <v>#N/A</v>
      </c>
      <c r="AY14" s="38" t="b">
        <v>0</v>
      </c>
      <c r="AZ14" s="38" t="str">
        <f t="shared" si="2"/>
        <v>No</v>
      </c>
      <c r="BA14" s="38" t="e">
        <f t="shared" si="3"/>
        <v>#DIV/0!</v>
      </c>
      <c r="BB14" s="38" t="e">
        <f t="shared" si="4"/>
        <v>#DIV/0!</v>
      </c>
      <c r="BC14" s="38" t="e">
        <f t="shared" si="5"/>
        <v>#DIV/0!</v>
      </c>
      <c r="BD14" s="38" t="str">
        <f t="shared" si="6"/>
        <v>No</v>
      </c>
      <c r="BE14" s="38" t="e">
        <f>IF(OR(AND(C14&gt;0,#REF!="")), "Required","NotRequired")</f>
        <v>#REF!</v>
      </c>
      <c r="BF14" s="38" t="b">
        <v>0</v>
      </c>
      <c r="BG14" s="38" t="e">
        <f t="shared" si="41"/>
        <v>#DIV/0!</v>
      </c>
      <c r="BH14" s="39" t="str">
        <f t="shared" si="7"/>
        <v>NoHighlight</v>
      </c>
      <c r="BI14" s="38" t="str">
        <f t="shared" si="8"/>
        <v>FauxwoodRPNo</v>
      </c>
      <c r="BJ14" s="110" t="str">
        <f>IF(SUM(--ISNUMBER(SEARCH({"t","T"}, O14))),"Yes","No")</f>
        <v>No</v>
      </c>
      <c r="BK14" s="127" t="str">
        <f t="shared" si="9"/>
        <v>OK</v>
      </c>
      <c r="BL14" s="127" t="str">
        <f t="shared" si="10"/>
        <v>OK</v>
      </c>
      <c r="BM14" s="127" t="str">
        <f t="shared" si="11"/>
        <v>OK</v>
      </c>
      <c r="BN14" s="39" t="str">
        <f t="shared" si="12"/>
        <v>OK</v>
      </c>
      <c r="BO14" s="39" t="str">
        <f t="shared" si="13"/>
        <v>FauxwoodAINo</v>
      </c>
      <c r="BP14" s="39" t="str">
        <f>IF(SUM(--ISNUMBER(SEARCH({"combo","Combo","COMBO"}, B31))),"Yes","No")</f>
        <v>No</v>
      </c>
      <c r="BQ14" s="39" t="str">
        <f t="shared" si="42"/>
        <v>No</v>
      </c>
      <c r="BR14" s="39" t="str">
        <f>IF(SUM(--ISNUMBER(SEARCH({"c","C","b","B"}, L14))),"Yes","No")</f>
        <v>No</v>
      </c>
      <c r="BS14" s="11">
        <f t="shared" si="14"/>
        <v>0</v>
      </c>
      <c r="BT14" s="11" t="s">
        <v>820</v>
      </c>
      <c r="BU14" s="11" t="s">
        <v>820</v>
      </c>
      <c r="BV14" s="40">
        <f t="shared" si="15"/>
        <v>0</v>
      </c>
      <c r="BW14" s="40">
        <f t="shared" si="16"/>
        <v>0</v>
      </c>
      <c r="BX14" s="11" t="e">
        <f t="shared" si="17"/>
        <v>#DIV/0!</v>
      </c>
      <c r="BY14" s="11" t="b">
        <v>0</v>
      </c>
      <c r="BZ14" s="11" t="b">
        <v>0</v>
      </c>
      <c r="CA14" s="11" t="e">
        <v>#REF!</v>
      </c>
      <c r="CB14" s="11" t="s">
        <v>82</v>
      </c>
      <c r="CC14" s="11" t="e">
        <f t="shared" si="18"/>
        <v>#DIV/0!</v>
      </c>
      <c r="CD14" s="11" t="e">
        <f>VLOOKUP(P14,'Designer Shutter Data'!$H$3:$I$19,2,FALSE)</f>
        <v>#N/A</v>
      </c>
      <c r="CE14" s="11" t="s">
        <v>820</v>
      </c>
      <c r="CF14" s="11" t="str">
        <f>IF(SUM(--ISNUMBER(SEARCH({"z","Z"}, P14))),"Yes","No")</f>
        <v>No</v>
      </c>
      <c r="CG14" s="11" t="str">
        <f t="shared" si="19"/>
        <v>OK</v>
      </c>
      <c r="CH14" s="11">
        <f t="shared" si="20"/>
        <v>0</v>
      </c>
      <c r="CI14" s="120" t="e">
        <f>IF(O14="N/A","N/A",VLOOKUP(O14,'Designer Shutter Data'!$AO$3:$AP$171,2,FALSE))</f>
        <v>#N/A</v>
      </c>
      <c r="CJ14" s="120" t="e">
        <f t="shared" si="21"/>
        <v>#N/A</v>
      </c>
      <c r="CK14" s="40"/>
      <c r="CL14" s="40"/>
      <c r="CM14" s="40"/>
      <c r="CN14" s="41" t="str">
        <f t="shared" si="22"/>
        <v>OK</v>
      </c>
      <c r="CO14" s="129" t="b">
        <f t="shared" si="23"/>
        <v>0</v>
      </c>
      <c r="CP14" s="129" t="b">
        <f t="shared" si="24"/>
        <v>0</v>
      </c>
      <c r="CQ14" s="40">
        <f t="shared" si="25"/>
        <v>0</v>
      </c>
      <c r="CR14" s="133">
        <f t="shared" si="26"/>
        <v>0</v>
      </c>
      <c r="CS14" s="40">
        <f t="shared" si="43"/>
        <v>0</v>
      </c>
      <c r="CT14" s="133" t="e">
        <f t="shared" si="27"/>
        <v>#N/A</v>
      </c>
      <c r="CU14" s="11" t="b">
        <v>0</v>
      </c>
      <c r="CV14" s="11" t="b">
        <v>0</v>
      </c>
      <c r="CW14" s="11" t="b">
        <v>0</v>
      </c>
      <c r="CX14" s="11" t="b">
        <v>0</v>
      </c>
      <c r="CY14" s="40" t="e">
        <f>IF(OR(AND(#REF!&gt;0,#REF!="")), "Error","OK")</f>
        <v>#REF!</v>
      </c>
      <c r="CZ14" s="11" t="e">
        <v>#REF!</v>
      </c>
      <c r="DA14" s="6" t="str">
        <f t="shared" si="28"/>
        <v/>
      </c>
      <c r="DD14" s="6" t="s">
        <v>84</v>
      </c>
      <c r="DE14" s="6" t="b">
        <f>IF(M14='Designer Shutter Data'!$F$3,'Designer Shutter Data'!$FY$7,IF(M14='Designer Shutter Data'!$F$4,'Designer Shutter Data'!$FZ$2,IF(M14='Designer Shutter Data'!$F$5,FJ14, IF(M14='Designer Shutter Data'!$F$6,'Designer Shutter Data'!$GA$2,IF(M14='Designer Shutter Data'!$F$7,'Designer Shutter Data'!$FY$2, IF(M14='Designer Shutter Data'!$F$8,'Designer Shutter Data'!$FZ$7, IF(M14='Designer Shutter Data'!$F$14,'Designer Shutter Data'!$FZ$14)))))))</f>
        <v>0</v>
      </c>
      <c r="DF14" s="6" t="e">
        <f>VLOOKUP(M14,'Designer Shutter Data'!$M$2:$N$8,2,FALSE)</f>
        <v>#N/A</v>
      </c>
      <c r="DH14" s="123" t="e">
        <f>VLOOKUP(O14,'Designer Shutter Data'!$IN$2:$IO$169,2,FALSE)</f>
        <v>#N/A</v>
      </c>
      <c r="DI14" s="103" t="e">
        <f t="shared" si="29"/>
        <v>#N/A</v>
      </c>
      <c r="DJ14" s="103" t="e">
        <f t="shared" si="44"/>
        <v>#N/A</v>
      </c>
      <c r="DK14" s="7" t="b">
        <f>IF(P14='Designer Shutter Data'!$GC$2,'Designer Shutter Data'!$GD$2,IF(P14='Designer Shutter Data'!$GC$3,'Designer Shutter Data'!$GE$2,IF(P14='Designer Shutter Data'!$GC$4,'Designer Shutter Data'!$GF$2,IF(P14='Designer Shutter Data'!$GC$5,'Designer Shutter Data'!$GG$2,IF(P14='Designer Shutter Data'!$GC$6,'Designer Shutter Data'!$GH$2,IF(P14='Designer Shutter Data'!$GC$7,'Designer Shutter Data'!$GI$2,IF(P14='Designer Shutter Data'!$GC$8,'Designer Shutter Data'!$GJ$2,IF(P14='Designer Shutter Data'!$GC$9,'Designer Shutter Data'!$GK$2,IF(P14='Designer Shutter Data'!$GC$10,'Designer Shutter Data'!$GL$2,IF(P14='Designer Shutter Data'!$GC$11,'Designer Shutter Data'!$GM$2,IF(P14='Designer Shutter Data'!$GC$12,'Designer Shutter Data'!$GN$2,IF(P14='Designer Shutter Data'!$GC$13,'Designer Shutter Data'!$GO$2,IF(P14='Designer Shutter Data'!$GC$14,'Designer Shutter Data'!$GP$2,IF(P14='Designer Shutter Data'!$GC$15,'Designer Shutter Data'!$GD$15,IF(P14='Designer Shutter Data'!$GC$16,'Designer Shutter Data'!$GE$15,IF(P14='Designer Shutter Data'!$GC$17,'Designer Shutter Data'!$GF$15,IF(P14='Designer Shutter Data'!$GC$18,'Designer Shutter Data'!$GG$15,IF(P14='Designer Shutter Data'!$GC$19,'Designer Shutter Data'!$GD$73,IF(P14='Designer Shutter Data'!$GC$20,'Designer Shutter Data'!$GD$88, IF(P14='Designer Shutter Data'!$GC$21,'Designer Shutter Data'!$GH$15, IF(P14='Designer Shutter Data'!$GC$22,'Designer Shutter Data'!$GJ$2, IF(P14='Designer Shutter Data'!$GC$23,'Designer Shutter Data'!$GL$2))))))))))))))))))))))</f>
        <v>0</v>
      </c>
      <c r="DL14" s="7" t="b">
        <f>IF(P14='Designer Shutter Data'!$GC$2,'Designer Shutter Data'!$GD$25,IF(P14='Designer Shutter Data'!$GC$3,'Designer Shutter Data'!$GE$25,IF(P14='Designer Shutter Data'!$GC$4,'Designer Shutter Data'!$GF$25,IF(P14='Designer Shutter Data'!$GC$5,'Designer Shutter Data'!$GG$25,IF(P14='Designer Shutter Data'!$GC$6,'Designer Shutter Data'!$GH$25,IF(P14='Designer Shutter Data'!$GC$7,'Designer Shutter Data'!$GI$25,IF(P14='Designer Shutter Data'!$GC$8,'Designer Shutter Data'!$GJ$25,IF(P14='Designer Shutter Data'!$GC$9,'Designer Shutter Data'!$GK$25,IF(P14='Designer Shutter Data'!$GC$10,'Designer Shutter Data'!$GL$25,IF(P14='Designer Shutter Data'!$GC$11,'Designer Shutter Data'!$GM$25,IF(P14='Designer Shutter Data'!$GC$12,'Designer Shutter Data'!$GN$25,IF(P14='Designer Shutter Data'!$GC$13,'Designer Shutter Data'!$GO$25,IF(P14='Designer Shutter Data'!$GC$14,'Designer Shutter Data'!$GP$25,IF(P14='Designer Shutter Data'!$GC$15,'Designer Shutter Data'!$GD$37,IF(P14='Designer Shutter Data'!$GC$15,'Designer Shutter Data'!$GD$37,IF(P14='Designer Shutter Data'!$GC$16,'Designer Shutter Data'!$GE$37,IF(P14='Designer Shutter Data'!$GC$17,'Designer Shutter Data'!$GF$37,IF(P14='Designer Shutter Data'!$GC$18,'Designer Shutter Data'!$GG$37, IF(P14='Designer Shutter Data'!$GC$19,'Designer Shutter Data'!$GD$73, IF(P14='Designer Shutter Data'!$GC$20,'Designer Shutter Data'!$GE$88, IF(P14='Designer Shutter Data'!$GC$21,'Designer Shutter Data'!$GH$37,IF(P14='Designer Shutter Data'!$GC$22,'Designer Shutter Data'!$GJ$25,IF(P14='Designer Shutter Data'!$GC$23,'Designer Shutter Data'!$GL$25)))))))))))))))))))))))</f>
        <v>0</v>
      </c>
      <c r="DM14" s="118" t="b">
        <f>IF(P14='Designer Shutter Data'!$GC$2,'Designer Shutter Data'!$GD$47,IF(P14='Designer Shutter Data'!$GC$3,'Designer Shutter Data'!$GE$47,IF(P14='Designer Shutter Data'!$GC$4,'Designer Shutter Data'!$GF$47,IF(P14='Designer Shutter Data'!$GC$5,'Designer Shutter Data'!$GG$47,IF(P14='Designer Shutter Data'!$GC$6,'Designer Shutter Data'!$GH$47,IF(P14='Designer Shutter Data'!$GC$7,'Designer Shutter Data'!$GI$47,IF(P14='Designer Shutter Data'!$GC$8,'Designer Shutter Data'!$GJ$47,IF(P14='Designer Shutter Data'!$GC$9,'Designer Shutter Data'!$GK$47,IF(P14='Designer Shutter Data'!$GC$10,'Designer Shutter Data'!$GL$47,IF(P14='Designer Shutter Data'!$GC$11,'Designer Shutter Data'!$GM$47,IF(P14='Designer Shutter Data'!$GC$12,'Designer Shutter Data'!$GN$47,IF(P14='Designer Shutter Data'!$GC$13,'Designer Shutter Data'!$GO$47,IF(P14='Designer Shutter Data'!$GC$14,'Designer Shutter Data'!$GP$47, IF(P14='Designer Shutter Data'!$GC$19,'Designer Shutter Data'!$GD$73, IF(P14='Designer Shutter Data'!$GC$20,'Designer Shutter Data'!$GF$88, IF(M14='Designer Shutter Data'!$F$5,'Designer Shutter Data'!$GE$59, IF(M14='Designer Shutter Data'!$F$6,'Designer Shutter Data'!$GD$59, IF(P14='Designer Shutter Data'!$GC$21,'Designer Shutter Data'!$GF$59,IF(P14='Designer Shutter Data'!$GC$22,'Designer Shutter Data'!$GJ$47,IF(P14='Designer Shutter Data'!$GC$23,'Designer Shutter Data'!$GL$47))))))))))))))))))))</f>
        <v>0</v>
      </c>
      <c r="DN14" s="107" t="str">
        <f t="shared" si="45"/>
        <v/>
      </c>
      <c r="DO14" s="107" t="e">
        <f t="shared" si="46"/>
        <v>#N/A</v>
      </c>
      <c r="DP14" s="107" t="str">
        <f t="shared" si="30"/>
        <v>OK</v>
      </c>
      <c r="DQ14" s="107" t="str">
        <f t="shared" si="31"/>
        <v>OK</v>
      </c>
      <c r="DR14" s="107" t="str">
        <f t="shared" si="32"/>
        <v>OK</v>
      </c>
      <c r="DS14" s="107" t="str">
        <f t="shared" si="33"/>
        <v>OK</v>
      </c>
      <c r="DT14" s="7" t="b">
        <f>IF(E14='Designer Shutter Data'!$GV$2,'Designer Shutter Data'!$GW$2,IF(E14='Designer Shutter Data'!$GV$3,'Designer Shutter Data'!$GX$2,IF(E14='Designer Shutter Data'!$GV$4,'Designer Shutter Data'!$GY$2)))</f>
        <v>0</v>
      </c>
      <c r="DU14" s="40" t="e">
        <f>MATCH(E14,'Designer Shutter Data'!$HB$1:$HD$1,0)</f>
        <v>#N/A</v>
      </c>
      <c r="DV14" s="40" t="e">
        <f>MATCH(M14,'Designer Shutter Data'!$HA$2:$HA$8,0)</f>
        <v>#N/A</v>
      </c>
      <c r="DW14" s="11" t="e">
        <f>INDEX('Designer Shutter Data'!$HB$2:$HD$8,DV14,DU14)</f>
        <v>#N/A</v>
      </c>
      <c r="DX14" s="11" t="b">
        <f>IF(E14='Designer Shutter Data'!$IG$1,'Designer Shutter Data'!$IG$2,IF(E14='Designer Shutter Data'!$IH$1,'Designer Shutter Data'!$IH$2, IF(E14='Designer Shutter Data'!$II$1,'Designer Shutter Data'!$II$2)))</f>
        <v>0</v>
      </c>
      <c r="DY14" s="11" t="str">
        <f>IF(E14="MS",'Designer Shutter Data'!$BI$2,IF(G14='Designer Shutter Data'!$BJ$34,'Designer Shutter Data'!$BJ$35,'Designer Shutter Data'!$BJ$2))</f>
        <v>FauxwoodDesignerWindowType</v>
      </c>
      <c r="DZ14" s="118" t="b">
        <f>IF(M14='Designer Shutter Data'!$F$3,'Designer Shutter Data'!$GF$88, IF(M14='Designer Shutter Data'!$F$4,'Designer Shutter Data'!$GE$59, IF(M14='Designer Shutter Data'!$F$5,'Designer Shutter Data'!$GD$59, IF(M14='Designer Shutter Data'!$F$6,'Designer Shutter Data'!$GD$59, IF(M14='Designer Shutter Data'!$F$7,'Designer Shutter Data'!$GD$73)))))</f>
        <v>0</v>
      </c>
      <c r="EB14" s="6" t="b">
        <f>IF(M14='Designer Shutter Data'!$IT$2,'Designer Shutter Data'!$JA$2, IF(M14='Designer Shutter Data'!$IT$3,'Designer Shutter Data'!$JC$2, IF(M14='Designer Shutter Data'!$IT$4,'Designer Shutter Data'!$JE$2, IF(M14='Designer Shutter Data'!$IT$5,'Designer Shutter Data'!$JG$2, IF(M14='Designer Shutter Data'!$IT$6,'Designer Shutter Data'!$JI$2, IF(M14='Designer Shutter Data'!$IT$7,'Designer Shutter Data'!$JZ$2, IF(M14='Designer Shutter Data'!$IT$8,'Designer Shutter Data'!$JI$16)))))))</f>
        <v>0</v>
      </c>
      <c r="EC14" s="6" t="str">
        <f t="shared" si="34"/>
        <v>NoHighlight</v>
      </c>
      <c r="ED14" s="7" t="e">
        <f>VLOOKUP(M14,'Designer Shutter Data'!$JW$5:$JX$10,2,FALSE)</f>
        <v>#N/A</v>
      </c>
      <c r="EE14" s="7" t="e">
        <f t="shared" si="35"/>
        <v>#N/A</v>
      </c>
      <c r="EF14" s="118" t="e">
        <f>VLOOKUP(O14,'Designer Shutter Data'!$AO$3:$AQ$171,1,FALSE)</f>
        <v>#N/A</v>
      </c>
      <c r="EG14" s="7" t="e">
        <f t="shared" si="36"/>
        <v>#N/A</v>
      </c>
      <c r="EH14" s="6" t="str">
        <f t="shared" si="37"/>
        <v/>
      </c>
      <c r="EJ14" s="40" t="e">
        <f>MATCH(M14,'Designer Shutter Data'!$KD$1:$KI$1,0)</f>
        <v>#N/A</v>
      </c>
      <c r="EK14" s="40" t="e">
        <f>MATCH(P14,'Designer Shutter Data'!$KC$2:$KC$21,0)</f>
        <v>#N/A</v>
      </c>
      <c r="EL14" s="136" t="e">
        <f>INDEX('Designer Shutter Data'!$KD$2:$KI$21,EK14,EJ14)</f>
        <v>#N/A</v>
      </c>
      <c r="EP14" s="6" t="str">
        <f>IF(AC14&lt;&gt;$EO$4,'Designer Shutter Data'!$BR$2,'Designer Shutter Data'!$BR$9)</f>
        <v>Fluffy_Strip_Fauxwood</v>
      </c>
      <c r="ER14" s="6" t="str">
        <f>IF(G14='Designer Shutter Data'!$E$26,'Designer Shutter Data'!$E$27,IF(G14='Designer Shutter Data'!$E$37,'Designer Shutter Data'!$E$38,'Designer Shutter Data'!$E$2))</f>
        <v>FauxwoodDesignerBladeSize</v>
      </c>
      <c r="ET14" s="6" t="str">
        <f t="shared" si="47"/>
        <v>Stile T Post</v>
      </c>
      <c r="EW14" s="40" t="e">
        <f>MATCH(G14,'Designer Shutter Data'!$AV$27:$AV$30,0)</f>
        <v>#N/A</v>
      </c>
      <c r="EX14" s="40" t="e">
        <f>MATCH(AC14,'Designer Shutter Data'!$AW$26:$AX$26,0)</f>
        <v>#N/A</v>
      </c>
      <c r="EY14" s="136" t="e">
        <f>INDEX('Designer Shutter Data'!$AW$27:$AX$30,EW14,EX14)</f>
        <v>#N/A</v>
      </c>
      <c r="EZ14" s="6" t="str">
        <f>IF(G14='Designer Shutter Data'!$S$15,'Designer Shutter Data'!$S$16, IF(G14=$FB$7,'Designer Shutter Data'!$T$15,'Designer Shutter Data'!$S$2))</f>
        <v>FauxwoodDesignerTiltrod</v>
      </c>
      <c r="FA14" s="6" t="e">
        <f>IF(G14=$FB$7,"No",VLOOKUP(L14,'Designer Shutter Data'!$BJ$62:$BK$75,2,FALSE))</f>
        <v>#N/A</v>
      </c>
      <c r="FB14" s="6" t="e">
        <f>IF(FA14="Yes", 'Designer Shutter Data'!$T$2,IF(G14=$FB$7,'Designer Shutter Data'!$T$15,'Designer Shutters Page 2'!EZ14))</f>
        <v>#N/A</v>
      </c>
      <c r="FC14" s="6" t="e">
        <f>MATCH(G14,'Designer Shutter Data'!$IG$15:$IJ$15,0)</f>
        <v>#N/A</v>
      </c>
      <c r="FD14" s="6" t="e">
        <f>MATCH(E14,'Designer Shutter Data'!$IF$16:$IF$18,0)</f>
        <v>#N/A</v>
      </c>
      <c r="FE14" s="6" t="e">
        <f>INDEX('Designer Shutter Data'!$IG$16:$IJ$18, 'Designer Shutters Page 2'!FD14, 'Designer Shutters Page 2'!FC14)</f>
        <v>#N/A</v>
      </c>
      <c r="FH14" s="6" t="str">
        <f t="shared" si="48"/>
        <v>SlidingSystemNA</v>
      </c>
      <c r="FJ14" s="6" t="e">
        <f>VLOOKUP(O14,'Designer Shutter Data'!$KP$2:$KR$44,3,FALSE)</f>
        <v>#N/A</v>
      </c>
      <c r="FL14" s="11" t="b">
        <f>IF(N14=$FL$7,'Designer Shutter Data'!$GH$98,DM14)</f>
        <v>0</v>
      </c>
    </row>
    <row r="15" spans="1:168" ht="36.75" customHeight="1" x14ac:dyDescent="0.2">
      <c r="A15" s="50">
        <v>7</v>
      </c>
      <c r="B15" s="51"/>
      <c r="C15" s="44"/>
      <c r="D15" s="31"/>
      <c r="E15" s="44"/>
      <c r="F15" s="31"/>
      <c r="G15" s="43"/>
      <c r="H15" s="234"/>
      <c r="I15" s="235"/>
      <c r="J15" s="44"/>
      <c r="K15" s="45"/>
      <c r="L15" s="45"/>
      <c r="M15" s="45"/>
      <c r="N15" s="45"/>
      <c r="O15" s="45"/>
      <c r="P15" s="236"/>
      <c r="Q15" s="236"/>
      <c r="R15" s="43"/>
      <c r="S15" s="43"/>
      <c r="T15" s="43"/>
      <c r="U15" s="43"/>
      <c r="V15" s="45"/>
      <c r="W15" s="45"/>
      <c r="X15" s="43"/>
      <c r="Y15" s="46"/>
      <c r="Z15" s="47"/>
      <c r="AA15" s="47"/>
      <c r="AB15" s="47"/>
      <c r="AC15" s="44"/>
      <c r="AD15" s="44"/>
      <c r="AE15" s="48" t="str">
        <f t="shared" si="0"/>
        <v/>
      </c>
      <c r="AI15" s="6">
        <f t="shared" si="38"/>
        <v>0</v>
      </c>
      <c r="AJ15" s="6">
        <f t="shared" si="39"/>
        <v>0</v>
      </c>
      <c r="AK15" s="6">
        <f>IF(O15&lt;&gt;"",VLOOKUP(O15,'Designer Shutter Data'!$KP$2:$KQ$44,2,FALSE),0)</f>
        <v>0</v>
      </c>
      <c r="AT15" s="49" t="str">
        <f t="shared" si="1"/>
        <v/>
      </c>
      <c r="AV15" s="6" t="str">
        <f>IF(G15=$AV$7,'Designer Shutter Data'!$D$38,'Designer Shutter Data'!$D$2)</f>
        <v>FauxwoodDesignerColour</v>
      </c>
      <c r="AW15" s="130" t="e">
        <f t="shared" si="40"/>
        <v>#N/A</v>
      </c>
      <c r="AX15" s="130" t="e">
        <f>VLOOKUP(M15,'Designer Shutter Data'!$JK$2:$JL$7,2,FALSE)</f>
        <v>#N/A</v>
      </c>
      <c r="AY15" s="38" t="b">
        <v>0</v>
      </c>
      <c r="AZ15" s="38" t="str">
        <f t="shared" si="2"/>
        <v>No</v>
      </c>
      <c r="BA15" s="38" t="e">
        <f t="shared" si="3"/>
        <v>#DIV/0!</v>
      </c>
      <c r="BB15" s="38" t="e">
        <f t="shared" si="4"/>
        <v>#DIV/0!</v>
      </c>
      <c r="BC15" s="38" t="e">
        <f t="shared" si="5"/>
        <v>#DIV/0!</v>
      </c>
      <c r="BD15" s="38" t="str">
        <f t="shared" si="6"/>
        <v>No</v>
      </c>
      <c r="BE15" s="38" t="e">
        <f>IF(OR(AND(C15&gt;0,#REF!="")), "Required","NotRequired")</f>
        <v>#REF!</v>
      </c>
      <c r="BF15" s="38" t="b">
        <v>0</v>
      </c>
      <c r="BG15" s="38" t="e">
        <f t="shared" si="41"/>
        <v>#DIV/0!</v>
      </c>
      <c r="BH15" s="39" t="str">
        <f t="shared" si="7"/>
        <v>NoHighlight</v>
      </c>
      <c r="BI15" s="38" t="str">
        <f t="shared" si="8"/>
        <v>FauxwoodRPNo</v>
      </c>
      <c r="BJ15" s="110" t="str">
        <f>IF(SUM(--ISNUMBER(SEARCH({"t","T"}, O15))),"Yes","No")</f>
        <v>No</v>
      </c>
      <c r="BK15" s="127" t="str">
        <f t="shared" si="9"/>
        <v>OK</v>
      </c>
      <c r="BL15" s="127" t="str">
        <f t="shared" si="10"/>
        <v>OK</v>
      </c>
      <c r="BM15" s="127" t="str">
        <f t="shared" si="11"/>
        <v>OK</v>
      </c>
      <c r="BN15" s="39" t="str">
        <f t="shared" si="12"/>
        <v>OK</v>
      </c>
      <c r="BO15" s="39" t="str">
        <f t="shared" si="13"/>
        <v>FauxwoodAINo</v>
      </c>
      <c r="BP15" s="39" t="str">
        <f>IF(SUM(--ISNUMBER(SEARCH({"combo","Combo","COMBO"}, B32))),"Yes","No")</f>
        <v>No</v>
      </c>
      <c r="BQ15" s="39" t="str">
        <f t="shared" si="42"/>
        <v>No</v>
      </c>
      <c r="BR15" s="39" t="str">
        <f>IF(SUM(--ISNUMBER(SEARCH({"c","C","b","B"}, L15))),"Yes","No")</f>
        <v>No</v>
      </c>
      <c r="BS15" s="11">
        <f t="shared" si="14"/>
        <v>0</v>
      </c>
      <c r="BT15" s="11" t="s">
        <v>820</v>
      </c>
      <c r="BU15" s="11" t="s">
        <v>820</v>
      </c>
      <c r="BV15" s="40">
        <f t="shared" si="15"/>
        <v>0</v>
      </c>
      <c r="BW15" s="40">
        <f t="shared" si="16"/>
        <v>0</v>
      </c>
      <c r="BX15" s="11" t="e">
        <f t="shared" si="17"/>
        <v>#DIV/0!</v>
      </c>
      <c r="BY15" s="11" t="b">
        <v>0</v>
      </c>
      <c r="BZ15" s="11" t="b">
        <v>0</v>
      </c>
      <c r="CA15" s="11" t="e">
        <v>#REF!</v>
      </c>
      <c r="CB15" s="11" t="s">
        <v>82</v>
      </c>
      <c r="CC15" s="11" t="e">
        <f t="shared" si="18"/>
        <v>#DIV/0!</v>
      </c>
      <c r="CD15" s="11" t="e">
        <f>VLOOKUP(P15,'Designer Shutter Data'!$H$3:$I$19,2,FALSE)</f>
        <v>#N/A</v>
      </c>
      <c r="CE15" s="11" t="s">
        <v>820</v>
      </c>
      <c r="CF15" s="11" t="str">
        <f>IF(SUM(--ISNUMBER(SEARCH({"z","Z"}, P15))),"Yes","No")</f>
        <v>No</v>
      </c>
      <c r="CG15" s="11" t="str">
        <f t="shared" si="19"/>
        <v>OK</v>
      </c>
      <c r="CH15" s="11">
        <f t="shared" si="20"/>
        <v>0</v>
      </c>
      <c r="CI15" s="120" t="e">
        <f>IF(O15="N/A","N/A",VLOOKUP(O15,'Designer Shutter Data'!$AO$3:$AP$171,2,FALSE))</f>
        <v>#N/A</v>
      </c>
      <c r="CJ15" s="120" t="e">
        <f t="shared" si="21"/>
        <v>#N/A</v>
      </c>
      <c r="CK15" s="40"/>
      <c r="CL15" s="40"/>
      <c r="CM15" s="40"/>
      <c r="CN15" s="41" t="str">
        <f t="shared" si="22"/>
        <v>OK</v>
      </c>
      <c r="CO15" s="129" t="b">
        <f t="shared" si="23"/>
        <v>0</v>
      </c>
      <c r="CP15" s="129" t="b">
        <f t="shared" si="24"/>
        <v>0</v>
      </c>
      <c r="CQ15" s="40">
        <f t="shared" si="25"/>
        <v>0</v>
      </c>
      <c r="CR15" s="133">
        <f t="shared" si="26"/>
        <v>0</v>
      </c>
      <c r="CS15" s="40">
        <f t="shared" si="43"/>
        <v>0</v>
      </c>
      <c r="CT15" s="133" t="e">
        <f t="shared" si="27"/>
        <v>#N/A</v>
      </c>
      <c r="CU15" s="11" t="b">
        <v>0</v>
      </c>
      <c r="CV15" s="11" t="b">
        <v>0</v>
      </c>
      <c r="CW15" s="11" t="b">
        <v>0</v>
      </c>
      <c r="CX15" s="11" t="b">
        <v>0</v>
      </c>
      <c r="CY15" s="40" t="e">
        <f>IF(OR(AND(#REF!&gt;0,#REF!="")), "Error","OK")</f>
        <v>#REF!</v>
      </c>
      <c r="CZ15" s="11" t="e">
        <v>#REF!</v>
      </c>
      <c r="DA15" s="6" t="str">
        <f t="shared" si="28"/>
        <v/>
      </c>
      <c r="DD15" s="6" t="s">
        <v>84</v>
      </c>
      <c r="DE15" s="6" t="b">
        <f>IF(M15='Designer Shutter Data'!$F$3,'Designer Shutter Data'!$FY$7,IF(M15='Designer Shutter Data'!$F$4,'Designer Shutter Data'!$FZ$2,IF(M15='Designer Shutter Data'!$F$5,FJ15, IF(M15='Designer Shutter Data'!$F$6,'Designer Shutter Data'!$GA$2,IF(M15='Designer Shutter Data'!$F$7,'Designer Shutter Data'!$FY$2, IF(M15='Designer Shutter Data'!$F$8,'Designer Shutter Data'!$FZ$7, IF(M15='Designer Shutter Data'!$F$14,'Designer Shutter Data'!$FZ$14)))))))</f>
        <v>0</v>
      </c>
      <c r="DF15" s="6" t="e">
        <f>VLOOKUP(M15,'Designer Shutter Data'!$M$2:$N$8,2,FALSE)</f>
        <v>#N/A</v>
      </c>
      <c r="DH15" s="123" t="e">
        <f>VLOOKUP(O15,'Designer Shutter Data'!$IN$2:$IO$169,2,FALSE)</f>
        <v>#N/A</v>
      </c>
      <c r="DI15" s="103" t="e">
        <f t="shared" si="29"/>
        <v>#N/A</v>
      </c>
      <c r="DJ15" s="103" t="e">
        <f t="shared" si="44"/>
        <v>#N/A</v>
      </c>
      <c r="DK15" s="7" t="b">
        <f>IF(P15='Designer Shutter Data'!$GC$2,'Designer Shutter Data'!$GD$2,IF(P15='Designer Shutter Data'!$GC$3,'Designer Shutter Data'!$GE$2,IF(P15='Designer Shutter Data'!$GC$4,'Designer Shutter Data'!$GF$2,IF(P15='Designer Shutter Data'!$GC$5,'Designer Shutter Data'!$GG$2,IF(P15='Designer Shutter Data'!$GC$6,'Designer Shutter Data'!$GH$2,IF(P15='Designer Shutter Data'!$GC$7,'Designer Shutter Data'!$GI$2,IF(P15='Designer Shutter Data'!$GC$8,'Designer Shutter Data'!$GJ$2,IF(P15='Designer Shutter Data'!$GC$9,'Designer Shutter Data'!$GK$2,IF(P15='Designer Shutter Data'!$GC$10,'Designer Shutter Data'!$GL$2,IF(P15='Designer Shutter Data'!$GC$11,'Designer Shutter Data'!$GM$2,IF(P15='Designer Shutter Data'!$GC$12,'Designer Shutter Data'!$GN$2,IF(P15='Designer Shutter Data'!$GC$13,'Designer Shutter Data'!$GO$2,IF(P15='Designer Shutter Data'!$GC$14,'Designer Shutter Data'!$GP$2,IF(P15='Designer Shutter Data'!$GC$15,'Designer Shutter Data'!$GD$15,IF(P15='Designer Shutter Data'!$GC$16,'Designer Shutter Data'!$GE$15,IF(P15='Designer Shutter Data'!$GC$17,'Designer Shutter Data'!$GF$15,IF(P15='Designer Shutter Data'!$GC$18,'Designer Shutter Data'!$GG$15,IF(P15='Designer Shutter Data'!$GC$19,'Designer Shutter Data'!$GD$73,IF(P15='Designer Shutter Data'!$GC$20,'Designer Shutter Data'!$GD$88, IF(P15='Designer Shutter Data'!$GC$21,'Designer Shutter Data'!$GH$15, IF(P15='Designer Shutter Data'!$GC$22,'Designer Shutter Data'!$GJ$2, IF(P15='Designer Shutter Data'!$GC$23,'Designer Shutter Data'!$GL$2))))))))))))))))))))))</f>
        <v>0</v>
      </c>
      <c r="DL15" s="7" t="b">
        <f>IF(P15='Designer Shutter Data'!$GC$2,'Designer Shutter Data'!$GD$25,IF(P15='Designer Shutter Data'!$GC$3,'Designer Shutter Data'!$GE$25,IF(P15='Designer Shutter Data'!$GC$4,'Designer Shutter Data'!$GF$25,IF(P15='Designer Shutter Data'!$GC$5,'Designer Shutter Data'!$GG$25,IF(P15='Designer Shutter Data'!$GC$6,'Designer Shutter Data'!$GH$25,IF(P15='Designer Shutter Data'!$GC$7,'Designer Shutter Data'!$GI$25,IF(P15='Designer Shutter Data'!$GC$8,'Designer Shutter Data'!$GJ$25,IF(P15='Designer Shutter Data'!$GC$9,'Designer Shutter Data'!$GK$25,IF(P15='Designer Shutter Data'!$GC$10,'Designer Shutter Data'!$GL$25,IF(P15='Designer Shutter Data'!$GC$11,'Designer Shutter Data'!$GM$25,IF(P15='Designer Shutter Data'!$GC$12,'Designer Shutter Data'!$GN$25,IF(P15='Designer Shutter Data'!$GC$13,'Designer Shutter Data'!$GO$25,IF(P15='Designer Shutter Data'!$GC$14,'Designer Shutter Data'!$GP$25,IF(P15='Designer Shutter Data'!$GC$15,'Designer Shutter Data'!$GD$37,IF(P15='Designer Shutter Data'!$GC$15,'Designer Shutter Data'!$GD$37,IF(P15='Designer Shutter Data'!$GC$16,'Designer Shutter Data'!$GE$37,IF(P15='Designer Shutter Data'!$GC$17,'Designer Shutter Data'!$GF$37,IF(P15='Designer Shutter Data'!$GC$18,'Designer Shutter Data'!$GG$37, IF(P15='Designer Shutter Data'!$GC$19,'Designer Shutter Data'!$GD$73, IF(P15='Designer Shutter Data'!$GC$20,'Designer Shutter Data'!$GE$88, IF(P15='Designer Shutter Data'!$GC$21,'Designer Shutter Data'!$GH$37,IF(P15='Designer Shutter Data'!$GC$22,'Designer Shutter Data'!$GJ$25,IF(P15='Designer Shutter Data'!$GC$23,'Designer Shutter Data'!$GL$25)))))))))))))))))))))))</f>
        <v>0</v>
      </c>
      <c r="DM15" s="118" t="b">
        <f>IF(P15='Designer Shutter Data'!$GC$2,'Designer Shutter Data'!$GD$47,IF(P15='Designer Shutter Data'!$GC$3,'Designer Shutter Data'!$GE$47,IF(P15='Designer Shutter Data'!$GC$4,'Designer Shutter Data'!$GF$47,IF(P15='Designer Shutter Data'!$GC$5,'Designer Shutter Data'!$GG$47,IF(P15='Designer Shutter Data'!$GC$6,'Designer Shutter Data'!$GH$47,IF(P15='Designer Shutter Data'!$GC$7,'Designer Shutter Data'!$GI$47,IF(P15='Designer Shutter Data'!$GC$8,'Designer Shutter Data'!$GJ$47,IF(P15='Designer Shutter Data'!$GC$9,'Designer Shutter Data'!$GK$47,IF(P15='Designer Shutter Data'!$GC$10,'Designer Shutter Data'!$GL$47,IF(P15='Designer Shutter Data'!$GC$11,'Designer Shutter Data'!$GM$47,IF(P15='Designer Shutter Data'!$GC$12,'Designer Shutter Data'!$GN$47,IF(P15='Designer Shutter Data'!$GC$13,'Designer Shutter Data'!$GO$47,IF(P15='Designer Shutter Data'!$GC$14,'Designer Shutter Data'!$GP$47, IF(P15='Designer Shutter Data'!$GC$19,'Designer Shutter Data'!$GD$73, IF(P15='Designer Shutter Data'!$GC$20,'Designer Shutter Data'!$GF$88, IF(M15='Designer Shutter Data'!$F$5,'Designer Shutter Data'!$GE$59, IF(M15='Designer Shutter Data'!$F$6,'Designer Shutter Data'!$GD$59, IF(P15='Designer Shutter Data'!$GC$21,'Designer Shutter Data'!$GF$59,IF(P15='Designer Shutter Data'!$GC$22,'Designer Shutter Data'!$GJ$47,IF(P15='Designer Shutter Data'!$GC$23,'Designer Shutter Data'!$GL$47))))))))))))))))))))</f>
        <v>0</v>
      </c>
      <c r="DN15" s="107" t="str">
        <f t="shared" si="45"/>
        <v/>
      </c>
      <c r="DO15" s="107" t="e">
        <f t="shared" si="46"/>
        <v>#N/A</v>
      </c>
      <c r="DP15" s="107" t="str">
        <f t="shared" si="30"/>
        <v>OK</v>
      </c>
      <c r="DQ15" s="107" t="str">
        <f t="shared" si="31"/>
        <v>OK</v>
      </c>
      <c r="DR15" s="107" t="str">
        <f t="shared" si="32"/>
        <v>OK</v>
      </c>
      <c r="DS15" s="107" t="str">
        <f t="shared" si="33"/>
        <v>OK</v>
      </c>
      <c r="DT15" s="7" t="b">
        <f>IF(E15='Designer Shutter Data'!$GV$2,'Designer Shutter Data'!$GW$2,IF(E15='Designer Shutter Data'!$GV$3,'Designer Shutter Data'!$GX$2,IF(E15='Designer Shutter Data'!$GV$4,'Designer Shutter Data'!$GY$2)))</f>
        <v>0</v>
      </c>
      <c r="DU15" s="40" t="e">
        <f>MATCH(E15,'Designer Shutter Data'!$HB$1:$HD$1,0)</f>
        <v>#N/A</v>
      </c>
      <c r="DV15" s="40" t="e">
        <f>MATCH(M15,'Designer Shutter Data'!$HA$2:$HA$8,0)</f>
        <v>#N/A</v>
      </c>
      <c r="DW15" s="11" t="e">
        <f>INDEX('Designer Shutter Data'!$HB$2:$HD$8,DV15,DU15)</f>
        <v>#N/A</v>
      </c>
      <c r="DX15" s="11" t="b">
        <f>IF(E15='Designer Shutter Data'!$IG$1,'Designer Shutter Data'!$IG$2,IF(E15='Designer Shutter Data'!$IH$1,'Designer Shutter Data'!$IH$2, IF(E15='Designer Shutter Data'!$II$1,'Designer Shutter Data'!$II$2)))</f>
        <v>0</v>
      </c>
      <c r="DY15" s="11" t="str">
        <f>IF(E15="MS",'Designer Shutter Data'!$BI$2,IF(G15='Designer Shutter Data'!$BJ$34,'Designer Shutter Data'!$BJ$35,'Designer Shutter Data'!$BJ$2))</f>
        <v>FauxwoodDesignerWindowType</v>
      </c>
      <c r="DZ15" s="118" t="b">
        <f>IF(M15='Designer Shutter Data'!$F$3,'Designer Shutter Data'!$GF$88, IF(M15='Designer Shutter Data'!$F$4,'Designer Shutter Data'!$GE$59, IF(M15='Designer Shutter Data'!$F$5,'Designer Shutter Data'!$GD$59, IF(M15='Designer Shutter Data'!$F$6,'Designer Shutter Data'!$GD$59, IF(M15='Designer Shutter Data'!$F$7,'Designer Shutter Data'!$GD$73)))))</f>
        <v>0</v>
      </c>
      <c r="EB15" s="6" t="b">
        <f>IF(M15='Designer Shutter Data'!$IT$2,'Designer Shutter Data'!$JA$2, IF(M15='Designer Shutter Data'!$IT$3,'Designer Shutter Data'!$JC$2, IF(M15='Designer Shutter Data'!$IT$4,'Designer Shutter Data'!$JE$2, IF(M15='Designer Shutter Data'!$IT$5,'Designer Shutter Data'!$JG$2, IF(M15='Designer Shutter Data'!$IT$6,'Designer Shutter Data'!$JI$2, IF(M15='Designer Shutter Data'!$IT$7,'Designer Shutter Data'!$JZ$2, IF(M15='Designer Shutter Data'!$IT$8,'Designer Shutter Data'!$JI$16)))))))</f>
        <v>0</v>
      </c>
      <c r="EC15" s="6" t="str">
        <f t="shared" si="34"/>
        <v>NoHighlight</v>
      </c>
      <c r="ED15" s="7" t="e">
        <f>VLOOKUP(M15,'Designer Shutter Data'!$JW$5:$JX$10,2,FALSE)</f>
        <v>#N/A</v>
      </c>
      <c r="EE15" s="7" t="e">
        <f t="shared" si="35"/>
        <v>#N/A</v>
      </c>
      <c r="EF15" s="118" t="e">
        <f>VLOOKUP(O15,'Designer Shutter Data'!$AO$3:$AQ$171,1,FALSE)</f>
        <v>#N/A</v>
      </c>
      <c r="EG15" s="7" t="e">
        <f t="shared" si="36"/>
        <v>#N/A</v>
      </c>
      <c r="EH15" s="6" t="str">
        <f t="shared" si="37"/>
        <v/>
      </c>
      <c r="EJ15" s="40" t="e">
        <f>MATCH(M15,'Designer Shutter Data'!$KD$1:$KI$1,0)</f>
        <v>#N/A</v>
      </c>
      <c r="EK15" s="40" t="e">
        <f>MATCH(P15,'Designer Shutter Data'!$KC$2:$KC$21,0)</f>
        <v>#N/A</v>
      </c>
      <c r="EL15" s="136" t="e">
        <f>INDEX('Designer Shutter Data'!$KD$2:$KI$21,EK15,EJ15)</f>
        <v>#N/A</v>
      </c>
      <c r="EP15" s="6" t="str">
        <f>IF(AC15&lt;&gt;$EO$4,'Designer Shutter Data'!$BR$2,'Designer Shutter Data'!$BR$9)</f>
        <v>Fluffy_Strip_Fauxwood</v>
      </c>
      <c r="ER15" s="6" t="str">
        <f>IF(G15='Designer Shutter Data'!$E$26,'Designer Shutter Data'!$E$27,IF(G15='Designer Shutter Data'!$E$37,'Designer Shutter Data'!$E$38,'Designer Shutter Data'!$E$2))</f>
        <v>FauxwoodDesignerBladeSize</v>
      </c>
      <c r="ET15" s="6" t="str">
        <f t="shared" si="47"/>
        <v>Stile T Post</v>
      </c>
      <c r="EW15" s="40" t="e">
        <f>MATCH(G15,'Designer Shutter Data'!$AV$27:$AV$30,0)</f>
        <v>#N/A</v>
      </c>
      <c r="EX15" s="40" t="e">
        <f>MATCH(AC15,'Designer Shutter Data'!$AW$26:$AX$26,0)</f>
        <v>#N/A</v>
      </c>
      <c r="EY15" s="136" t="e">
        <f>INDEX('Designer Shutter Data'!$AW$27:$AX$30,EW15,EX15)</f>
        <v>#N/A</v>
      </c>
      <c r="EZ15" s="6" t="str">
        <f>IF(G15='Designer Shutter Data'!$S$15,'Designer Shutter Data'!$S$16, IF(G15=$FB$7,'Designer Shutter Data'!$T$15,'Designer Shutter Data'!$S$2))</f>
        <v>FauxwoodDesignerTiltrod</v>
      </c>
      <c r="FA15" s="6" t="e">
        <f>IF(G15=$FB$7,"No",VLOOKUP(L15,'Designer Shutter Data'!$BJ$62:$BK$75,2,FALSE))</f>
        <v>#N/A</v>
      </c>
      <c r="FB15" s="6" t="e">
        <f>IF(FA15="Yes", 'Designer Shutter Data'!$T$2,IF(G15=$FB$7,'Designer Shutter Data'!$T$15,'Designer Shutters Page 2'!EZ15))</f>
        <v>#N/A</v>
      </c>
      <c r="FC15" s="6" t="e">
        <f>MATCH(G15,'Designer Shutter Data'!$IG$15:$IJ$15,0)</f>
        <v>#N/A</v>
      </c>
      <c r="FD15" s="6" t="e">
        <f>MATCH(E15,'Designer Shutter Data'!$IF$16:$IF$18,0)</f>
        <v>#N/A</v>
      </c>
      <c r="FE15" s="6" t="e">
        <f>INDEX('Designer Shutter Data'!$IG$16:$IJ$18, 'Designer Shutters Page 2'!FD15, 'Designer Shutters Page 2'!FC15)</f>
        <v>#N/A</v>
      </c>
      <c r="FH15" s="6" t="str">
        <f t="shared" si="48"/>
        <v>SlidingSystemNA</v>
      </c>
      <c r="FJ15" s="6" t="e">
        <f>VLOOKUP(O15,'Designer Shutter Data'!$KP$2:$KR$44,3,FALSE)</f>
        <v>#N/A</v>
      </c>
      <c r="FL15" s="11" t="b">
        <f>IF(N15=$FL$7,'Designer Shutter Data'!$GH$98,DM15)</f>
        <v>0</v>
      </c>
    </row>
    <row r="16" spans="1:168" ht="36.75" customHeight="1" x14ac:dyDescent="0.2">
      <c r="A16" s="50">
        <v>8</v>
      </c>
      <c r="B16" s="51"/>
      <c r="C16" s="44"/>
      <c r="D16" s="31"/>
      <c r="E16" s="44"/>
      <c r="F16" s="31"/>
      <c r="G16" s="43"/>
      <c r="H16" s="234"/>
      <c r="I16" s="235"/>
      <c r="J16" s="44"/>
      <c r="K16" s="45"/>
      <c r="L16" s="45"/>
      <c r="M16" s="45"/>
      <c r="N16" s="45"/>
      <c r="O16" s="45"/>
      <c r="P16" s="236"/>
      <c r="Q16" s="236"/>
      <c r="R16" s="43"/>
      <c r="S16" s="43"/>
      <c r="T16" s="43"/>
      <c r="U16" s="43"/>
      <c r="V16" s="45"/>
      <c r="W16" s="45"/>
      <c r="X16" s="43"/>
      <c r="Y16" s="46"/>
      <c r="Z16" s="47"/>
      <c r="AA16" s="47"/>
      <c r="AB16" s="47"/>
      <c r="AC16" s="44"/>
      <c r="AD16" s="44"/>
      <c r="AE16" s="48" t="str">
        <f t="shared" si="0"/>
        <v/>
      </c>
      <c r="AI16" s="6">
        <f t="shared" si="38"/>
        <v>0</v>
      </c>
      <c r="AJ16" s="6">
        <f t="shared" si="39"/>
        <v>0</v>
      </c>
      <c r="AK16" s="6">
        <f>IF(O16&lt;&gt;"",VLOOKUP(O16,'Designer Shutter Data'!$KP$2:$KQ$44,2,FALSE),0)</f>
        <v>0</v>
      </c>
      <c r="AT16" s="49" t="str">
        <f t="shared" si="1"/>
        <v/>
      </c>
      <c r="AV16" s="6" t="str">
        <f>IF(G16=$AV$7,'Designer Shutter Data'!$D$38,'Designer Shutter Data'!$D$2)</f>
        <v>FauxwoodDesignerColour</v>
      </c>
      <c r="AW16" s="130" t="e">
        <f t="shared" si="40"/>
        <v>#N/A</v>
      </c>
      <c r="AX16" s="130" t="e">
        <f>VLOOKUP(M16,'Designer Shutter Data'!$JK$2:$JL$7,2,FALSE)</f>
        <v>#N/A</v>
      </c>
      <c r="AY16" s="38" t="b">
        <v>0</v>
      </c>
      <c r="AZ16" s="38" t="str">
        <f t="shared" si="2"/>
        <v>No</v>
      </c>
      <c r="BA16" s="38" t="e">
        <f t="shared" si="3"/>
        <v>#DIV/0!</v>
      </c>
      <c r="BB16" s="38" t="e">
        <f t="shared" si="4"/>
        <v>#DIV/0!</v>
      </c>
      <c r="BC16" s="38" t="e">
        <f t="shared" si="5"/>
        <v>#DIV/0!</v>
      </c>
      <c r="BD16" s="38" t="str">
        <f t="shared" si="6"/>
        <v>No</v>
      </c>
      <c r="BE16" s="38" t="e">
        <f>IF(OR(AND(C16&gt;0,#REF!="")), "Required","NotRequired")</f>
        <v>#REF!</v>
      </c>
      <c r="BF16" s="38" t="b">
        <v>0</v>
      </c>
      <c r="BG16" s="38" t="e">
        <f t="shared" si="41"/>
        <v>#DIV/0!</v>
      </c>
      <c r="BH16" s="39" t="str">
        <f t="shared" si="7"/>
        <v>NoHighlight</v>
      </c>
      <c r="BI16" s="38" t="str">
        <f t="shared" si="8"/>
        <v>FauxwoodRPNo</v>
      </c>
      <c r="BJ16" s="110" t="str">
        <f>IF(SUM(--ISNUMBER(SEARCH({"t","T"}, O16))),"Yes","No")</f>
        <v>No</v>
      </c>
      <c r="BK16" s="127" t="str">
        <f t="shared" si="9"/>
        <v>OK</v>
      </c>
      <c r="BL16" s="127" t="str">
        <f t="shared" si="10"/>
        <v>OK</v>
      </c>
      <c r="BM16" s="127" t="str">
        <f t="shared" si="11"/>
        <v>OK</v>
      </c>
      <c r="BN16" s="39" t="str">
        <f t="shared" si="12"/>
        <v>OK</v>
      </c>
      <c r="BO16" s="39" t="str">
        <f t="shared" si="13"/>
        <v>FauxwoodAINo</v>
      </c>
      <c r="BP16" s="39" t="str">
        <f>IF(SUM(--ISNUMBER(SEARCH({"combo","Combo","COMBO"}, B33))),"Yes","No")</f>
        <v>No</v>
      </c>
      <c r="BQ16" s="39" t="str">
        <f t="shared" si="42"/>
        <v>No</v>
      </c>
      <c r="BR16" s="39" t="str">
        <f>IF(SUM(--ISNUMBER(SEARCH({"c","C","b","B"}, L16))),"Yes","No")</f>
        <v>No</v>
      </c>
      <c r="BS16" s="11">
        <f t="shared" si="14"/>
        <v>0</v>
      </c>
      <c r="BT16" s="11" t="s">
        <v>820</v>
      </c>
      <c r="BU16" s="11" t="s">
        <v>820</v>
      </c>
      <c r="BV16" s="40">
        <f t="shared" si="15"/>
        <v>0</v>
      </c>
      <c r="BW16" s="40">
        <f t="shared" si="16"/>
        <v>0</v>
      </c>
      <c r="BX16" s="11" t="e">
        <f t="shared" si="17"/>
        <v>#DIV/0!</v>
      </c>
      <c r="BY16" s="11" t="b">
        <v>0</v>
      </c>
      <c r="BZ16" s="11" t="b">
        <v>0</v>
      </c>
      <c r="CA16" s="11" t="e">
        <v>#REF!</v>
      </c>
      <c r="CB16" s="11" t="s">
        <v>82</v>
      </c>
      <c r="CC16" s="11" t="e">
        <f t="shared" si="18"/>
        <v>#DIV/0!</v>
      </c>
      <c r="CD16" s="11" t="e">
        <f>VLOOKUP(P16,'Designer Shutter Data'!$H$3:$I$19,2,FALSE)</f>
        <v>#N/A</v>
      </c>
      <c r="CE16" s="11" t="s">
        <v>820</v>
      </c>
      <c r="CF16" s="11" t="str">
        <f>IF(SUM(--ISNUMBER(SEARCH({"z","Z"}, P16))),"Yes","No")</f>
        <v>No</v>
      </c>
      <c r="CG16" s="11" t="str">
        <f t="shared" si="19"/>
        <v>OK</v>
      </c>
      <c r="CH16" s="11">
        <f t="shared" si="20"/>
        <v>0</v>
      </c>
      <c r="CI16" s="120" t="e">
        <f>IF(O16="N/A","N/A",VLOOKUP(O16,'Designer Shutter Data'!$AO$3:$AP$171,2,FALSE))</f>
        <v>#N/A</v>
      </c>
      <c r="CJ16" s="120" t="e">
        <f t="shared" si="21"/>
        <v>#N/A</v>
      </c>
      <c r="CK16" s="40"/>
      <c r="CL16" s="40"/>
      <c r="CM16" s="40"/>
      <c r="CN16" s="41" t="str">
        <f t="shared" si="22"/>
        <v>OK</v>
      </c>
      <c r="CO16" s="129" t="b">
        <f t="shared" si="23"/>
        <v>0</v>
      </c>
      <c r="CP16" s="129" t="b">
        <f t="shared" si="24"/>
        <v>0</v>
      </c>
      <c r="CQ16" s="40">
        <f t="shared" si="25"/>
        <v>0</v>
      </c>
      <c r="CR16" s="133">
        <f t="shared" si="26"/>
        <v>0</v>
      </c>
      <c r="CS16" s="40">
        <f t="shared" si="43"/>
        <v>0</v>
      </c>
      <c r="CT16" s="133" t="e">
        <f t="shared" si="27"/>
        <v>#N/A</v>
      </c>
      <c r="CU16" s="11" t="b">
        <v>0</v>
      </c>
      <c r="CV16" s="11" t="b">
        <v>0</v>
      </c>
      <c r="CW16" s="11" t="b">
        <v>0</v>
      </c>
      <c r="CX16" s="11" t="b">
        <v>0</v>
      </c>
      <c r="CY16" s="40" t="e">
        <f>IF(OR(AND(#REF!&gt;0,#REF!="")), "Error","OK")</f>
        <v>#REF!</v>
      </c>
      <c r="CZ16" s="11" t="e">
        <v>#REF!</v>
      </c>
      <c r="DA16" s="6" t="str">
        <f t="shared" si="28"/>
        <v/>
      </c>
      <c r="DD16" s="6" t="s">
        <v>84</v>
      </c>
      <c r="DE16" s="6" t="b">
        <f>IF(M16='Designer Shutter Data'!$F$3,'Designer Shutter Data'!$FY$7,IF(M16='Designer Shutter Data'!$F$4,'Designer Shutter Data'!$FZ$2,IF(M16='Designer Shutter Data'!$F$5,FJ16, IF(M16='Designer Shutter Data'!$F$6,'Designer Shutter Data'!$GA$2,IF(M16='Designer Shutter Data'!$F$7,'Designer Shutter Data'!$FY$2, IF(M16='Designer Shutter Data'!$F$8,'Designer Shutter Data'!$FZ$7, IF(M16='Designer Shutter Data'!$F$14,'Designer Shutter Data'!$FZ$14)))))))</f>
        <v>0</v>
      </c>
      <c r="DF16" s="6" t="e">
        <f>VLOOKUP(M16,'Designer Shutter Data'!$M$2:$N$8,2,FALSE)</f>
        <v>#N/A</v>
      </c>
      <c r="DH16" s="123" t="e">
        <f>VLOOKUP(O16,'Designer Shutter Data'!$IN$2:$IO$169,2,FALSE)</f>
        <v>#N/A</v>
      </c>
      <c r="DI16" s="103" t="e">
        <f t="shared" si="29"/>
        <v>#N/A</v>
      </c>
      <c r="DJ16" s="103" t="e">
        <f t="shared" si="44"/>
        <v>#N/A</v>
      </c>
      <c r="DK16" s="7" t="b">
        <f>IF(P16='Designer Shutter Data'!$GC$2,'Designer Shutter Data'!$GD$2,IF(P16='Designer Shutter Data'!$GC$3,'Designer Shutter Data'!$GE$2,IF(P16='Designer Shutter Data'!$GC$4,'Designer Shutter Data'!$GF$2,IF(P16='Designer Shutter Data'!$GC$5,'Designer Shutter Data'!$GG$2,IF(P16='Designer Shutter Data'!$GC$6,'Designer Shutter Data'!$GH$2,IF(P16='Designer Shutter Data'!$GC$7,'Designer Shutter Data'!$GI$2,IF(P16='Designer Shutter Data'!$GC$8,'Designer Shutter Data'!$GJ$2,IF(P16='Designer Shutter Data'!$GC$9,'Designer Shutter Data'!$GK$2,IF(P16='Designer Shutter Data'!$GC$10,'Designer Shutter Data'!$GL$2,IF(P16='Designer Shutter Data'!$GC$11,'Designer Shutter Data'!$GM$2,IF(P16='Designer Shutter Data'!$GC$12,'Designer Shutter Data'!$GN$2,IF(P16='Designer Shutter Data'!$GC$13,'Designer Shutter Data'!$GO$2,IF(P16='Designer Shutter Data'!$GC$14,'Designer Shutter Data'!$GP$2,IF(P16='Designer Shutter Data'!$GC$15,'Designer Shutter Data'!$GD$15,IF(P16='Designer Shutter Data'!$GC$16,'Designer Shutter Data'!$GE$15,IF(P16='Designer Shutter Data'!$GC$17,'Designer Shutter Data'!$GF$15,IF(P16='Designer Shutter Data'!$GC$18,'Designer Shutter Data'!$GG$15,IF(P16='Designer Shutter Data'!$GC$19,'Designer Shutter Data'!$GD$73,IF(P16='Designer Shutter Data'!$GC$20,'Designer Shutter Data'!$GD$88, IF(P16='Designer Shutter Data'!$GC$21,'Designer Shutter Data'!$GH$15, IF(P16='Designer Shutter Data'!$GC$22,'Designer Shutter Data'!$GJ$2, IF(P16='Designer Shutter Data'!$GC$23,'Designer Shutter Data'!$GL$2))))))))))))))))))))))</f>
        <v>0</v>
      </c>
      <c r="DL16" s="7" t="b">
        <f>IF(P16='Designer Shutter Data'!$GC$2,'Designer Shutter Data'!$GD$25,IF(P16='Designer Shutter Data'!$GC$3,'Designer Shutter Data'!$GE$25,IF(P16='Designer Shutter Data'!$GC$4,'Designer Shutter Data'!$GF$25,IF(P16='Designer Shutter Data'!$GC$5,'Designer Shutter Data'!$GG$25,IF(P16='Designer Shutter Data'!$GC$6,'Designer Shutter Data'!$GH$25,IF(P16='Designer Shutter Data'!$GC$7,'Designer Shutter Data'!$GI$25,IF(P16='Designer Shutter Data'!$GC$8,'Designer Shutter Data'!$GJ$25,IF(P16='Designer Shutter Data'!$GC$9,'Designer Shutter Data'!$GK$25,IF(P16='Designer Shutter Data'!$GC$10,'Designer Shutter Data'!$GL$25,IF(P16='Designer Shutter Data'!$GC$11,'Designer Shutter Data'!$GM$25,IF(P16='Designer Shutter Data'!$GC$12,'Designer Shutter Data'!$GN$25,IF(P16='Designer Shutter Data'!$GC$13,'Designer Shutter Data'!$GO$25,IF(P16='Designer Shutter Data'!$GC$14,'Designer Shutter Data'!$GP$25,IF(P16='Designer Shutter Data'!$GC$15,'Designer Shutter Data'!$GD$37,IF(P16='Designer Shutter Data'!$GC$15,'Designer Shutter Data'!$GD$37,IF(P16='Designer Shutter Data'!$GC$16,'Designer Shutter Data'!$GE$37,IF(P16='Designer Shutter Data'!$GC$17,'Designer Shutter Data'!$GF$37,IF(P16='Designer Shutter Data'!$GC$18,'Designer Shutter Data'!$GG$37, IF(P16='Designer Shutter Data'!$GC$19,'Designer Shutter Data'!$GD$73, IF(P16='Designer Shutter Data'!$GC$20,'Designer Shutter Data'!$GE$88, IF(P16='Designer Shutter Data'!$GC$21,'Designer Shutter Data'!$GH$37,IF(P16='Designer Shutter Data'!$GC$22,'Designer Shutter Data'!$GJ$25,IF(P16='Designer Shutter Data'!$GC$23,'Designer Shutter Data'!$GL$25)))))))))))))))))))))))</f>
        <v>0</v>
      </c>
      <c r="DM16" s="118" t="b">
        <f>IF(P16='Designer Shutter Data'!$GC$2,'Designer Shutter Data'!$GD$47,IF(P16='Designer Shutter Data'!$GC$3,'Designer Shutter Data'!$GE$47,IF(P16='Designer Shutter Data'!$GC$4,'Designer Shutter Data'!$GF$47,IF(P16='Designer Shutter Data'!$GC$5,'Designer Shutter Data'!$GG$47,IF(P16='Designer Shutter Data'!$GC$6,'Designer Shutter Data'!$GH$47,IF(P16='Designer Shutter Data'!$GC$7,'Designer Shutter Data'!$GI$47,IF(P16='Designer Shutter Data'!$GC$8,'Designer Shutter Data'!$GJ$47,IF(P16='Designer Shutter Data'!$GC$9,'Designer Shutter Data'!$GK$47,IF(P16='Designer Shutter Data'!$GC$10,'Designer Shutter Data'!$GL$47,IF(P16='Designer Shutter Data'!$GC$11,'Designer Shutter Data'!$GM$47,IF(P16='Designer Shutter Data'!$GC$12,'Designer Shutter Data'!$GN$47,IF(P16='Designer Shutter Data'!$GC$13,'Designer Shutter Data'!$GO$47,IF(P16='Designer Shutter Data'!$GC$14,'Designer Shutter Data'!$GP$47, IF(P16='Designer Shutter Data'!$GC$19,'Designer Shutter Data'!$GD$73, IF(P16='Designer Shutter Data'!$GC$20,'Designer Shutter Data'!$GF$88, IF(M16='Designer Shutter Data'!$F$5,'Designer Shutter Data'!$GE$59, IF(M16='Designer Shutter Data'!$F$6,'Designer Shutter Data'!$GD$59, IF(P16='Designer Shutter Data'!$GC$21,'Designer Shutter Data'!$GF$59,IF(P16='Designer Shutter Data'!$GC$22,'Designer Shutter Data'!$GJ$47,IF(P16='Designer Shutter Data'!$GC$23,'Designer Shutter Data'!$GL$47))))))))))))))))))))</f>
        <v>0</v>
      </c>
      <c r="DN16" s="107" t="str">
        <f t="shared" si="45"/>
        <v/>
      </c>
      <c r="DO16" s="107" t="e">
        <f t="shared" si="46"/>
        <v>#N/A</v>
      </c>
      <c r="DP16" s="107" t="str">
        <f t="shared" si="30"/>
        <v>OK</v>
      </c>
      <c r="DQ16" s="107" t="str">
        <f t="shared" si="31"/>
        <v>OK</v>
      </c>
      <c r="DR16" s="107" t="str">
        <f t="shared" si="32"/>
        <v>OK</v>
      </c>
      <c r="DS16" s="107" t="str">
        <f t="shared" si="33"/>
        <v>OK</v>
      </c>
      <c r="DT16" s="7" t="b">
        <f>IF(E16='Designer Shutter Data'!$GV$2,'Designer Shutter Data'!$GW$2,IF(E16='Designer Shutter Data'!$GV$3,'Designer Shutter Data'!$GX$2,IF(E16='Designer Shutter Data'!$GV$4,'Designer Shutter Data'!$GY$2)))</f>
        <v>0</v>
      </c>
      <c r="DU16" s="40" t="e">
        <f>MATCH(E16,'Designer Shutter Data'!$HB$1:$HD$1,0)</f>
        <v>#N/A</v>
      </c>
      <c r="DV16" s="40" t="e">
        <f>MATCH(M16,'Designer Shutter Data'!$HA$2:$HA$8,0)</f>
        <v>#N/A</v>
      </c>
      <c r="DW16" s="11" t="e">
        <f>INDEX('Designer Shutter Data'!$HB$2:$HD$8,DV16,DU16)</f>
        <v>#N/A</v>
      </c>
      <c r="DX16" s="11" t="b">
        <f>IF(E16='Designer Shutter Data'!$IG$1,'Designer Shutter Data'!$IG$2,IF(E16='Designer Shutter Data'!$IH$1,'Designer Shutter Data'!$IH$2, IF(E16='Designer Shutter Data'!$II$1,'Designer Shutter Data'!$II$2)))</f>
        <v>0</v>
      </c>
      <c r="DY16" s="11" t="str">
        <f>IF(E16="MS",'Designer Shutter Data'!$BI$2,IF(G16='Designer Shutter Data'!$BJ$34,'Designer Shutter Data'!$BJ$35,'Designer Shutter Data'!$BJ$2))</f>
        <v>FauxwoodDesignerWindowType</v>
      </c>
      <c r="DZ16" s="118" t="b">
        <f>IF(M16='Designer Shutter Data'!$F$3,'Designer Shutter Data'!$GF$88, IF(M16='Designer Shutter Data'!$F$4,'Designer Shutter Data'!$GE$59, IF(M16='Designer Shutter Data'!$F$5,'Designer Shutter Data'!$GD$59, IF(M16='Designer Shutter Data'!$F$6,'Designer Shutter Data'!$GD$59, IF(M16='Designer Shutter Data'!$F$7,'Designer Shutter Data'!$GD$73)))))</f>
        <v>0</v>
      </c>
      <c r="EB16" s="6" t="b">
        <f>IF(M16='Designer Shutter Data'!$IT$2,'Designer Shutter Data'!$JA$2, IF(M16='Designer Shutter Data'!$IT$3,'Designer Shutter Data'!$JC$2, IF(M16='Designer Shutter Data'!$IT$4,'Designer Shutter Data'!$JE$2, IF(M16='Designer Shutter Data'!$IT$5,'Designer Shutter Data'!$JG$2, IF(M16='Designer Shutter Data'!$IT$6,'Designer Shutter Data'!$JI$2, IF(M16='Designer Shutter Data'!$IT$7,'Designer Shutter Data'!$JZ$2, IF(M16='Designer Shutter Data'!$IT$8,'Designer Shutter Data'!$JI$16)))))))</f>
        <v>0</v>
      </c>
      <c r="EC16" s="6" t="str">
        <f t="shared" si="34"/>
        <v>NoHighlight</v>
      </c>
      <c r="ED16" s="7" t="e">
        <f>VLOOKUP(M16,'Designer Shutter Data'!$JW$5:$JX$10,2,FALSE)</f>
        <v>#N/A</v>
      </c>
      <c r="EE16" s="7" t="e">
        <f t="shared" si="35"/>
        <v>#N/A</v>
      </c>
      <c r="EF16" s="118" t="e">
        <f>VLOOKUP(O16,'Designer Shutter Data'!$AO$3:$AQ$171,1,FALSE)</f>
        <v>#N/A</v>
      </c>
      <c r="EG16" s="7" t="e">
        <f t="shared" si="36"/>
        <v>#N/A</v>
      </c>
      <c r="EH16" s="6" t="str">
        <f t="shared" si="37"/>
        <v/>
      </c>
      <c r="EJ16" s="40" t="e">
        <f>MATCH(M16,'Designer Shutter Data'!$KD$1:$KI$1,0)</f>
        <v>#N/A</v>
      </c>
      <c r="EK16" s="40" t="e">
        <f>MATCH(P16,'Designer Shutter Data'!$KC$2:$KC$21,0)</f>
        <v>#N/A</v>
      </c>
      <c r="EL16" s="136" t="e">
        <f>INDEX('Designer Shutter Data'!$KD$2:$KI$21,EK16,EJ16)</f>
        <v>#N/A</v>
      </c>
      <c r="EP16" s="6" t="str">
        <f>IF(AC16&lt;&gt;$EO$4,'Designer Shutter Data'!$BR$2,'Designer Shutter Data'!$BR$9)</f>
        <v>Fluffy_Strip_Fauxwood</v>
      </c>
      <c r="ER16" s="6" t="str">
        <f>IF(G16='Designer Shutter Data'!$E$26,'Designer Shutter Data'!$E$27,IF(G16='Designer Shutter Data'!$E$37,'Designer Shutter Data'!$E$38,'Designer Shutter Data'!$E$2))</f>
        <v>FauxwoodDesignerBladeSize</v>
      </c>
      <c r="ET16" s="6" t="str">
        <f t="shared" si="47"/>
        <v>Stile T Post</v>
      </c>
      <c r="EW16" s="40" t="e">
        <f>MATCH(G16,'Designer Shutter Data'!$AV$27:$AV$30,0)</f>
        <v>#N/A</v>
      </c>
      <c r="EX16" s="40" t="e">
        <f>MATCH(AC16,'Designer Shutter Data'!$AW$26:$AX$26,0)</f>
        <v>#N/A</v>
      </c>
      <c r="EY16" s="136" t="e">
        <f>INDEX('Designer Shutter Data'!$AW$27:$AX$30,EW16,EX16)</f>
        <v>#N/A</v>
      </c>
      <c r="EZ16" s="6" t="str">
        <f>IF(G16='Designer Shutter Data'!$S$15,'Designer Shutter Data'!$S$16, IF(G16=$FB$7,'Designer Shutter Data'!$T$15,'Designer Shutter Data'!$S$2))</f>
        <v>FauxwoodDesignerTiltrod</v>
      </c>
      <c r="FA16" s="6" t="e">
        <f>IF(G16=$FB$7,"No",VLOOKUP(L16,'Designer Shutter Data'!$BJ$62:$BK$75,2,FALSE))</f>
        <v>#N/A</v>
      </c>
      <c r="FB16" s="6" t="e">
        <f>IF(FA16="Yes", 'Designer Shutter Data'!$T$2,IF(G16=$FB$7,'Designer Shutter Data'!$T$15,'Designer Shutters Page 2'!EZ16))</f>
        <v>#N/A</v>
      </c>
      <c r="FC16" s="6" t="e">
        <f>MATCH(G16,'Designer Shutter Data'!$IG$15:$IJ$15,0)</f>
        <v>#N/A</v>
      </c>
      <c r="FD16" s="6" t="e">
        <f>MATCH(E16,'Designer Shutter Data'!$IF$16:$IF$18,0)</f>
        <v>#N/A</v>
      </c>
      <c r="FE16" s="6" t="e">
        <f>INDEX('Designer Shutter Data'!$IG$16:$IJ$18, 'Designer Shutters Page 2'!FD16, 'Designer Shutters Page 2'!FC16)</f>
        <v>#N/A</v>
      </c>
      <c r="FH16" s="6" t="str">
        <f t="shared" si="48"/>
        <v>SlidingSystemNA</v>
      </c>
      <c r="FJ16" s="6" t="e">
        <f>VLOOKUP(O16,'Designer Shutter Data'!$KP$2:$KR$44,3,FALSE)</f>
        <v>#N/A</v>
      </c>
      <c r="FL16" s="11" t="b">
        <f>IF(N16=$FL$7,'Designer Shutter Data'!$GH$98,DM16)</f>
        <v>0</v>
      </c>
    </row>
    <row r="17" spans="1:168" ht="36.75" customHeight="1" x14ac:dyDescent="0.2">
      <c r="A17" s="50">
        <v>9</v>
      </c>
      <c r="B17" s="51"/>
      <c r="C17" s="44"/>
      <c r="D17" s="31"/>
      <c r="E17" s="44"/>
      <c r="F17" s="31"/>
      <c r="G17" s="43"/>
      <c r="H17" s="234"/>
      <c r="I17" s="235"/>
      <c r="J17" s="44"/>
      <c r="K17" s="45"/>
      <c r="L17" s="45"/>
      <c r="M17" s="45"/>
      <c r="N17" s="45"/>
      <c r="O17" s="45"/>
      <c r="P17" s="236"/>
      <c r="Q17" s="236"/>
      <c r="R17" s="43"/>
      <c r="S17" s="43"/>
      <c r="T17" s="43"/>
      <c r="U17" s="43"/>
      <c r="V17" s="45"/>
      <c r="W17" s="45"/>
      <c r="X17" s="43"/>
      <c r="Y17" s="46"/>
      <c r="Z17" s="47"/>
      <c r="AA17" s="47"/>
      <c r="AB17" s="47"/>
      <c r="AC17" s="44"/>
      <c r="AD17" s="44"/>
      <c r="AE17" s="48" t="str">
        <f t="shared" si="0"/>
        <v/>
      </c>
      <c r="AI17" s="6">
        <f t="shared" si="38"/>
        <v>0</v>
      </c>
      <c r="AJ17" s="6">
        <f t="shared" si="39"/>
        <v>0</v>
      </c>
      <c r="AK17" s="6">
        <f>IF(O17&lt;&gt;"",VLOOKUP(O17,'Designer Shutter Data'!$KP$2:$KQ$44,2,FALSE),0)</f>
        <v>0</v>
      </c>
      <c r="AT17" s="49" t="str">
        <f t="shared" si="1"/>
        <v/>
      </c>
      <c r="AV17" s="6" t="str">
        <f>IF(G17=$AV$7,'Designer Shutter Data'!$D$38,'Designer Shutter Data'!$D$2)</f>
        <v>FauxwoodDesignerColour</v>
      </c>
      <c r="AW17" s="130" t="e">
        <f t="shared" si="40"/>
        <v>#N/A</v>
      </c>
      <c r="AX17" s="130" t="e">
        <f>VLOOKUP(M17,'Designer Shutter Data'!$JK$2:$JL$7,2,FALSE)</f>
        <v>#N/A</v>
      </c>
      <c r="AY17" s="38" t="b">
        <v>0</v>
      </c>
      <c r="AZ17" s="38" t="str">
        <f t="shared" si="2"/>
        <v>No</v>
      </c>
      <c r="BA17" s="38" t="e">
        <f t="shared" si="3"/>
        <v>#DIV/0!</v>
      </c>
      <c r="BB17" s="38" t="e">
        <f t="shared" si="4"/>
        <v>#DIV/0!</v>
      </c>
      <c r="BC17" s="38" t="e">
        <f t="shared" si="5"/>
        <v>#DIV/0!</v>
      </c>
      <c r="BD17" s="38" t="str">
        <f t="shared" si="6"/>
        <v>No</v>
      </c>
      <c r="BE17" s="38" t="e">
        <f>IF(OR(AND(C17&gt;0,#REF!="")), "Required","NotRequired")</f>
        <v>#REF!</v>
      </c>
      <c r="BF17" s="38" t="b">
        <v>0</v>
      </c>
      <c r="BG17" s="38" t="e">
        <f t="shared" si="41"/>
        <v>#DIV/0!</v>
      </c>
      <c r="BH17" s="39" t="str">
        <f t="shared" si="7"/>
        <v>NoHighlight</v>
      </c>
      <c r="BI17" s="38" t="str">
        <f t="shared" si="8"/>
        <v>FauxwoodRPNo</v>
      </c>
      <c r="BJ17" s="110" t="str">
        <f>IF(SUM(--ISNUMBER(SEARCH({"t","T"}, O17))),"Yes","No")</f>
        <v>No</v>
      </c>
      <c r="BK17" s="127" t="str">
        <f t="shared" si="9"/>
        <v>OK</v>
      </c>
      <c r="BL17" s="127" t="str">
        <f t="shared" si="10"/>
        <v>OK</v>
      </c>
      <c r="BM17" s="127" t="str">
        <f t="shared" si="11"/>
        <v>OK</v>
      </c>
      <c r="BN17" s="39" t="str">
        <f t="shared" si="12"/>
        <v>OK</v>
      </c>
      <c r="BO17" s="39" t="str">
        <f t="shared" si="13"/>
        <v>FauxwoodAINo</v>
      </c>
      <c r="BP17" s="39" t="str">
        <f>IF(SUM(--ISNUMBER(SEARCH({"combo","Combo","COMBO"}, B34))),"Yes","No")</f>
        <v>No</v>
      </c>
      <c r="BQ17" s="39" t="str">
        <f t="shared" si="42"/>
        <v>No</v>
      </c>
      <c r="BR17" s="39" t="str">
        <f>IF(SUM(--ISNUMBER(SEARCH({"c","C","b","B"}, L17))),"Yes","No")</f>
        <v>No</v>
      </c>
      <c r="BS17" s="11">
        <f t="shared" si="14"/>
        <v>0</v>
      </c>
      <c r="BT17" s="11" t="s">
        <v>820</v>
      </c>
      <c r="BU17" s="11" t="s">
        <v>820</v>
      </c>
      <c r="BV17" s="40">
        <f t="shared" si="15"/>
        <v>0</v>
      </c>
      <c r="BW17" s="40">
        <f t="shared" si="16"/>
        <v>0</v>
      </c>
      <c r="BX17" s="11" t="e">
        <f t="shared" si="17"/>
        <v>#DIV/0!</v>
      </c>
      <c r="BY17" s="11" t="b">
        <v>0</v>
      </c>
      <c r="BZ17" s="11" t="b">
        <v>0</v>
      </c>
      <c r="CA17" s="11" t="e">
        <v>#REF!</v>
      </c>
      <c r="CB17" s="11" t="s">
        <v>82</v>
      </c>
      <c r="CC17" s="11" t="e">
        <f t="shared" si="18"/>
        <v>#DIV/0!</v>
      </c>
      <c r="CD17" s="11" t="e">
        <f>VLOOKUP(P17,'Designer Shutter Data'!$H$3:$I$19,2,FALSE)</f>
        <v>#N/A</v>
      </c>
      <c r="CE17" s="11" t="s">
        <v>820</v>
      </c>
      <c r="CF17" s="11" t="str">
        <f>IF(SUM(--ISNUMBER(SEARCH({"z","Z"}, P17))),"Yes","No")</f>
        <v>No</v>
      </c>
      <c r="CG17" s="11" t="str">
        <f t="shared" si="19"/>
        <v>OK</v>
      </c>
      <c r="CH17" s="11">
        <f t="shared" si="20"/>
        <v>0</v>
      </c>
      <c r="CI17" s="120" t="e">
        <f>IF(O17="N/A","N/A",VLOOKUP(O17,'Designer Shutter Data'!$AO$3:$AP$171,2,FALSE))</f>
        <v>#N/A</v>
      </c>
      <c r="CJ17" s="120" t="e">
        <f t="shared" si="21"/>
        <v>#N/A</v>
      </c>
      <c r="CK17" s="40"/>
      <c r="CL17" s="40"/>
      <c r="CM17" s="40"/>
      <c r="CN17" s="41" t="str">
        <f t="shared" si="22"/>
        <v>OK</v>
      </c>
      <c r="CO17" s="129" t="b">
        <f t="shared" si="23"/>
        <v>0</v>
      </c>
      <c r="CP17" s="129" t="b">
        <f t="shared" si="24"/>
        <v>0</v>
      </c>
      <c r="CQ17" s="40">
        <f t="shared" si="25"/>
        <v>0</v>
      </c>
      <c r="CR17" s="133">
        <f t="shared" si="26"/>
        <v>0</v>
      </c>
      <c r="CS17" s="40">
        <f t="shared" si="43"/>
        <v>0</v>
      </c>
      <c r="CT17" s="133" t="e">
        <f t="shared" si="27"/>
        <v>#N/A</v>
      </c>
      <c r="CU17" s="11" t="b">
        <v>0</v>
      </c>
      <c r="CV17" s="11" t="b">
        <v>0</v>
      </c>
      <c r="CW17" s="11" t="b">
        <v>0</v>
      </c>
      <c r="CX17" s="11" t="b">
        <v>0</v>
      </c>
      <c r="CY17" s="40" t="e">
        <f>IF(OR(AND(#REF!&gt;0,#REF!="")), "Error","OK")</f>
        <v>#REF!</v>
      </c>
      <c r="CZ17" s="11" t="e">
        <v>#REF!</v>
      </c>
      <c r="DA17" s="6" t="str">
        <f t="shared" si="28"/>
        <v/>
      </c>
      <c r="DD17" s="6" t="s">
        <v>84</v>
      </c>
      <c r="DE17" s="6" t="b">
        <f>IF(M17='Designer Shutter Data'!$F$3,'Designer Shutter Data'!$FY$7,IF(M17='Designer Shutter Data'!$F$4,'Designer Shutter Data'!$FZ$2,IF(M17='Designer Shutter Data'!$F$5,FJ17, IF(M17='Designer Shutter Data'!$F$6,'Designer Shutter Data'!$GA$2,IF(M17='Designer Shutter Data'!$F$7,'Designer Shutter Data'!$FY$2, IF(M17='Designer Shutter Data'!$F$8,'Designer Shutter Data'!$FZ$7, IF(M17='Designer Shutter Data'!$F$14,'Designer Shutter Data'!$FZ$14)))))))</f>
        <v>0</v>
      </c>
      <c r="DF17" s="6" t="e">
        <f>VLOOKUP(M17,'Designer Shutter Data'!$M$2:$N$8,2,FALSE)</f>
        <v>#N/A</v>
      </c>
      <c r="DH17" s="123" t="e">
        <f>VLOOKUP(O17,'Designer Shutter Data'!$IN$2:$IO$169,2,FALSE)</f>
        <v>#N/A</v>
      </c>
      <c r="DI17" s="103" t="e">
        <f t="shared" si="29"/>
        <v>#N/A</v>
      </c>
      <c r="DJ17" s="103" t="e">
        <f t="shared" si="44"/>
        <v>#N/A</v>
      </c>
      <c r="DK17" s="7" t="b">
        <f>IF(P17='Designer Shutter Data'!$GC$2,'Designer Shutter Data'!$GD$2,IF(P17='Designer Shutter Data'!$GC$3,'Designer Shutter Data'!$GE$2,IF(P17='Designer Shutter Data'!$GC$4,'Designer Shutter Data'!$GF$2,IF(P17='Designer Shutter Data'!$GC$5,'Designer Shutter Data'!$GG$2,IF(P17='Designer Shutter Data'!$GC$6,'Designer Shutter Data'!$GH$2,IF(P17='Designer Shutter Data'!$GC$7,'Designer Shutter Data'!$GI$2,IF(P17='Designer Shutter Data'!$GC$8,'Designer Shutter Data'!$GJ$2,IF(P17='Designer Shutter Data'!$GC$9,'Designer Shutter Data'!$GK$2,IF(P17='Designer Shutter Data'!$GC$10,'Designer Shutter Data'!$GL$2,IF(P17='Designer Shutter Data'!$GC$11,'Designer Shutter Data'!$GM$2,IF(P17='Designer Shutter Data'!$GC$12,'Designer Shutter Data'!$GN$2,IF(P17='Designer Shutter Data'!$GC$13,'Designer Shutter Data'!$GO$2,IF(P17='Designer Shutter Data'!$GC$14,'Designer Shutter Data'!$GP$2,IF(P17='Designer Shutter Data'!$GC$15,'Designer Shutter Data'!$GD$15,IF(P17='Designer Shutter Data'!$GC$16,'Designer Shutter Data'!$GE$15,IF(P17='Designer Shutter Data'!$GC$17,'Designer Shutter Data'!$GF$15,IF(P17='Designer Shutter Data'!$GC$18,'Designer Shutter Data'!$GG$15,IF(P17='Designer Shutter Data'!$GC$19,'Designer Shutter Data'!$GD$73,IF(P17='Designer Shutter Data'!$GC$20,'Designer Shutter Data'!$GD$88, IF(P17='Designer Shutter Data'!$GC$21,'Designer Shutter Data'!$GH$15, IF(P17='Designer Shutter Data'!$GC$22,'Designer Shutter Data'!$GJ$2, IF(P17='Designer Shutter Data'!$GC$23,'Designer Shutter Data'!$GL$2))))))))))))))))))))))</f>
        <v>0</v>
      </c>
      <c r="DL17" s="7" t="b">
        <f>IF(P17='Designer Shutter Data'!$GC$2,'Designer Shutter Data'!$GD$25,IF(P17='Designer Shutter Data'!$GC$3,'Designer Shutter Data'!$GE$25,IF(P17='Designer Shutter Data'!$GC$4,'Designer Shutter Data'!$GF$25,IF(P17='Designer Shutter Data'!$GC$5,'Designer Shutter Data'!$GG$25,IF(P17='Designer Shutter Data'!$GC$6,'Designer Shutter Data'!$GH$25,IF(P17='Designer Shutter Data'!$GC$7,'Designer Shutter Data'!$GI$25,IF(P17='Designer Shutter Data'!$GC$8,'Designer Shutter Data'!$GJ$25,IF(P17='Designer Shutter Data'!$GC$9,'Designer Shutter Data'!$GK$25,IF(P17='Designer Shutter Data'!$GC$10,'Designer Shutter Data'!$GL$25,IF(P17='Designer Shutter Data'!$GC$11,'Designer Shutter Data'!$GM$25,IF(P17='Designer Shutter Data'!$GC$12,'Designer Shutter Data'!$GN$25,IF(P17='Designer Shutter Data'!$GC$13,'Designer Shutter Data'!$GO$25,IF(P17='Designer Shutter Data'!$GC$14,'Designer Shutter Data'!$GP$25,IF(P17='Designer Shutter Data'!$GC$15,'Designer Shutter Data'!$GD$37,IF(P17='Designer Shutter Data'!$GC$15,'Designer Shutter Data'!$GD$37,IF(P17='Designer Shutter Data'!$GC$16,'Designer Shutter Data'!$GE$37,IF(P17='Designer Shutter Data'!$GC$17,'Designer Shutter Data'!$GF$37,IF(P17='Designer Shutter Data'!$GC$18,'Designer Shutter Data'!$GG$37, IF(P17='Designer Shutter Data'!$GC$19,'Designer Shutter Data'!$GD$73, IF(P17='Designer Shutter Data'!$GC$20,'Designer Shutter Data'!$GE$88, IF(P17='Designer Shutter Data'!$GC$21,'Designer Shutter Data'!$GH$37,IF(P17='Designer Shutter Data'!$GC$22,'Designer Shutter Data'!$GJ$25,IF(P17='Designer Shutter Data'!$GC$23,'Designer Shutter Data'!$GL$25)))))))))))))))))))))))</f>
        <v>0</v>
      </c>
      <c r="DM17" s="118" t="b">
        <f>IF(P17='Designer Shutter Data'!$GC$2,'Designer Shutter Data'!$GD$47,IF(P17='Designer Shutter Data'!$GC$3,'Designer Shutter Data'!$GE$47,IF(P17='Designer Shutter Data'!$GC$4,'Designer Shutter Data'!$GF$47,IF(P17='Designer Shutter Data'!$GC$5,'Designer Shutter Data'!$GG$47,IF(P17='Designer Shutter Data'!$GC$6,'Designer Shutter Data'!$GH$47,IF(P17='Designer Shutter Data'!$GC$7,'Designer Shutter Data'!$GI$47,IF(P17='Designer Shutter Data'!$GC$8,'Designer Shutter Data'!$GJ$47,IF(P17='Designer Shutter Data'!$GC$9,'Designer Shutter Data'!$GK$47,IF(P17='Designer Shutter Data'!$GC$10,'Designer Shutter Data'!$GL$47,IF(P17='Designer Shutter Data'!$GC$11,'Designer Shutter Data'!$GM$47,IF(P17='Designer Shutter Data'!$GC$12,'Designer Shutter Data'!$GN$47,IF(P17='Designer Shutter Data'!$GC$13,'Designer Shutter Data'!$GO$47,IF(P17='Designer Shutter Data'!$GC$14,'Designer Shutter Data'!$GP$47, IF(P17='Designer Shutter Data'!$GC$19,'Designer Shutter Data'!$GD$73, IF(P17='Designer Shutter Data'!$GC$20,'Designer Shutter Data'!$GF$88, IF(M17='Designer Shutter Data'!$F$5,'Designer Shutter Data'!$GE$59, IF(M17='Designer Shutter Data'!$F$6,'Designer Shutter Data'!$GD$59, IF(P17='Designer Shutter Data'!$GC$21,'Designer Shutter Data'!$GF$59,IF(P17='Designer Shutter Data'!$GC$22,'Designer Shutter Data'!$GJ$47,IF(P17='Designer Shutter Data'!$GC$23,'Designer Shutter Data'!$GL$47))))))))))))))))))))</f>
        <v>0</v>
      </c>
      <c r="DN17" s="107" t="str">
        <f t="shared" si="45"/>
        <v/>
      </c>
      <c r="DO17" s="107" t="e">
        <f t="shared" si="46"/>
        <v>#N/A</v>
      </c>
      <c r="DP17" s="107" t="str">
        <f t="shared" si="30"/>
        <v>OK</v>
      </c>
      <c r="DQ17" s="107" t="str">
        <f t="shared" si="31"/>
        <v>OK</v>
      </c>
      <c r="DR17" s="107" t="str">
        <f t="shared" si="32"/>
        <v>OK</v>
      </c>
      <c r="DS17" s="107" t="str">
        <f t="shared" si="33"/>
        <v>OK</v>
      </c>
      <c r="DT17" s="7" t="b">
        <f>IF(E17='Designer Shutter Data'!$GV$2,'Designer Shutter Data'!$GW$2,IF(E17='Designer Shutter Data'!$GV$3,'Designer Shutter Data'!$GX$2,IF(E17='Designer Shutter Data'!$GV$4,'Designer Shutter Data'!$GY$2)))</f>
        <v>0</v>
      </c>
      <c r="DU17" s="40" t="e">
        <f>MATCH(E17,'Designer Shutter Data'!$HB$1:$HD$1,0)</f>
        <v>#N/A</v>
      </c>
      <c r="DV17" s="40" t="e">
        <f>MATCH(M17,'Designer Shutter Data'!$HA$2:$HA$8,0)</f>
        <v>#N/A</v>
      </c>
      <c r="DW17" s="11" t="e">
        <f>INDEX('Designer Shutter Data'!$HB$2:$HD$8,DV17,DU17)</f>
        <v>#N/A</v>
      </c>
      <c r="DX17" s="11" t="b">
        <f>IF(E17='Designer Shutter Data'!$IG$1,'Designer Shutter Data'!$IG$2,IF(E17='Designer Shutter Data'!$IH$1,'Designer Shutter Data'!$IH$2, IF(E17='Designer Shutter Data'!$II$1,'Designer Shutter Data'!$II$2)))</f>
        <v>0</v>
      </c>
      <c r="DY17" s="11" t="str">
        <f>IF(E17="MS",'Designer Shutter Data'!$BI$2,IF(G17='Designer Shutter Data'!$BJ$34,'Designer Shutter Data'!$BJ$35,'Designer Shutter Data'!$BJ$2))</f>
        <v>FauxwoodDesignerWindowType</v>
      </c>
      <c r="DZ17" s="118" t="b">
        <f>IF(M17='Designer Shutter Data'!$F$3,'Designer Shutter Data'!$GF$88, IF(M17='Designer Shutter Data'!$F$4,'Designer Shutter Data'!$GE$59, IF(M17='Designer Shutter Data'!$F$5,'Designer Shutter Data'!$GD$59, IF(M17='Designer Shutter Data'!$F$6,'Designer Shutter Data'!$GD$59, IF(M17='Designer Shutter Data'!$F$7,'Designer Shutter Data'!$GD$73)))))</f>
        <v>0</v>
      </c>
      <c r="EB17" s="6" t="b">
        <f>IF(M17='Designer Shutter Data'!$IT$2,'Designer Shutter Data'!$JA$2, IF(M17='Designer Shutter Data'!$IT$3,'Designer Shutter Data'!$JC$2, IF(M17='Designer Shutter Data'!$IT$4,'Designer Shutter Data'!$JE$2, IF(M17='Designer Shutter Data'!$IT$5,'Designer Shutter Data'!$JG$2, IF(M17='Designer Shutter Data'!$IT$6,'Designer Shutter Data'!$JI$2, IF(M17='Designer Shutter Data'!$IT$7,'Designer Shutter Data'!$JZ$2, IF(M17='Designer Shutter Data'!$IT$8,'Designer Shutter Data'!$JI$16)))))))</f>
        <v>0</v>
      </c>
      <c r="EC17" s="6" t="str">
        <f t="shared" si="34"/>
        <v>NoHighlight</v>
      </c>
      <c r="ED17" s="7" t="e">
        <f>VLOOKUP(M17,'Designer Shutter Data'!$JW$5:$JX$10,2,FALSE)</f>
        <v>#N/A</v>
      </c>
      <c r="EE17" s="7" t="e">
        <f t="shared" si="35"/>
        <v>#N/A</v>
      </c>
      <c r="EF17" s="118" t="e">
        <f>VLOOKUP(O17,'Designer Shutter Data'!$AO$3:$AQ$171,1,FALSE)</f>
        <v>#N/A</v>
      </c>
      <c r="EG17" s="7" t="e">
        <f t="shared" si="36"/>
        <v>#N/A</v>
      </c>
      <c r="EH17" s="6" t="str">
        <f t="shared" si="37"/>
        <v/>
      </c>
      <c r="EJ17" s="40" t="e">
        <f>MATCH(M17,'Designer Shutter Data'!$KD$1:$KI$1,0)</f>
        <v>#N/A</v>
      </c>
      <c r="EK17" s="40" t="e">
        <f>MATCH(P17,'Designer Shutter Data'!$KC$2:$KC$21,0)</f>
        <v>#N/A</v>
      </c>
      <c r="EL17" s="136" t="e">
        <f>INDEX('Designer Shutter Data'!$KD$2:$KI$21,EK17,EJ17)</f>
        <v>#N/A</v>
      </c>
      <c r="EP17" s="6" t="str">
        <f>IF(AC17&lt;&gt;$EO$4,'Designer Shutter Data'!$BR$2,'Designer Shutter Data'!$BR$9)</f>
        <v>Fluffy_Strip_Fauxwood</v>
      </c>
      <c r="ER17" s="6" t="str">
        <f>IF(G17='Designer Shutter Data'!$E$26,'Designer Shutter Data'!$E$27,IF(G17='Designer Shutter Data'!$E$37,'Designer Shutter Data'!$E$38,'Designer Shutter Data'!$E$2))</f>
        <v>FauxwoodDesignerBladeSize</v>
      </c>
      <c r="ET17" s="6" t="str">
        <f t="shared" si="47"/>
        <v>Stile T Post</v>
      </c>
      <c r="EW17" s="40" t="e">
        <f>MATCH(G17,'Designer Shutter Data'!$AV$27:$AV$30,0)</f>
        <v>#N/A</v>
      </c>
      <c r="EX17" s="40" t="e">
        <f>MATCH(AC17,'Designer Shutter Data'!$AW$26:$AX$26,0)</f>
        <v>#N/A</v>
      </c>
      <c r="EY17" s="136" t="e">
        <f>INDEX('Designer Shutter Data'!$AW$27:$AX$30,EW17,EX17)</f>
        <v>#N/A</v>
      </c>
      <c r="EZ17" s="6" t="str">
        <f>IF(G17='Designer Shutter Data'!$S$15,'Designer Shutter Data'!$S$16, IF(G17=$FB$7,'Designer Shutter Data'!$T$15,'Designer Shutter Data'!$S$2))</f>
        <v>FauxwoodDesignerTiltrod</v>
      </c>
      <c r="FA17" s="6" t="e">
        <f>IF(G17=$FB$7,"No",VLOOKUP(L17,'Designer Shutter Data'!$BJ$62:$BK$75,2,FALSE))</f>
        <v>#N/A</v>
      </c>
      <c r="FB17" s="6" t="e">
        <f>IF(FA17="Yes", 'Designer Shutter Data'!$T$2,IF(G17=$FB$7,'Designer Shutter Data'!$T$15,'Designer Shutters Page 2'!EZ17))</f>
        <v>#N/A</v>
      </c>
      <c r="FC17" s="6" t="e">
        <f>MATCH(G17,'Designer Shutter Data'!$IG$15:$IJ$15,0)</f>
        <v>#N/A</v>
      </c>
      <c r="FD17" s="6" t="e">
        <f>MATCH(E17,'Designer Shutter Data'!$IF$16:$IF$18,0)</f>
        <v>#N/A</v>
      </c>
      <c r="FE17" s="6" t="e">
        <f>INDEX('Designer Shutter Data'!$IG$16:$IJ$18, 'Designer Shutters Page 2'!FD17, 'Designer Shutters Page 2'!FC17)</f>
        <v>#N/A</v>
      </c>
      <c r="FH17" s="6" t="str">
        <f t="shared" si="48"/>
        <v>SlidingSystemNA</v>
      </c>
      <c r="FJ17" s="6" t="e">
        <f>VLOOKUP(O17,'Designer Shutter Data'!$KP$2:$KR$44,3,FALSE)</f>
        <v>#N/A</v>
      </c>
      <c r="FL17" s="11" t="b">
        <f>IF(N17=$FL$7,'Designer Shutter Data'!$GH$98,DM17)</f>
        <v>0</v>
      </c>
    </row>
    <row r="18" spans="1:168" ht="36.75" customHeight="1" x14ac:dyDescent="0.2">
      <c r="A18" s="50">
        <v>10</v>
      </c>
      <c r="B18" s="51"/>
      <c r="C18" s="44"/>
      <c r="D18" s="31"/>
      <c r="E18" s="44"/>
      <c r="F18" s="31"/>
      <c r="G18" s="43"/>
      <c r="H18" s="234"/>
      <c r="I18" s="235"/>
      <c r="J18" s="44"/>
      <c r="K18" s="45"/>
      <c r="L18" s="45"/>
      <c r="M18" s="45"/>
      <c r="N18" s="45"/>
      <c r="O18" s="45"/>
      <c r="P18" s="236"/>
      <c r="Q18" s="236"/>
      <c r="R18" s="43"/>
      <c r="S18" s="43"/>
      <c r="T18" s="43"/>
      <c r="U18" s="43"/>
      <c r="V18" s="45"/>
      <c r="W18" s="45"/>
      <c r="X18" s="43"/>
      <c r="Y18" s="46"/>
      <c r="Z18" s="47"/>
      <c r="AA18" s="47"/>
      <c r="AB18" s="47"/>
      <c r="AC18" s="44"/>
      <c r="AD18" s="44"/>
      <c r="AE18" s="48" t="str">
        <f t="shared" si="0"/>
        <v/>
      </c>
      <c r="AI18" s="6">
        <f t="shared" si="38"/>
        <v>0</v>
      </c>
      <c r="AJ18" s="6">
        <f t="shared" si="39"/>
        <v>0</v>
      </c>
      <c r="AK18" s="6">
        <f>IF(O18&lt;&gt;"",VLOOKUP(O18,'Designer Shutter Data'!$KP$2:$KQ$44,2,FALSE),0)</f>
        <v>0</v>
      </c>
      <c r="AT18" s="49" t="str">
        <f t="shared" si="1"/>
        <v/>
      </c>
      <c r="AV18" s="6" t="str">
        <f>IF(G18=$AV$7,'Designer Shutter Data'!$D$38,'Designer Shutter Data'!$D$2)</f>
        <v>FauxwoodDesignerColour</v>
      </c>
      <c r="AW18" s="130" t="e">
        <f t="shared" si="40"/>
        <v>#N/A</v>
      </c>
      <c r="AX18" s="130" t="e">
        <f>VLOOKUP(M18,'Designer Shutter Data'!$JK$2:$JL$7,2,FALSE)</f>
        <v>#N/A</v>
      </c>
      <c r="AY18" s="38" t="b">
        <v>0</v>
      </c>
      <c r="AZ18" s="38" t="str">
        <f t="shared" si="2"/>
        <v>No</v>
      </c>
      <c r="BA18" s="38" t="e">
        <f t="shared" si="3"/>
        <v>#DIV/0!</v>
      </c>
      <c r="BB18" s="38" t="e">
        <f t="shared" si="4"/>
        <v>#DIV/0!</v>
      </c>
      <c r="BC18" s="38" t="e">
        <f t="shared" si="5"/>
        <v>#DIV/0!</v>
      </c>
      <c r="BD18" s="38" t="str">
        <f t="shared" si="6"/>
        <v>No</v>
      </c>
      <c r="BE18" s="38" t="e">
        <f>IF(OR(AND(C18&gt;0,#REF!="")), "Required","NotRequired")</f>
        <v>#REF!</v>
      </c>
      <c r="BF18" s="38" t="b">
        <v>0</v>
      </c>
      <c r="BG18" s="38" t="e">
        <f t="shared" si="41"/>
        <v>#DIV/0!</v>
      </c>
      <c r="BH18" s="39" t="str">
        <f t="shared" si="7"/>
        <v>NoHighlight</v>
      </c>
      <c r="BI18" s="38" t="str">
        <f t="shared" si="8"/>
        <v>FauxwoodRPNo</v>
      </c>
      <c r="BJ18" s="110" t="str">
        <f>IF(SUM(--ISNUMBER(SEARCH({"t","T"}, O18))),"Yes","No")</f>
        <v>No</v>
      </c>
      <c r="BK18" s="127" t="str">
        <f t="shared" si="9"/>
        <v>OK</v>
      </c>
      <c r="BL18" s="127" t="str">
        <f t="shared" si="10"/>
        <v>OK</v>
      </c>
      <c r="BM18" s="127" t="str">
        <f t="shared" si="11"/>
        <v>OK</v>
      </c>
      <c r="BN18" s="39" t="str">
        <f t="shared" si="12"/>
        <v>OK</v>
      </c>
      <c r="BO18" s="39" t="str">
        <f t="shared" si="13"/>
        <v>FauxwoodAINo</v>
      </c>
      <c r="BP18" s="39" t="str">
        <f>IF(SUM(--ISNUMBER(SEARCH({"combo","Combo","COMBO"}, B35))),"Yes","No")</f>
        <v>No</v>
      </c>
      <c r="BQ18" s="39" t="str">
        <f t="shared" si="42"/>
        <v>No</v>
      </c>
      <c r="BR18" s="39" t="str">
        <f>IF(SUM(--ISNUMBER(SEARCH({"c","C","b","B"}, L18))),"Yes","No")</f>
        <v>No</v>
      </c>
      <c r="BS18" s="11">
        <f t="shared" si="14"/>
        <v>0</v>
      </c>
      <c r="BT18" s="11" t="s">
        <v>820</v>
      </c>
      <c r="BU18" s="11" t="s">
        <v>820</v>
      </c>
      <c r="BV18" s="40">
        <f t="shared" si="15"/>
        <v>0</v>
      </c>
      <c r="BW18" s="40">
        <f t="shared" si="16"/>
        <v>0</v>
      </c>
      <c r="BX18" s="11" t="e">
        <f t="shared" si="17"/>
        <v>#DIV/0!</v>
      </c>
      <c r="BY18" s="11" t="b">
        <v>0</v>
      </c>
      <c r="BZ18" s="11" t="b">
        <v>0</v>
      </c>
      <c r="CA18" s="11" t="e">
        <v>#REF!</v>
      </c>
      <c r="CB18" s="11" t="s">
        <v>82</v>
      </c>
      <c r="CC18" s="11" t="e">
        <f t="shared" si="18"/>
        <v>#DIV/0!</v>
      </c>
      <c r="CD18" s="11" t="e">
        <f>VLOOKUP(P18,'Designer Shutter Data'!$H$3:$I$19,2,FALSE)</f>
        <v>#N/A</v>
      </c>
      <c r="CE18" s="11" t="s">
        <v>820</v>
      </c>
      <c r="CF18" s="11" t="str">
        <f>IF(SUM(--ISNUMBER(SEARCH({"z","Z"}, P18))),"Yes","No")</f>
        <v>No</v>
      </c>
      <c r="CG18" s="11" t="str">
        <f t="shared" si="19"/>
        <v>OK</v>
      </c>
      <c r="CH18" s="11">
        <f t="shared" si="20"/>
        <v>0</v>
      </c>
      <c r="CI18" s="120" t="e">
        <f>IF(O18="N/A","N/A",VLOOKUP(O18,'Designer Shutter Data'!$AO$3:$AP$171,2,FALSE))</f>
        <v>#N/A</v>
      </c>
      <c r="CJ18" s="120" t="e">
        <f t="shared" si="21"/>
        <v>#N/A</v>
      </c>
      <c r="CK18" s="40"/>
      <c r="CL18" s="40"/>
      <c r="CM18" s="40"/>
      <c r="CN18" s="41" t="str">
        <f t="shared" si="22"/>
        <v>OK</v>
      </c>
      <c r="CO18" s="129" t="b">
        <f t="shared" si="23"/>
        <v>0</v>
      </c>
      <c r="CP18" s="129" t="b">
        <f t="shared" si="24"/>
        <v>0</v>
      </c>
      <c r="CQ18" s="40">
        <f t="shared" si="25"/>
        <v>0</v>
      </c>
      <c r="CR18" s="133">
        <f t="shared" si="26"/>
        <v>0</v>
      </c>
      <c r="CS18" s="40">
        <f t="shared" si="43"/>
        <v>0</v>
      </c>
      <c r="CT18" s="133" t="e">
        <f t="shared" si="27"/>
        <v>#N/A</v>
      </c>
      <c r="CU18" s="11" t="b">
        <v>0</v>
      </c>
      <c r="CV18" s="11" t="b">
        <v>0</v>
      </c>
      <c r="CW18" s="11" t="b">
        <v>0</v>
      </c>
      <c r="CX18" s="11" t="b">
        <v>0</v>
      </c>
      <c r="CY18" s="40" t="e">
        <f>IF(OR(AND(#REF!&gt;0,#REF!="")), "Error","OK")</f>
        <v>#REF!</v>
      </c>
      <c r="CZ18" s="11" t="e">
        <v>#REF!</v>
      </c>
      <c r="DA18" s="6" t="str">
        <f t="shared" si="28"/>
        <v/>
      </c>
      <c r="DD18" s="6" t="s">
        <v>84</v>
      </c>
      <c r="DE18" s="6" t="b">
        <f>IF(M18='Designer Shutter Data'!$F$3,'Designer Shutter Data'!$FY$7,IF(M18='Designer Shutter Data'!$F$4,'Designer Shutter Data'!$FZ$2,IF(M18='Designer Shutter Data'!$F$5,FJ18, IF(M18='Designer Shutter Data'!$F$6,'Designer Shutter Data'!$GA$2,IF(M18='Designer Shutter Data'!$F$7,'Designer Shutter Data'!$FY$2, IF(M18='Designer Shutter Data'!$F$8,'Designer Shutter Data'!$FZ$7, IF(M18='Designer Shutter Data'!$F$14,'Designer Shutter Data'!$FZ$14)))))))</f>
        <v>0</v>
      </c>
      <c r="DF18" s="6" t="e">
        <f>VLOOKUP(M18,'Designer Shutter Data'!$M$2:$N$8,2,FALSE)</f>
        <v>#N/A</v>
      </c>
      <c r="DH18" s="123" t="e">
        <f>VLOOKUP(O18,'Designer Shutter Data'!$IN$2:$IO$169,2,FALSE)</f>
        <v>#N/A</v>
      </c>
      <c r="DI18" s="103" t="e">
        <f t="shared" si="29"/>
        <v>#N/A</v>
      </c>
      <c r="DJ18" s="103" t="e">
        <f t="shared" si="44"/>
        <v>#N/A</v>
      </c>
      <c r="DK18" s="7" t="b">
        <f>IF(P18='Designer Shutter Data'!$GC$2,'Designer Shutter Data'!$GD$2,IF(P18='Designer Shutter Data'!$GC$3,'Designer Shutter Data'!$GE$2,IF(P18='Designer Shutter Data'!$GC$4,'Designer Shutter Data'!$GF$2,IF(P18='Designer Shutter Data'!$GC$5,'Designer Shutter Data'!$GG$2,IF(P18='Designer Shutter Data'!$GC$6,'Designer Shutter Data'!$GH$2,IF(P18='Designer Shutter Data'!$GC$7,'Designer Shutter Data'!$GI$2,IF(P18='Designer Shutter Data'!$GC$8,'Designer Shutter Data'!$GJ$2,IF(P18='Designer Shutter Data'!$GC$9,'Designer Shutter Data'!$GK$2,IF(P18='Designer Shutter Data'!$GC$10,'Designer Shutter Data'!$GL$2,IF(P18='Designer Shutter Data'!$GC$11,'Designer Shutter Data'!$GM$2,IF(P18='Designer Shutter Data'!$GC$12,'Designer Shutter Data'!$GN$2,IF(P18='Designer Shutter Data'!$GC$13,'Designer Shutter Data'!$GO$2,IF(P18='Designer Shutter Data'!$GC$14,'Designer Shutter Data'!$GP$2,IF(P18='Designer Shutter Data'!$GC$15,'Designer Shutter Data'!$GD$15,IF(P18='Designer Shutter Data'!$GC$16,'Designer Shutter Data'!$GE$15,IF(P18='Designer Shutter Data'!$GC$17,'Designer Shutter Data'!$GF$15,IF(P18='Designer Shutter Data'!$GC$18,'Designer Shutter Data'!$GG$15,IF(P18='Designer Shutter Data'!$GC$19,'Designer Shutter Data'!$GD$73,IF(P18='Designer Shutter Data'!$GC$20,'Designer Shutter Data'!$GD$88, IF(P18='Designer Shutter Data'!$GC$21,'Designer Shutter Data'!$GH$15, IF(P18='Designer Shutter Data'!$GC$22,'Designer Shutter Data'!$GJ$2, IF(P18='Designer Shutter Data'!$GC$23,'Designer Shutter Data'!$GL$2))))))))))))))))))))))</f>
        <v>0</v>
      </c>
      <c r="DL18" s="7" t="b">
        <f>IF(P18='Designer Shutter Data'!$GC$2,'Designer Shutter Data'!$GD$25,IF(P18='Designer Shutter Data'!$GC$3,'Designer Shutter Data'!$GE$25,IF(P18='Designer Shutter Data'!$GC$4,'Designer Shutter Data'!$GF$25,IF(P18='Designer Shutter Data'!$GC$5,'Designer Shutter Data'!$GG$25,IF(P18='Designer Shutter Data'!$GC$6,'Designer Shutter Data'!$GH$25,IF(P18='Designer Shutter Data'!$GC$7,'Designer Shutter Data'!$GI$25,IF(P18='Designer Shutter Data'!$GC$8,'Designer Shutter Data'!$GJ$25,IF(P18='Designer Shutter Data'!$GC$9,'Designer Shutter Data'!$GK$25,IF(P18='Designer Shutter Data'!$GC$10,'Designer Shutter Data'!$GL$25,IF(P18='Designer Shutter Data'!$GC$11,'Designer Shutter Data'!$GM$25,IF(P18='Designer Shutter Data'!$GC$12,'Designer Shutter Data'!$GN$25,IF(P18='Designer Shutter Data'!$GC$13,'Designer Shutter Data'!$GO$25,IF(P18='Designer Shutter Data'!$GC$14,'Designer Shutter Data'!$GP$25,IF(P18='Designer Shutter Data'!$GC$15,'Designer Shutter Data'!$GD$37,IF(P18='Designer Shutter Data'!$GC$15,'Designer Shutter Data'!$GD$37,IF(P18='Designer Shutter Data'!$GC$16,'Designer Shutter Data'!$GE$37,IF(P18='Designer Shutter Data'!$GC$17,'Designer Shutter Data'!$GF$37,IF(P18='Designer Shutter Data'!$GC$18,'Designer Shutter Data'!$GG$37, IF(P18='Designer Shutter Data'!$GC$19,'Designer Shutter Data'!$GD$73, IF(P18='Designer Shutter Data'!$GC$20,'Designer Shutter Data'!$GE$88, IF(P18='Designer Shutter Data'!$GC$21,'Designer Shutter Data'!$GH$37,IF(P18='Designer Shutter Data'!$GC$22,'Designer Shutter Data'!$GJ$25,IF(P18='Designer Shutter Data'!$GC$23,'Designer Shutter Data'!$GL$25)))))))))))))))))))))))</f>
        <v>0</v>
      </c>
      <c r="DM18" s="118" t="b">
        <f>IF(P18='Designer Shutter Data'!$GC$2,'Designer Shutter Data'!$GD$47,IF(P18='Designer Shutter Data'!$GC$3,'Designer Shutter Data'!$GE$47,IF(P18='Designer Shutter Data'!$GC$4,'Designer Shutter Data'!$GF$47,IF(P18='Designer Shutter Data'!$GC$5,'Designer Shutter Data'!$GG$47,IF(P18='Designer Shutter Data'!$GC$6,'Designer Shutter Data'!$GH$47,IF(P18='Designer Shutter Data'!$GC$7,'Designer Shutter Data'!$GI$47,IF(P18='Designer Shutter Data'!$GC$8,'Designer Shutter Data'!$GJ$47,IF(P18='Designer Shutter Data'!$GC$9,'Designer Shutter Data'!$GK$47,IF(P18='Designer Shutter Data'!$GC$10,'Designer Shutter Data'!$GL$47,IF(P18='Designer Shutter Data'!$GC$11,'Designer Shutter Data'!$GM$47,IF(P18='Designer Shutter Data'!$GC$12,'Designer Shutter Data'!$GN$47,IF(P18='Designer Shutter Data'!$GC$13,'Designer Shutter Data'!$GO$47,IF(P18='Designer Shutter Data'!$GC$14,'Designer Shutter Data'!$GP$47, IF(P18='Designer Shutter Data'!$GC$19,'Designer Shutter Data'!$GD$73, IF(P18='Designer Shutter Data'!$GC$20,'Designer Shutter Data'!$GF$88, IF(M18='Designer Shutter Data'!$F$5,'Designer Shutter Data'!$GE$59, IF(M18='Designer Shutter Data'!$F$6,'Designer Shutter Data'!$GD$59, IF(P18='Designer Shutter Data'!$GC$21,'Designer Shutter Data'!$GF$59,IF(P18='Designer Shutter Data'!$GC$22,'Designer Shutter Data'!$GJ$47,IF(P18='Designer Shutter Data'!$GC$23,'Designer Shutter Data'!$GL$47))))))))))))))))))))</f>
        <v>0</v>
      </c>
      <c r="DN18" s="107" t="str">
        <f t="shared" si="45"/>
        <v/>
      </c>
      <c r="DO18" s="107" t="e">
        <f t="shared" si="46"/>
        <v>#N/A</v>
      </c>
      <c r="DP18" s="107" t="str">
        <f t="shared" si="30"/>
        <v>OK</v>
      </c>
      <c r="DQ18" s="107" t="str">
        <f t="shared" si="31"/>
        <v>OK</v>
      </c>
      <c r="DR18" s="107" t="str">
        <f t="shared" si="32"/>
        <v>OK</v>
      </c>
      <c r="DS18" s="107" t="str">
        <f t="shared" si="33"/>
        <v>OK</v>
      </c>
      <c r="DT18" s="7" t="b">
        <f>IF(E18='Designer Shutter Data'!$GV$2,'Designer Shutter Data'!$GW$2,IF(E18='Designer Shutter Data'!$GV$3,'Designer Shutter Data'!$GX$2,IF(E18='Designer Shutter Data'!$GV$4,'Designer Shutter Data'!$GY$2)))</f>
        <v>0</v>
      </c>
      <c r="DU18" s="40" t="e">
        <f>MATCH(E18,'Designer Shutter Data'!$HB$1:$HD$1,0)</f>
        <v>#N/A</v>
      </c>
      <c r="DV18" s="40" t="e">
        <f>MATCH(M18,'Designer Shutter Data'!$HA$2:$HA$8,0)</f>
        <v>#N/A</v>
      </c>
      <c r="DW18" s="11" t="e">
        <f>INDEX('Designer Shutter Data'!$HB$2:$HD$8,DV18,DU18)</f>
        <v>#N/A</v>
      </c>
      <c r="DX18" s="11" t="b">
        <f>IF(E18='Designer Shutter Data'!$IG$1,'Designer Shutter Data'!$IG$2,IF(E18='Designer Shutter Data'!$IH$1,'Designer Shutter Data'!$IH$2, IF(E18='Designer Shutter Data'!$II$1,'Designer Shutter Data'!$II$2)))</f>
        <v>0</v>
      </c>
      <c r="DY18" s="11" t="str">
        <f>IF(E18="MS",'Designer Shutter Data'!$BI$2,IF(G18='Designer Shutter Data'!$BJ$34,'Designer Shutter Data'!$BJ$35,'Designer Shutter Data'!$BJ$2))</f>
        <v>FauxwoodDesignerWindowType</v>
      </c>
      <c r="DZ18" s="118" t="b">
        <f>IF(M18='Designer Shutter Data'!$F$3,'Designer Shutter Data'!$GF$88, IF(M18='Designer Shutter Data'!$F$4,'Designer Shutter Data'!$GE$59, IF(M18='Designer Shutter Data'!$F$5,'Designer Shutter Data'!$GD$59, IF(M18='Designer Shutter Data'!$F$6,'Designer Shutter Data'!$GD$59, IF(M18='Designer Shutter Data'!$F$7,'Designer Shutter Data'!$GD$73)))))</f>
        <v>0</v>
      </c>
      <c r="EB18" s="6" t="b">
        <f>IF(M18='Designer Shutter Data'!$IT$2,'Designer Shutter Data'!$JA$2, IF(M18='Designer Shutter Data'!$IT$3,'Designer Shutter Data'!$JC$2, IF(M18='Designer Shutter Data'!$IT$4,'Designer Shutter Data'!$JE$2, IF(M18='Designer Shutter Data'!$IT$5,'Designer Shutter Data'!$JG$2, IF(M18='Designer Shutter Data'!$IT$6,'Designer Shutter Data'!$JI$2, IF(M18='Designer Shutter Data'!$IT$7,'Designer Shutter Data'!$JZ$2, IF(M18='Designer Shutter Data'!$IT$8,'Designer Shutter Data'!$JI$16)))))))</f>
        <v>0</v>
      </c>
      <c r="EC18" s="6" t="str">
        <f t="shared" si="34"/>
        <v>NoHighlight</v>
      </c>
      <c r="ED18" s="7" t="e">
        <f>VLOOKUP(M18,'Designer Shutter Data'!$JW$5:$JX$10,2,FALSE)</f>
        <v>#N/A</v>
      </c>
      <c r="EE18" s="7" t="e">
        <f t="shared" si="35"/>
        <v>#N/A</v>
      </c>
      <c r="EF18" s="118" t="e">
        <f>VLOOKUP(O18,'Designer Shutter Data'!$AO$3:$AQ$171,1,FALSE)</f>
        <v>#N/A</v>
      </c>
      <c r="EG18" s="7" t="e">
        <f t="shared" si="36"/>
        <v>#N/A</v>
      </c>
      <c r="EH18" s="6" t="str">
        <f t="shared" si="37"/>
        <v/>
      </c>
      <c r="EJ18" s="40" t="e">
        <f>MATCH(M18,'Designer Shutter Data'!$KD$1:$KI$1,0)</f>
        <v>#N/A</v>
      </c>
      <c r="EK18" s="40" t="e">
        <f>MATCH(P18,'Designer Shutter Data'!$KC$2:$KC$21,0)</f>
        <v>#N/A</v>
      </c>
      <c r="EL18" s="136" t="e">
        <f>INDEX('Designer Shutter Data'!$KD$2:$KI$21,EK18,EJ18)</f>
        <v>#N/A</v>
      </c>
      <c r="EP18" s="6" t="str">
        <f>IF(AC18&lt;&gt;$EO$4,'Designer Shutter Data'!$BR$2,'Designer Shutter Data'!$BR$9)</f>
        <v>Fluffy_Strip_Fauxwood</v>
      </c>
      <c r="ER18" s="6" t="str">
        <f>IF(G18='Designer Shutter Data'!$E$26,'Designer Shutter Data'!$E$27,IF(G18='Designer Shutter Data'!$E$37,'Designer Shutter Data'!$E$38,'Designer Shutter Data'!$E$2))</f>
        <v>FauxwoodDesignerBladeSize</v>
      </c>
      <c r="ET18" s="6" t="str">
        <f t="shared" si="47"/>
        <v>Stile T Post</v>
      </c>
      <c r="EW18" s="40" t="e">
        <f>MATCH(G18,'Designer Shutter Data'!$AV$27:$AV$30,0)</f>
        <v>#N/A</v>
      </c>
      <c r="EX18" s="40" t="e">
        <f>MATCH(AC18,'Designer Shutter Data'!$AW$26:$AX$26,0)</f>
        <v>#N/A</v>
      </c>
      <c r="EY18" s="136" t="e">
        <f>INDEX('Designer Shutter Data'!$AW$27:$AX$30,EW18,EX18)</f>
        <v>#N/A</v>
      </c>
      <c r="EZ18" s="6" t="str">
        <f>IF(G18='Designer Shutter Data'!$S$15,'Designer Shutter Data'!$S$16, IF(G18=$FB$7,'Designer Shutter Data'!$T$15,'Designer Shutter Data'!$S$2))</f>
        <v>FauxwoodDesignerTiltrod</v>
      </c>
      <c r="FA18" s="6" t="e">
        <f>IF(G18=$FB$7,"No",VLOOKUP(L18,'Designer Shutter Data'!$BJ$62:$BK$75,2,FALSE))</f>
        <v>#N/A</v>
      </c>
      <c r="FB18" s="6" t="e">
        <f>IF(FA18="Yes", 'Designer Shutter Data'!$T$2,IF(G18=$FB$7,'Designer Shutter Data'!$T$15,'Designer Shutters Page 2'!EZ18))</f>
        <v>#N/A</v>
      </c>
      <c r="FC18" s="6" t="e">
        <f>MATCH(G18,'Designer Shutter Data'!$IG$15:$IJ$15,0)</f>
        <v>#N/A</v>
      </c>
      <c r="FD18" s="6" t="e">
        <f>MATCH(E18,'Designer Shutter Data'!$IF$16:$IF$18,0)</f>
        <v>#N/A</v>
      </c>
      <c r="FE18" s="6" t="e">
        <f>INDEX('Designer Shutter Data'!$IG$16:$IJ$18, 'Designer Shutters Page 2'!FD18, 'Designer Shutters Page 2'!FC18)</f>
        <v>#N/A</v>
      </c>
      <c r="FH18" s="6" t="str">
        <f t="shared" si="48"/>
        <v>SlidingSystemNA</v>
      </c>
      <c r="FJ18" s="6" t="e">
        <f>VLOOKUP(O18,'Designer Shutter Data'!$KP$2:$KR$44,3,FALSE)</f>
        <v>#N/A</v>
      </c>
      <c r="FL18" s="11" t="b">
        <f>IF(N18=$FL$7,'Designer Shutter Data'!$GH$98,DM18)</f>
        <v>0</v>
      </c>
    </row>
    <row r="19" spans="1:168" ht="36.75" customHeight="1" x14ac:dyDescent="0.2">
      <c r="A19" s="50">
        <v>11</v>
      </c>
      <c r="B19" s="51"/>
      <c r="C19" s="44"/>
      <c r="D19" s="31"/>
      <c r="E19" s="44"/>
      <c r="F19" s="31"/>
      <c r="G19" s="43"/>
      <c r="H19" s="234"/>
      <c r="I19" s="235"/>
      <c r="J19" s="44"/>
      <c r="K19" s="45"/>
      <c r="L19" s="45"/>
      <c r="M19" s="45"/>
      <c r="N19" s="45"/>
      <c r="O19" s="45"/>
      <c r="P19" s="236"/>
      <c r="Q19" s="236"/>
      <c r="R19" s="43"/>
      <c r="S19" s="43"/>
      <c r="T19" s="43"/>
      <c r="U19" s="43"/>
      <c r="V19" s="45"/>
      <c r="W19" s="45"/>
      <c r="X19" s="43"/>
      <c r="Y19" s="46"/>
      <c r="Z19" s="47"/>
      <c r="AA19" s="47"/>
      <c r="AB19" s="47"/>
      <c r="AC19" s="44"/>
      <c r="AD19" s="44"/>
      <c r="AE19" s="48" t="str">
        <f t="shared" si="0"/>
        <v/>
      </c>
      <c r="AI19" s="6">
        <f t="shared" si="38"/>
        <v>0</v>
      </c>
      <c r="AJ19" s="6">
        <f t="shared" si="39"/>
        <v>0</v>
      </c>
      <c r="AK19" s="6">
        <f>IF(O19&lt;&gt;"",VLOOKUP(O19,'Designer Shutter Data'!$KP$2:$KQ$44,2,FALSE),0)</f>
        <v>0</v>
      </c>
      <c r="AT19" s="49" t="str">
        <f t="shared" si="1"/>
        <v/>
      </c>
      <c r="AV19" s="6" t="str">
        <f>IF(G19=$AV$7,'Designer Shutter Data'!$D$38,'Designer Shutter Data'!$D$2)</f>
        <v>FauxwoodDesignerColour</v>
      </c>
      <c r="AW19" s="130" t="e">
        <f t="shared" si="40"/>
        <v>#N/A</v>
      </c>
      <c r="AX19" s="130" t="e">
        <f>VLOOKUP(M19,'Designer Shutter Data'!$JK$2:$JL$7,2,FALSE)</f>
        <v>#N/A</v>
      </c>
      <c r="AY19" s="38" t="b">
        <v>0</v>
      </c>
      <c r="AZ19" s="38" t="str">
        <f t="shared" si="2"/>
        <v>No</v>
      </c>
      <c r="BA19" s="38" t="e">
        <f t="shared" si="3"/>
        <v>#DIV/0!</v>
      </c>
      <c r="BB19" s="38" t="e">
        <f t="shared" si="4"/>
        <v>#DIV/0!</v>
      </c>
      <c r="BC19" s="38" t="e">
        <f t="shared" si="5"/>
        <v>#DIV/0!</v>
      </c>
      <c r="BD19" s="38" t="str">
        <f t="shared" si="6"/>
        <v>No</v>
      </c>
      <c r="BE19" s="38" t="e">
        <f>IF(OR(AND(C19&gt;0,#REF!="")), "Required","NotRequired")</f>
        <v>#REF!</v>
      </c>
      <c r="BF19" s="38" t="b">
        <v>0</v>
      </c>
      <c r="BG19" s="38" t="e">
        <f t="shared" si="41"/>
        <v>#DIV/0!</v>
      </c>
      <c r="BH19" s="39" t="str">
        <f t="shared" si="7"/>
        <v>NoHighlight</v>
      </c>
      <c r="BI19" s="38" t="str">
        <f t="shared" si="8"/>
        <v>FauxwoodRPNo</v>
      </c>
      <c r="BJ19" s="110" t="str">
        <f>IF(SUM(--ISNUMBER(SEARCH({"t","T"}, O19))),"Yes","No")</f>
        <v>No</v>
      </c>
      <c r="BK19" s="127" t="str">
        <f t="shared" si="9"/>
        <v>OK</v>
      </c>
      <c r="BL19" s="127" t="str">
        <f t="shared" si="10"/>
        <v>OK</v>
      </c>
      <c r="BM19" s="127" t="str">
        <f t="shared" si="11"/>
        <v>OK</v>
      </c>
      <c r="BN19" s="39" t="str">
        <f t="shared" si="12"/>
        <v>OK</v>
      </c>
      <c r="BO19" s="39" t="str">
        <f t="shared" si="13"/>
        <v>FauxwoodAINo</v>
      </c>
      <c r="BP19" s="39" t="str">
        <f>IF(SUM(--ISNUMBER(SEARCH({"combo","Combo","COMBO"}, B36))),"Yes","No")</f>
        <v>No</v>
      </c>
      <c r="BQ19" s="39" t="str">
        <f t="shared" si="42"/>
        <v>No</v>
      </c>
      <c r="BR19" s="39" t="str">
        <f>IF(SUM(--ISNUMBER(SEARCH({"c","C","b","B"}, L19))),"Yes","No")</f>
        <v>No</v>
      </c>
      <c r="BS19" s="11">
        <f t="shared" si="14"/>
        <v>0</v>
      </c>
      <c r="BT19" s="11" t="s">
        <v>820</v>
      </c>
      <c r="BU19" s="11" t="s">
        <v>820</v>
      </c>
      <c r="BV19" s="40">
        <f t="shared" si="15"/>
        <v>0</v>
      </c>
      <c r="BW19" s="40">
        <f t="shared" si="16"/>
        <v>0</v>
      </c>
      <c r="BX19" s="11" t="e">
        <f t="shared" si="17"/>
        <v>#DIV/0!</v>
      </c>
      <c r="BY19" s="11" t="b">
        <v>0</v>
      </c>
      <c r="BZ19" s="11" t="b">
        <v>0</v>
      </c>
      <c r="CA19" s="11" t="e">
        <v>#REF!</v>
      </c>
      <c r="CB19" s="11" t="s">
        <v>82</v>
      </c>
      <c r="CC19" s="11" t="e">
        <f t="shared" si="18"/>
        <v>#DIV/0!</v>
      </c>
      <c r="CD19" s="11" t="e">
        <f>VLOOKUP(P19,'Designer Shutter Data'!$H$3:$I$19,2,FALSE)</f>
        <v>#N/A</v>
      </c>
      <c r="CE19" s="11" t="s">
        <v>820</v>
      </c>
      <c r="CF19" s="11" t="str">
        <f>IF(SUM(--ISNUMBER(SEARCH({"z","Z"}, P19))),"Yes","No")</f>
        <v>No</v>
      </c>
      <c r="CG19" s="11" t="str">
        <f t="shared" si="19"/>
        <v>OK</v>
      </c>
      <c r="CH19" s="11">
        <f t="shared" si="20"/>
        <v>0</v>
      </c>
      <c r="CI19" s="120" t="e">
        <f>IF(O19="N/A","N/A",VLOOKUP(O19,'Designer Shutter Data'!$AO$3:$AP$171,2,FALSE))</f>
        <v>#N/A</v>
      </c>
      <c r="CJ19" s="120" t="e">
        <f t="shared" si="21"/>
        <v>#N/A</v>
      </c>
      <c r="CK19" s="40"/>
      <c r="CL19" s="40"/>
      <c r="CM19" s="40"/>
      <c r="CN19" s="41" t="str">
        <f t="shared" si="22"/>
        <v>OK</v>
      </c>
      <c r="CO19" s="129" t="b">
        <f t="shared" si="23"/>
        <v>0</v>
      </c>
      <c r="CP19" s="129" t="b">
        <f t="shared" si="24"/>
        <v>0</v>
      </c>
      <c r="CQ19" s="40">
        <f t="shared" si="25"/>
        <v>0</v>
      </c>
      <c r="CR19" s="133">
        <f t="shared" si="26"/>
        <v>0</v>
      </c>
      <c r="CS19" s="40">
        <f t="shared" si="43"/>
        <v>0</v>
      </c>
      <c r="CT19" s="133" t="e">
        <f t="shared" si="27"/>
        <v>#N/A</v>
      </c>
      <c r="CU19" s="11" t="b">
        <v>0</v>
      </c>
      <c r="CV19" s="11" t="b">
        <v>0</v>
      </c>
      <c r="CW19" s="11" t="b">
        <v>0</v>
      </c>
      <c r="CX19" s="11" t="b">
        <v>0</v>
      </c>
      <c r="CY19" s="40" t="e">
        <f>IF(OR(AND(#REF!&gt;0,#REF!="")), "Error","OK")</f>
        <v>#REF!</v>
      </c>
      <c r="CZ19" s="11" t="e">
        <v>#REF!</v>
      </c>
      <c r="DA19" s="6" t="str">
        <f t="shared" si="28"/>
        <v/>
      </c>
      <c r="DD19" s="6" t="s">
        <v>84</v>
      </c>
      <c r="DE19" s="6" t="b">
        <f>IF(M19='Designer Shutter Data'!$F$3,'Designer Shutter Data'!$FY$7,IF(M19='Designer Shutter Data'!$F$4,'Designer Shutter Data'!$FZ$2,IF(M19='Designer Shutter Data'!$F$5,FJ19, IF(M19='Designer Shutter Data'!$F$6,'Designer Shutter Data'!$GA$2,IF(M19='Designer Shutter Data'!$F$7,'Designer Shutter Data'!$FY$2, IF(M19='Designer Shutter Data'!$F$8,'Designer Shutter Data'!$FZ$7, IF(M19='Designer Shutter Data'!$F$14,'Designer Shutter Data'!$FZ$14)))))))</f>
        <v>0</v>
      </c>
      <c r="DF19" s="6" t="e">
        <f>VLOOKUP(M19,'Designer Shutter Data'!$M$2:$N$8,2,FALSE)</f>
        <v>#N/A</v>
      </c>
      <c r="DH19" s="123" t="e">
        <f>VLOOKUP(O19,'Designer Shutter Data'!$IN$2:$IO$169,2,FALSE)</f>
        <v>#N/A</v>
      </c>
      <c r="DI19" s="103" t="e">
        <f t="shared" si="29"/>
        <v>#N/A</v>
      </c>
      <c r="DJ19" s="103" t="e">
        <f t="shared" si="44"/>
        <v>#N/A</v>
      </c>
      <c r="DK19" s="7" t="b">
        <f>IF(P19='Designer Shutter Data'!$GC$2,'Designer Shutter Data'!$GD$2,IF(P19='Designer Shutter Data'!$GC$3,'Designer Shutter Data'!$GE$2,IF(P19='Designer Shutter Data'!$GC$4,'Designer Shutter Data'!$GF$2,IF(P19='Designer Shutter Data'!$GC$5,'Designer Shutter Data'!$GG$2,IF(P19='Designer Shutter Data'!$GC$6,'Designer Shutter Data'!$GH$2,IF(P19='Designer Shutter Data'!$GC$7,'Designer Shutter Data'!$GI$2,IF(P19='Designer Shutter Data'!$GC$8,'Designer Shutter Data'!$GJ$2,IF(P19='Designer Shutter Data'!$GC$9,'Designer Shutter Data'!$GK$2,IF(P19='Designer Shutter Data'!$GC$10,'Designer Shutter Data'!$GL$2,IF(P19='Designer Shutter Data'!$GC$11,'Designer Shutter Data'!$GM$2,IF(P19='Designer Shutter Data'!$GC$12,'Designer Shutter Data'!$GN$2,IF(P19='Designer Shutter Data'!$GC$13,'Designer Shutter Data'!$GO$2,IF(P19='Designer Shutter Data'!$GC$14,'Designer Shutter Data'!$GP$2,IF(P19='Designer Shutter Data'!$GC$15,'Designer Shutter Data'!$GD$15,IF(P19='Designer Shutter Data'!$GC$16,'Designer Shutter Data'!$GE$15,IF(P19='Designer Shutter Data'!$GC$17,'Designer Shutter Data'!$GF$15,IF(P19='Designer Shutter Data'!$GC$18,'Designer Shutter Data'!$GG$15,IF(P19='Designer Shutter Data'!$GC$19,'Designer Shutter Data'!$GD$73,IF(P19='Designer Shutter Data'!$GC$20,'Designer Shutter Data'!$GD$88, IF(P19='Designer Shutter Data'!$GC$21,'Designer Shutter Data'!$GH$15, IF(P19='Designer Shutter Data'!$GC$22,'Designer Shutter Data'!$GJ$2, IF(P19='Designer Shutter Data'!$GC$23,'Designer Shutter Data'!$GL$2))))))))))))))))))))))</f>
        <v>0</v>
      </c>
      <c r="DL19" s="7" t="b">
        <f>IF(P19='Designer Shutter Data'!$GC$2,'Designer Shutter Data'!$GD$25,IF(P19='Designer Shutter Data'!$GC$3,'Designer Shutter Data'!$GE$25,IF(P19='Designer Shutter Data'!$GC$4,'Designer Shutter Data'!$GF$25,IF(P19='Designer Shutter Data'!$GC$5,'Designer Shutter Data'!$GG$25,IF(P19='Designer Shutter Data'!$GC$6,'Designer Shutter Data'!$GH$25,IF(P19='Designer Shutter Data'!$GC$7,'Designer Shutter Data'!$GI$25,IF(P19='Designer Shutter Data'!$GC$8,'Designer Shutter Data'!$GJ$25,IF(P19='Designer Shutter Data'!$GC$9,'Designer Shutter Data'!$GK$25,IF(P19='Designer Shutter Data'!$GC$10,'Designer Shutter Data'!$GL$25,IF(P19='Designer Shutter Data'!$GC$11,'Designer Shutter Data'!$GM$25,IF(P19='Designer Shutter Data'!$GC$12,'Designer Shutter Data'!$GN$25,IF(P19='Designer Shutter Data'!$GC$13,'Designer Shutter Data'!$GO$25,IF(P19='Designer Shutter Data'!$GC$14,'Designer Shutter Data'!$GP$25,IF(P19='Designer Shutter Data'!$GC$15,'Designer Shutter Data'!$GD$37,IF(P19='Designer Shutter Data'!$GC$15,'Designer Shutter Data'!$GD$37,IF(P19='Designer Shutter Data'!$GC$16,'Designer Shutter Data'!$GE$37,IF(P19='Designer Shutter Data'!$GC$17,'Designer Shutter Data'!$GF$37,IF(P19='Designer Shutter Data'!$GC$18,'Designer Shutter Data'!$GG$37, IF(P19='Designer Shutter Data'!$GC$19,'Designer Shutter Data'!$GD$73, IF(P19='Designer Shutter Data'!$GC$20,'Designer Shutter Data'!$GE$88, IF(P19='Designer Shutter Data'!$GC$21,'Designer Shutter Data'!$GH$37,IF(P19='Designer Shutter Data'!$GC$22,'Designer Shutter Data'!$GJ$25,IF(P19='Designer Shutter Data'!$GC$23,'Designer Shutter Data'!$GL$25)))))))))))))))))))))))</f>
        <v>0</v>
      </c>
      <c r="DM19" s="118" t="b">
        <f>IF(P19='Designer Shutter Data'!$GC$2,'Designer Shutter Data'!$GD$47,IF(P19='Designer Shutter Data'!$GC$3,'Designer Shutter Data'!$GE$47,IF(P19='Designer Shutter Data'!$GC$4,'Designer Shutter Data'!$GF$47,IF(P19='Designer Shutter Data'!$GC$5,'Designer Shutter Data'!$GG$47,IF(P19='Designer Shutter Data'!$GC$6,'Designer Shutter Data'!$GH$47,IF(P19='Designer Shutter Data'!$GC$7,'Designer Shutter Data'!$GI$47,IF(P19='Designer Shutter Data'!$GC$8,'Designer Shutter Data'!$GJ$47,IF(P19='Designer Shutter Data'!$GC$9,'Designer Shutter Data'!$GK$47,IF(P19='Designer Shutter Data'!$GC$10,'Designer Shutter Data'!$GL$47,IF(P19='Designer Shutter Data'!$GC$11,'Designer Shutter Data'!$GM$47,IF(P19='Designer Shutter Data'!$GC$12,'Designer Shutter Data'!$GN$47,IF(P19='Designer Shutter Data'!$GC$13,'Designer Shutter Data'!$GO$47,IF(P19='Designer Shutter Data'!$GC$14,'Designer Shutter Data'!$GP$47, IF(P19='Designer Shutter Data'!$GC$19,'Designer Shutter Data'!$GD$73, IF(P19='Designer Shutter Data'!$GC$20,'Designer Shutter Data'!$GF$88, IF(M19='Designer Shutter Data'!$F$5,'Designer Shutter Data'!$GE$59, IF(M19='Designer Shutter Data'!$F$6,'Designer Shutter Data'!$GD$59, IF(P19='Designer Shutter Data'!$GC$21,'Designer Shutter Data'!$GF$59,IF(P19='Designer Shutter Data'!$GC$22,'Designer Shutter Data'!$GJ$47,IF(P19='Designer Shutter Data'!$GC$23,'Designer Shutter Data'!$GL$47))))))))))))))))))))</f>
        <v>0</v>
      </c>
      <c r="DN19" s="107" t="str">
        <f t="shared" si="45"/>
        <v/>
      </c>
      <c r="DO19" s="107" t="e">
        <f t="shared" si="46"/>
        <v>#N/A</v>
      </c>
      <c r="DP19" s="107" t="str">
        <f t="shared" si="30"/>
        <v>OK</v>
      </c>
      <c r="DQ19" s="107" t="str">
        <f t="shared" si="31"/>
        <v>OK</v>
      </c>
      <c r="DR19" s="107" t="str">
        <f t="shared" si="32"/>
        <v>OK</v>
      </c>
      <c r="DS19" s="107" t="str">
        <f t="shared" si="33"/>
        <v>OK</v>
      </c>
      <c r="DT19" s="7" t="b">
        <f>IF(E19='Designer Shutter Data'!$GV$2,'Designer Shutter Data'!$GW$2,IF(E19='Designer Shutter Data'!$GV$3,'Designer Shutter Data'!$GX$2,IF(E19='Designer Shutter Data'!$GV$4,'Designer Shutter Data'!$GY$2)))</f>
        <v>0</v>
      </c>
      <c r="DU19" s="40" t="e">
        <f>MATCH(E19,'Designer Shutter Data'!$HB$1:$HD$1,0)</f>
        <v>#N/A</v>
      </c>
      <c r="DV19" s="40" t="e">
        <f>MATCH(M19,'Designer Shutter Data'!$HA$2:$HA$8,0)</f>
        <v>#N/A</v>
      </c>
      <c r="DW19" s="11" t="e">
        <f>INDEX('Designer Shutter Data'!$HB$2:$HD$8,DV19,DU19)</f>
        <v>#N/A</v>
      </c>
      <c r="DX19" s="11" t="b">
        <f>IF(E19='Designer Shutter Data'!$IG$1,'Designer Shutter Data'!$IG$2,IF(E19='Designer Shutter Data'!$IH$1,'Designer Shutter Data'!$IH$2, IF(E19='Designer Shutter Data'!$II$1,'Designer Shutter Data'!$II$2)))</f>
        <v>0</v>
      </c>
      <c r="DY19" s="11" t="str">
        <f>IF(E19="MS",'Designer Shutter Data'!$BI$2,IF(G19='Designer Shutter Data'!$BJ$34,'Designer Shutter Data'!$BJ$35,'Designer Shutter Data'!$BJ$2))</f>
        <v>FauxwoodDesignerWindowType</v>
      </c>
      <c r="DZ19" s="118" t="b">
        <f>IF(M19='Designer Shutter Data'!$F$3,'Designer Shutter Data'!$GF$88, IF(M19='Designer Shutter Data'!$F$4,'Designer Shutter Data'!$GE$59, IF(M19='Designer Shutter Data'!$F$5,'Designer Shutter Data'!$GD$59, IF(M19='Designer Shutter Data'!$F$6,'Designer Shutter Data'!$GD$59, IF(M19='Designer Shutter Data'!$F$7,'Designer Shutter Data'!$GD$73)))))</f>
        <v>0</v>
      </c>
      <c r="EB19" s="6" t="b">
        <f>IF(M19='Designer Shutter Data'!$IT$2,'Designer Shutter Data'!$JA$2, IF(M19='Designer Shutter Data'!$IT$3,'Designer Shutter Data'!$JC$2, IF(M19='Designer Shutter Data'!$IT$4,'Designer Shutter Data'!$JE$2, IF(M19='Designer Shutter Data'!$IT$5,'Designer Shutter Data'!$JG$2, IF(M19='Designer Shutter Data'!$IT$6,'Designer Shutter Data'!$JI$2, IF(M19='Designer Shutter Data'!$IT$7,'Designer Shutter Data'!$JZ$2, IF(M19='Designer Shutter Data'!$IT$8,'Designer Shutter Data'!$JI$16)))))))</f>
        <v>0</v>
      </c>
      <c r="EC19" s="6" t="str">
        <f t="shared" si="34"/>
        <v>NoHighlight</v>
      </c>
      <c r="ED19" s="7" t="e">
        <f>VLOOKUP(M19,'Designer Shutter Data'!$JW$5:$JX$10,2,FALSE)</f>
        <v>#N/A</v>
      </c>
      <c r="EE19" s="7" t="e">
        <f t="shared" si="35"/>
        <v>#N/A</v>
      </c>
      <c r="EF19" s="118" t="e">
        <f>VLOOKUP(O19,'Designer Shutter Data'!$AO$3:$AQ$171,1,FALSE)</f>
        <v>#N/A</v>
      </c>
      <c r="EG19" s="7" t="e">
        <f t="shared" si="36"/>
        <v>#N/A</v>
      </c>
      <c r="EH19" s="6" t="str">
        <f t="shared" si="37"/>
        <v/>
      </c>
      <c r="EJ19" s="40" t="e">
        <f>MATCH(M19,'Designer Shutter Data'!$KD$1:$KI$1,0)</f>
        <v>#N/A</v>
      </c>
      <c r="EK19" s="40" t="e">
        <f>MATCH(P19,'Designer Shutter Data'!$KC$2:$KC$21,0)</f>
        <v>#N/A</v>
      </c>
      <c r="EL19" s="136" t="e">
        <f>INDEX('Designer Shutter Data'!$KD$2:$KI$21,EK19,EJ19)</f>
        <v>#N/A</v>
      </c>
      <c r="EP19" s="6" t="str">
        <f>IF(AC19&lt;&gt;$EO$4,'Designer Shutter Data'!$BR$2,'Designer Shutter Data'!$BR$9)</f>
        <v>Fluffy_Strip_Fauxwood</v>
      </c>
      <c r="ER19" s="6" t="str">
        <f>IF(G19='Designer Shutter Data'!$E$26,'Designer Shutter Data'!$E$27,IF(G19='Designer Shutter Data'!$E$37,'Designer Shutter Data'!$E$38,'Designer Shutter Data'!$E$2))</f>
        <v>FauxwoodDesignerBladeSize</v>
      </c>
      <c r="ET19" s="6" t="str">
        <f t="shared" si="47"/>
        <v>Stile T Post</v>
      </c>
      <c r="EW19" s="40" t="e">
        <f>MATCH(G19,'Designer Shutter Data'!$AV$27:$AV$30,0)</f>
        <v>#N/A</v>
      </c>
      <c r="EX19" s="40" t="e">
        <f>MATCH(AC19,'Designer Shutter Data'!$AW$26:$AX$26,0)</f>
        <v>#N/A</v>
      </c>
      <c r="EY19" s="136" t="e">
        <f>INDEX('Designer Shutter Data'!$AW$27:$AX$30,EW19,EX19)</f>
        <v>#N/A</v>
      </c>
      <c r="EZ19" s="6" t="str">
        <f>IF(G19='Designer Shutter Data'!$S$15,'Designer Shutter Data'!$S$16, IF(G19=$FB$7,'Designer Shutter Data'!$T$15,'Designer Shutter Data'!$S$2))</f>
        <v>FauxwoodDesignerTiltrod</v>
      </c>
      <c r="FA19" s="6" t="e">
        <f>IF(G19=$FB$7,"No",VLOOKUP(L19,'Designer Shutter Data'!$BJ$62:$BK$75,2,FALSE))</f>
        <v>#N/A</v>
      </c>
      <c r="FB19" s="6" t="e">
        <f>IF(FA19="Yes", 'Designer Shutter Data'!$T$2,IF(G19=$FB$7,'Designer Shutter Data'!$T$15,'Designer Shutters Page 2'!EZ19))</f>
        <v>#N/A</v>
      </c>
      <c r="FC19" s="6" t="e">
        <f>MATCH(G19,'Designer Shutter Data'!$IG$15:$IJ$15,0)</f>
        <v>#N/A</v>
      </c>
      <c r="FD19" s="6" t="e">
        <f>MATCH(E19,'Designer Shutter Data'!$IF$16:$IF$18,0)</f>
        <v>#N/A</v>
      </c>
      <c r="FE19" s="6" t="e">
        <f>INDEX('Designer Shutter Data'!$IG$16:$IJ$18, 'Designer Shutters Page 2'!FD19, 'Designer Shutters Page 2'!FC19)</f>
        <v>#N/A</v>
      </c>
      <c r="FH19" s="6" t="str">
        <f t="shared" si="48"/>
        <v>SlidingSystemNA</v>
      </c>
      <c r="FJ19" s="6" t="e">
        <f>VLOOKUP(O19,'Designer Shutter Data'!$KP$2:$KR$44,3,FALSE)</f>
        <v>#N/A</v>
      </c>
      <c r="FL19" s="11" t="b">
        <f>IF(N19=$FL$7,'Designer Shutter Data'!$GH$98,DM19)</f>
        <v>0</v>
      </c>
    </row>
    <row r="20" spans="1:168" ht="36.75" customHeight="1" x14ac:dyDescent="0.2">
      <c r="A20" s="50">
        <v>12</v>
      </c>
      <c r="B20" s="51"/>
      <c r="C20" s="44"/>
      <c r="D20" s="31"/>
      <c r="E20" s="44"/>
      <c r="F20" s="31"/>
      <c r="G20" s="43"/>
      <c r="H20" s="234"/>
      <c r="I20" s="235"/>
      <c r="J20" s="44"/>
      <c r="K20" s="45"/>
      <c r="L20" s="45"/>
      <c r="M20" s="45"/>
      <c r="N20" s="45"/>
      <c r="O20" s="45"/>
      <c r="P20" s="236"/>
      <c r="Q20" s="236"/>
      <c r="R20" s="43"/>
      <c r="S20" s="43"/>
      <c r="T20" s="43"/>
      <c r="U20" s="43"/>
      <c r="V20" s="45"/>
      <c r="W20" s="45"/>
      <c r="X20" s="43"/>
      <c r="Y20" s="46"/>
      <c r="Z20" s="47"/>
      <c r="AA20" s="47"/>
      <c r="AB20" s="47"/>
      <c r="AC20" s="44"/>
      <c r="AD20" s="44"/>
      <c r="AE20" s="48" t="str">
        <f t="shared" si="0"/>
        <v/>
      </c>
      <c r="AI20" s="6">
        <f t="shared" si="38"/>
        <v>0</v>
      </c>
      <c r="AJ20" s="6">
        <f t="shared" si="39"/>
        <v>0</v>
      </c>
      <c r="AK20" s="6">
        <f>IF(O20&lt;&gt;"",VLOOKUP(O20,'Designer Shutter Data'!$KP$2:$KQ$44,2,FALSE),0)</f>
        <v>0</v>
      </c>
      <c r="AT20" s="49" t="str">
        <f t="shared" si="1"/>
        <v/>
      </c>
      <c r="AV20" s="6" t="str">
        <f>IF(G20=$AV$7,'Designer Shutter Data'!$D$38,'Designer Shutter Data'!$D$2)</f>
        <v>FauxwoodDesignerColour</v>
      </c>
      <c r="AW20" s="130" t="e">
        <f t="shared" si="40"/>
        <v>#N/A</v>
      </c>
      <c r="AX20" s="130" t="e">
        <f>VLOOKUP(M20,'Designer Shutter Data'!$JK$2:$JL$7,2,FALSE)</f>
        <v>#N/A</v>
      </c>
      <c r="AY20" s="38" t="b">
        <v>0</v>
      </c>
      <c r="AZ20" s="38" t="str">
        <f t="shared" si="2"/>
        <v>No</v>
      </c>
      <c r="BA20" s="38" t="e">
        <f t="shared" si="3"/>
        <v>#DIV/0!</v>
      </c>
      <c r="BB20" s="38" t="e">
        <f t="shared" si="4"/>
        <v>#DIV/0!</v>
      </c>
      <c r="BC20" s="38" t="e">
        <f t="shared" si="5"/>
        <v>#DIV/0!</v>
      </c>
      <c r="BD20" s="38" t="str">
        <f t="shared" si="6"/>
        <v>No</v>
      </c>
      <c r="BE20" s="38" t="e">
        <f>IF(OR(AND(C20&gt;0,#REF!="")), "Required","NotRequired")</f>
        <v>#REF!</v>
      </c>
      <c r="BF20" s="38" t="b">
        <v>0</v>
      </c>
      <c r="BG20" s="38" t="e">
        <f t="shared" si="41"/>
        <v>#DIV/0!</v>
      </c>
      <c r="BH20" s="39" t="str">
        <f t="shared" si="7"/>
        <v>NoHighlight</v>
      </c>
      <c r="BI20" s="38" t="str">
        <f t="shared" si="8"/>
        <v>FauxwoodRPNo</v>
      </c>
      <c r="BJ20" s="110" t="str">
        <f>IF(SUM(--ISNUMBER(SEARCH({"t","T"}, O20))),"Yes","No")</f>
        <v>No</v>
      </c>
      <c r="BK20" s="127" t="str">
        <f t="shared" si="9"/>
        <v>OK</v>
      </c>
      <c r="BL20" s="127" t="str">
        <f t="shared" si="10"/>
        <v>OK</v>
      </c>
      <c r="BM20" s="127" t="str">
        <f t="shared" si="11"/>
        <v>OK</v>
      </c>
      <c r="BN20" s="39" t="str">
        <f t="shared" si="12"/>
        <v>OK</v>
      </c>
      <c r="BO20" s="39" t="str">
        <f t="shared" si="13"/>
        <v>FauxwoodAINo</v>
      </c>
      <c r="BP20" s="39" t="str">
        <f>IF(SUM(--ISNUMBER(SEARCH({"combo","Combo","COMBO"}, B37))),"Yes","No")</f>
        <v>No</v>
      </c>
      <c r="BQ20" s="39" t="str">
        <f t="shared" si="42"/>
        <v>No</v>
      </c>
      <c r="BR20" s="39" t="str">
        <f>IF(SUM(--ISNUMBER(SEARCH({"c","C","b","B"}, L20))),"Yes","No")</f>
        <v>No</v>
      </c>
      <c r="BS20" s="11">
        <f t="shared" si="14"/>
        <v>0</v>
      </c>
      <c r="BT20" s="11" t="s">
        <v>820</v>
      </c>
      <c r="BU20" s="11" t="s">
        <v>820</v>
      </c>
      <c r="BV20" s="40">
        <f t="shared" si="15"/>
        <v>0</v>
      </c>
      <c r="BW20" s="40">
        <f t="shared" si="16"/>
        <v>0</v>
      </c>
      <c r="BX20" s="11" t="e">
        <f t="shared" si="17"/>
        <v>#DIV/0!</v>
      </c>
      <c r="BY20" s="11" t="b">
        <v>0</v>
      </c>
      <c r="BZ20" s="11" t="b">
        <v>0</v>
      </c>
      <c r="CA20" s="11" t="e">
        <v>#REF!</v>
      </c>
      <c r="CB20" s="11" t="s">
        <v>82</v>
      </c>
      <c r="CC20" s="11" t="e">
        <f t="shared" si="18"/>
        <v>#DIV/0!</v>
      </c>
      <c r="CD20" s="11" t="e">
        <f>VLOOKUP(P20,'Designer Shutter Data'!$H$3:$I$19,2,FALSE)</f>
        <v>#N/A</v>
      </c>
      <c r="CE20" s="11" t="s">
        <v>820</v>
      </c>
      <c r="CF20" s="11" t="str">
        <f>IF(SUM(--ISNUMBER(SEARCH({"z","Z"}, P20))),"Yes","No")</f>
        <v>No</v>
      </c>
      <c r="CG20" s="11" t="str">
        <f t="shared" si="19"/>
        <v>OK</v>
      </c>
      <c r="CH20" s="11">
        <f t="shared" si="20"/>
        <v>0</v>
      </c>
      <c r="CI20" s="120" t="e">
        <f>IF(O20="N/A","N/A",VLOOKUP(O20,'Designer Shutter Data'!$AO$3:$AP$171,2,FALSE))</f>
        <v>#N/A</v>
      </c>
      <c r="CJ20" s="120" t="e">
        <f t="shared" si="21"/>
        <v>#N/A</v>
      </c>
      <c r="CK20" s="40"/>
      <c r="CL20" s="40"/>
      <c r="CM20" s="40"/>
      <c r="CN20" s="41" t="str">
        <f t="shared" si="22"/>
        <v>OK</v>
      </c>
      <c r="CO20" s="129" t="b">
        <f t="shared" si="23"/>
        <v>0</v>
      </c>
      <c r="CP20" s="129" t="b">
        <f t="shared" si="24"/>
        <v>0</v>
      </c>
      <c r="CQ20" s="40">
        <f t="shared" si="25"/>
        <v>0</v>
      </c>
      <c r="CR20" s="133">
        <f t="shared" si="26"/>
        <v>0</v>
      </c>
      <c r="CS20" s="40">
        <f t="shared" si="43"/>
        <v>0</v>
      </c>
      <c r="CT20" s="133" t="e">
        <f t="shared" si="27"/>
        <v>#N/A</v>
      </c>
      <c r="CU20" s="11" t="b">
        <v>0</v>
      </c>
      <c r="CV20" s="11" t="b">
        <v>0</v>
      </c>
      <c r="CW20" s="11" t="b">
        <v>0</v>
      </c>
      <c r="CX20" s="11" t="b">
        <v>0</v>
      </c>
      <c r="CY20" s="40" t="e">
        <f>IF(OR(AND(#REF!&gt;0,#REF!="")), "Error","OK")</f>
        <v>#REF!</v>
      </c>
      <c r="CZ20" s="11" t="e">
        <v>#REF!</v>
      </c>
      <c r="DA20" s="6" t="str">
        <f t="shared" si="28"/>
        <v/>
      </c>
      <c r="DD20" s="6" t="s">
        <v>84</v>
      </c>
      <c r="DE20" s="6" t="b">
        <f>IF(M20='Designer Shutter Data'!$F$3,'Designer Shutter Data'!$FY$7,IF(M20='Designer Shutter Data'!$F$4,'Designer Shutter Data'!$FZ$2,IF(M20='Designer Shutter Data'!$F$5,FJ20, IF(M20='Designer Shutter Data'!$F$6,'Designer Shutter Data'!$GA$2,IF(M20='Designer Shutter Data'!$F$7,'Designer Shutter Data'!$FY$2, IF(M20='Designer Shutter Data'!$F$8,'Designer Shutter Data'!$FZ$7, IF(M20='Designer Shutter Data'!$F$14,'Designer Shutter Data'!$FZ$14)))))))</f>
        <v>0</v>
      </c>
      <c r="DF20" s="6" t="e">
        <f>VLOOKUP(M20,'Designer Shutter Data'!$M$2:$N$8,2,FALSE)</f>
        <v>#N/A</v>
      </c>
      <c r="DH20" s="123" t="e">
        <f>VLOOKUP(O20,'Designer Shutter Data'!$IN$2:$IO$169,2,FALSE)</f>
        <v>#N/A</v>
      </c>
      <c r="DI20" s="103" t="e">
        <f t="shared" si="29"/>
        <v>#N/A</v>
      </c>
      <c r="DJ20" s="103" t="e">
        <f t="shared" si="44"/>
        <v>#N/A</v>
      </c>
      <c r="DK20" s="7" t="b">
        <f>IF(P20='Designer Shutter Data'!$GC$2,'Designer Shutter Data'!$GD$2,IF(P20='Designer Shutter Data'!$GC$3,'Designer Shutter Data'!$GE$2,IF(P20='Designer Shutter Data'!$GC$4,'Designer Shutter Data'!$GF$2,IF(P20='Designer Shutter Data'!$GC$5,'Designer Shutter Data'!$GG$2,IF(P20='Designer Shutter Data'!$GC$6,'Designer Shutter Data'!$GH$2,IF(P20='Designer Shutter Data'!$GC$7,'Designer Shutter Data'!$GI$2,IF(P20='Designer Shutter Data'!$GC$8,'Designer Shutter Data'!$GJ$2,IF(P20='Designer Shutter Data'!$GC$9,'Designer Shutter Data'!$GK$2,IF(P20='Designer Shutter Data'!$GC$10,'Designer Shutter Data'!$GL$2,IF(P20='Designer Shutter Data'!$GC$11,'Designer Shutter Data'!$GM$2,IF(P20='Designer Shutter Data'!$GC$12,'Designer Shutter Data'!$GN$2,IF(P20='Designer Shutter Data'!$GC$13,'Designer Shutter Data'!$GO$2,IF(P20='Designer Shutter Data'!$GC$14,'Designer Shutter Data'!$GP$2,IF(P20='Designer Shutter Data'!$GC$15,'Designer Shutter Data'!$GD$15,IF(P20='Designer Shutter Data'!$GC$16,'Designer Shutter Data'!$GE$15,IF(P20='Designer Shutter Data'!$GC$17,'Designer Shutter Data'!$GF$15,IF(P20='Designer Shutter Data'!$GC$18,'Designer Shutter Data'!$GG$15,IF(P20='Designer Shutter Data'!$GC$19,'Designer Shutter Data'!$GD$73,IF(P20='Designer Shutter Data'!$GC$20,'Designer Shutter Data'!$GD$88, IF(P20='Designer Shutter Data'!$GC$21,'Designer Shutter Data'!$GH$15, IF(P20='Designer Shutter Data'!$GC$22,'Designer Shutter Data'!$GJ$2, IF(P20='Designer Shutter Data'!$GC$23,'Designer Shutter Data'!$GL$2))))))))))))))))))))))</f>
        <v>0</v>
      </c>
      <c r="DL20" s="7" t="b">
        <f>IF(P20='Designer Shutter Data'!$GC$2,'Designer Shutter Data'!$GD$25,IF(P20='Designer Shutter Data'!$GC$3,'Designer Shutter Data'!$GE$25,IF(P20='Designer Shutter Data'!$GC$4,'Designer Shutter Data'!$GF$25,IF(P20='Designer Shutter Data'!$GC$5,'Designer Shutter Data'!$GG$25,IF(P20='Designer Shutter Data'!$GC$6,'Designer Shutter Data'!$GH$25,IF(P20='Designer Shutter Data'!$GC$7,'Designer Shutter Data'!$GI$25,IF(P20='Designer Shutter Data'!$GC$8,'Designer Shutter Data'!$GJ$25,IF(P20='Designer Shutter Data'!$GC$9,'Designer Shutter Data'!$GK$25,IF(P20='Designer Shutter Data'!$GC$10,'Designer Shutter Data'!$GL$25,IF(P20='Designer Shutter Data'!$GC$11,'Designer Shutter Data'!$GM$25,IF(P20='Designer Shutter Data'!$GC$12,'Designer Shutter Data'!$GN$25,IF(P20='Designer Shutter Data'!$GC$13,'Designer Shutter Data'!$GO$25,IF(P20='Designer Shutter Data'!$GC$14,'Designer Shutter Data'!$GP$25,IF(P20='Designer Shutter Data'!$GC$15,'Designer Shutter Data'!$GD$37,IF(P20='Designer Shutter Data'!$GC$15,'Designer Shutter Data'!$GD$37,IF(P20='Designer Shutter Data'!$GC$16,'Designer Shutter Data'!$GE$37,IF(P20='Designer Shutter Data'!$GC$17,'Designer Shutter Data'!$GF$37,IF(P20='Designer Shutter Data'!$GC$18,'Designer Shutter Data'!$GG$37, IF(P20='Designer Shutter Data'!$GC$19,'Designer Shutter Data'!$GD$73, IF(P20='Designer Shutter Data'!$GC$20,'Designer Shutter Data'!$GE$88, IF(P20='Designer Shutter Data'!$GC$21,'Designer Shutter Data'!$GH$37,IF(P20='Designer Shutter Data'!$GC$22,'Designer Shutter Data'!$GJ$25,IF(P20='Designer Shutter Data'!$GC$23,'Designer Shutter Data'!$GL$25)))))))))))))))))))))))</f>
        <v>0</v>
      </c>
      <c r="DM20" s="118" t="b">
        <f>IF(P20='Designer Shutter Data'!$GC$2,'Designer Shutter Data'!$GD$47,IF(P20='Designer Shutter Data'!$GC$3,'Designer Shutter Data'!$GE$47,IF(P20='Designer Shutter Data'!$GC$4,'Designer Shutter Data'!$GF$47,IF(P20='Designer Shutter Data'!$GC$5,'Designer Shutter Data'!$GG$47,IF(P20='Designer Shutter Data'!$GC$6,'Designer Shutter Data'!$GH$47,IF(P20='Designer Shutter Data'!$GC$7,'Designer Shutter Data'!$GI$47,IF(P20='Designer Shutter Data'!$GC$8,'Designer Shutter Data'!$GJ$47,IF(P20='Designer Shutter Data'!$GC$9,'Designer Shutter Data'!$GK$47,IF(P20='Designer Shutter Data'!$GC$10,'Designer Shutter Data'!$GL$47,IF(P20='Designer Shutter Data'!$GC$11,'Designer Shutter Data'!$GM$47,IF(P20='Designer Shutter Data'!$GC$12,'Designer Shutter Data'!$GN$47,IF(P20='Designer Shutter Data'!$GC$13,'Designer Shutter Data'!$GO$47,IF(P20='Designer Shutter Data'!$GC$14,'Designer Shutter Data'!$GP$47, IF(P20='Designer Shutter Data'!$GC$19,'Designer Shutter Data'!$GD$73, IF(P20='Designer Shutter Data'!$GC$20,'Designer Shutter Data'!$GF$88, IF(M20='Designer Shutter Data'!$F$5,'Designer Shutter Data'!$GE$59, IF(M20='Designer Shutter Data'!$F$6,'Designer Shutter Data'!$GD$59, IF(P20='Designer Shutter Data'!$GC$21,'Designer Shutter Data'!$GF$59,IF(P20='Designer Shutter Data'!$GC$22,'Designer Shutter Data'!$GJ$47,IF(P20='Designer Shutter Data'!$GC$23,'Designer Shutter Data'!$GL$47))))))))))))))))))))</f>
        <v>0</v>
      </c>
      <c r="DN20" s="107" t="str">
        <f t="shared" si="45"/>
        <v/>
      </c>
      <c r="DO20" s="107" t="e">
        <f t="shared" si="46"/>
        <v>#N/A</v>
      </c>
      <c r="DP20" s="107" t="str">
        <f t="shared" si="30"/>
        <v>OK</v>
      </c>
      <c r="DQ20" s="107" t="str">
        <f t="shared" si="31"/>
        <v>OK</v>
      </c>
      <c r="DR20" s="107" t="str">
        <f t="shared" si="32"/>
        <v>OK</v>
      </c>
      <c r="DS20" s="107" t="str">
        <f t="shared" si="33"/>
        <v>OK</v>
      </c>
      <c r="DT20" s="7" t="b">
        <f>IF(E20='Designer Shutter Data'!$GV$2,'Designer Shutter Data'!$GW$2,IF(E20='Designer Shutter Data'!$GV$3,'Designer Shutter Data'!$GX$2,IF(E20='Designer Shutter Data'!$GV$4,'Designer Shutter Data'!$GY$2)))</f>
        <v>0</v>
      </c>
      <c r="DU20" s="40" t="e">
        <f>MATCH(E20,'Designer Shutter Data'!$HB$1:$HD$1,0)</f>
        <v>#N/A</v>
      </c>
      <c r="DV20" s="40" t="e">
        <f>MATCH(M20,'Designer Shutter Data'!$HA$2:$HA$8,0)</f>
        <v>#N/A</v>
      </c>
      <c r="DW20" s="11" t="e">
        <f>INDEX('Designer Shutter Data'!$HB$2:$HD$8,DV20,DU20)</f>
        <v>#N/A</v>
      </c>
      <c r="DX20" s="11" t="b">
        <f>IF(E20='Designer Shutter Data'!$IG$1,'Designer Shutter Data'!$IG$2,IF(E20='Designer Shutter Data'!$IH$1,'Designer Shutter Data'!$IH$2, IF(E20='Designer Shutter Data'!$II$1,'Designer Shutter Data'!$II$2)))</f>
        <v>0</v>
      </c>
      <c r="DY20" s="11" t="str">
        <f>IF(E20="MS",'Designer Shutter Data'!$BI$2,IF(G20='Designer Shutter Data'!$BJ$34,'Designer Shutter Data'!$BJ$35,'Designer Shutter Data'!$BJ$2))</f>
        <v>FauxwoodDesignerWindowType</v>
      </c>
      <c r="DZ20" s="118" t="b">
        <f>IF(M20='Designer Shutter Data'!$F$3,'Designer Shutter Data'!$GF$88, IF(M20='Designer Shutter Data'!$F$4,'Designer Shutter Data'!$GE$59, IF(M20='Designer Shutter Data'!$F$5,'Designer Shutter Data'!$GD$59, IF(M20='Designer Shutter Data'!$F$6,'Designer Shutter Data'!$GD$59, IF(M20='Designer Shutter Data'!$F$7,'Designer Shutter Data'!$GD$73)))))</f>
        <v>0</v>
      </c>
      <c r="EB20" s="6" t="b">
        <f>IF(M20='Designer Shutter Data'!$IT$2,'Designer Shutter Data'!$JA$2, IF(M20='Designer Shutter Data'!$IT$3,'Designer Shutter Data'!$JC$2, IF(M20='Designer Shutter Data'!$IT$4,'Designer Shutter Data'!$JE$2, IF(M20='Designer Shutter Data'!$IT$5,'Designer Shutter Data'!$JG$2, IF(M20='Designer Shutter Data'!$IT$6,'Designer Shutter Data'!$JI$2, IF(M20='Designer Shutter Data'!$IT$7,'Designer Shutter Data'!$JZ$2, IF(M20='Designer Shutter Data'!$IT$8,'Designer Shutter Data'!$JI$16)))))))</f>
        <v>0</v>
      </c>
      <c r="EC20" s="6" t="str">
        <f t="shared" si="34"/>
        <v>NoHighlight</v>
      </c>
      <c r="ED20" s="7" t="e">
        <f>VLOOKUP(M20,'Designer Shutter Data'!$JW$5:$JX$10,2,FALSE)</f>
        <v>#N/A</v>
      </c>
      <c r="EE20" s="7" t="e">
        <f t="shared" si="35"/>
        <v>#N/A</v>
      </c>
      <c r="EF20" s="118" t="e">
        <f>VLOOKUP(O20,'Designer Shutter Data'!$AO$3:$AQ$171,1,FALSE)</f>
        <v>#N/A</v>
      </c>
      <c r="EG20" s="7" t="e">
        <f t="shared" si="36"/>
        <v>#N/A</v>
      </c>
      <c r="EH20" s="6" t="str">
        <f t="shared" si="37"/>
        <v/>
      </c>
      <c r="EJ20" s="40" t="e">
        <f>MATCH(M20,'Designer Shutter Data'!$KD$1:$KI$1,0)</f>
        <v>#N/A</v>
      </c>
      <c r="EK20" s="40" t="e">
        <f>MATCH(P20,'Designer Shutter Data'!$KC$2:$KC$21,0)</f>
        <v>#N/A</v>
      </c>
      <c r="EL20" s="136" t="e">
        <f>INDEX('Designer Shutter Data'!$KD$2:$KI$21,EK20,EJ20)</f>
        <v>#N/A</v>
      </c>
      <c r="EP20" s="6" t="str">
        <f>IF(AC20&lt;&gt;$EO$4,'Designer Shutter Data'!$BR$2,'Designer Shutter Data'!$BR$9)</f>
        <v>Fluffy_Strip_Fauxwood</v>
      </c>
      <c r="ER20" s="6" t="str">
        <f>IF(G20='Designer Shutter Data'!$E$26,'Designer Shutter Data'!$E$27,IF(G20='Designer Shutter Data'!$E$37,'Designer Shutter Data'!$E$38,'Designer Shutter Data'!$E$2))</f>
        <v>FauxwoodDesignerBladeSize</v>
      </c>
      <c r="ET20" s="6" t="str">
        <f t="shared" si="47"/>
        <v>Stile T Post</v>
      </c>
      <c r="EW20" s="40" t="e">
        <f>MATCH(G20,'Designer Shutter Data'!$AV$27:$AV$30,0)</f>
        <v>#N/A</v>
      </c>
      <c r="EX20" s="40" t="e">
        <f>MATCH(AC20,'Designer Shutter Data'!$AW$26:$AX$26,0)</f>
        <v>#N/A</v>
      </c>
      <c r="EY20" s="136" t="e">
        <f>INDEX('Designer Shutter Data'!$AW$27:$AX$30,EW20,EX20)</f>
        <v>#N/A</v>
      </c>
      <c r="EZ20" s="6" t="str">
        <f>IF(G20='Designer Shutter Data'!$S$15,'Designer Shutter Data'!$S$16, IF(G20=$FB$7,'Designer Shutter Data'!$T$15,'Designer Shutter Data'!$S$2))</f>
        <v>FauxwoodDesignerTiltrod</v>
      </c>
      <c r="FA20" s="6" t="e">
        <f>IF(G20=$FB$7,"No",VLOOKUP(L20,'Designer Shutter Data'!$BJ$62:$BK$75,2,FALSE))</f>
        <v>#N/A</v>
      </c>
      <c r="FB20" s="6" t="e">
        <f>IF(FA20="Yes", 'Designer Shutter Data'!$T$2,IF(G20=$FB$7,'Designer Shutter Data'!$T$15,'Designer Shutters Page 2'!EZ20))</f>
        <v>#N/A</v>
      </c>
      <c r="FC20" s="6" t="e">
        <f>MATCH(G20,'Designer Shutter Data'!$IG$15:$IJ$15,0)</f>
        <v>#N/A</v>
      </c>
      <c r="FD20" s="6" t="e">
        <f>MATCH(E20,'Designer Shutter Data'!$IF$16:$IF$18,0)</f>
        <v>#N/A</v>
      </c>
      <c r="FE20" s="6" t="e">
        <f>INDEX('Designer Shutter Data'!$IG$16:$IJ$18, 'Designer Shutters Page 2'!FD20, 'Designer Shutters Page 2'!FC20)</f>
        <v>#N/A</v>
      </c>
      <c r="FH20" s="6" t="str">
        <f t="shared" si="48"/>
        <v>SlidingSystemNA</v>
      </c>
      <c r="FJ20" s="6" t="e">
        <f>VLOOKUP(O20,'Designer Shutter Data'!$KP$2:$KR$44,3,FALSE)</f>
        <v>#N/A</v>
      </c>
      <c r="FL20" s="11" t="b">
        <f>IF(N20=$FL$7,'Designer Shutter Data'!$GH$98,DM20)</f>
        <v>0</v>
      </c>
    </row>
    <row r="21" spans="1:168" ht="36.75" customHeight="1" x14ac:dyDescent="0.2">
      <c r="A21" s="50">
        <v>13</v>
      </c>
      <c r="B21" s="51"/>
      <c r="C21" s="44"/>
      <c r="D21" s="31"/>
      <c r="E21" s="44"/>
      <c r="F21" s="31"/>
      <c r="G21" s="43"/>
      <c r="H21" s="234"/>
      <c r="I21" s="235"/>
      <c r="J21" s="44"/>
      <c r="K21" s="45"/>
      <c r="L21" s="45"/>
      <c r="M21" s="45"/>
      <c r="N21" s="45"/>
      <c r="O21" s="45"/>
      <c r="P21" s="236"/>
      <c r="Q21" s="236"/>
      <c r="R21" s="43"/>
      <c r="S21" s="43"/>
      <c r="T21" s="43"/>
      <c r="U21" s="43"/>
      <c r="V21" s="45"/>
      <c r="W21" s="45"/>
      <c r="X21" s="43"/>
      <c r="Y21" s="46"/>
      <c r="Z21" s="47"/>
      <c r="AA21" s="47"/>
      <c r="AB21" s="47"/>
      <c r="AC21" s="44"/>
      <c r="AD21" s="44"/>
      <c r="AE21" s="48" t="str">
        <f t="shared" si="0"/>
        <v/>
      </c>
      <c r="AI21" s="6">
        <f t="shared" si="38"/>
        <v>0</v>
      </c>
      <c r="AJ21" s="6">
        <f t="shared" si="39"/>
        <v>0</v>
      </c>
      <c r="AK21" s="6">
        <f>IF(O21&lt;&gt;"",VLOOKUP(O21,'Designer Shutter Data'!$KP$2:$KQ$44,2,FALSE),0)</f>
        <v>0</v>
      </c>
      <c r="AT21" s="49" t="str">
        <f t="shared" si="1"/>
        <v/>
      </c>
      <c r="AV21" s="6" t="str">
        <f>IF(G21=$AV$7,'Designer Shutter Data'!$D$38,'Designer Shutter Data'!$D$2)</f>
        <v>FauxwoodDesignerColour</v>
      </c>
      <c r="AW21" s="130" t="e">
        <f t="shared" si="40"/>
        <v>#N/A</v>
      </c>
      <c r="AX21" s="130" t="e">
        <f>VLOOKUP(M21,'Designer Shutter Data'!$JK$2:$JL$7,2,FALSE)</f>
        <v>#N/A</v>
      </c>
      <c r="AY21" s="38" t="b">
        <v>0</v>
      </c>
      <c r="AZ21" s="38" t="str">
        <f t="shared" si="2"/>
        <v>No</v>
      </c>
      <c r="BA21" s="38" t="e">
        <f t="shared" si="3"/>
        <v>#DIV/0!</v>
      </c>
      <c r="BB21" s="38" t="e">
        <f t="shared" si="4"/>
        <v>#DIV/0!</v>
      </c>
      <c r="BC21" s="38" t="e">
        <f t="shared" si="5"/>
        <v>#DIV/0!</v>
      </c>
      <c r="BD21" s="38" t="str">
        <f t="shared" si="6"/>
        <v>No</v>
      </c>
      <c r="BE21" s="38" t="e">
        <f>IF(OR(AND(C21&gt;0,#REF!="")), "Required","NotRequired")</f>
        <v>#REF!</v>
      </c>
      <c r="BF21" s="38" t="b">
        <v>0</v>
      </c>
      <c r="BG21" s="38" t="e">
        <f t="shared" si="41"/>
        <v>#DIV/0!</v>
      </c>
      <c r="BH21" s="39" t="str">
        <f t="shared" si="7"/>
        <v>NoHighlight</v>
      </c>
      <c r="BI21" s="38" t="str">
        <f t="shared" si="8"/>
        <v>FauxwoodRPNo</v>
      </c>
      <c r="BJ21" s="110" t="str">
        <f>IF(SUM(--ISNUMBER(SEARCH({"t","T"}, O21))),"Yes","No")</f>
        <v>No</v>
      </c>
      <c r="BK21" s="127" t="str">
        <f t="shared" si="9"/>
        <v>OK</v>
      </c>
      <c r="BL21" s="127" t="str">
        <f t="shared" si="10"/>
        <v>OK</v>
      </c>
      <c r="BM21" s="127" t="str">
        <f t="shared" si="11"/>
        <v>OK</v>
      </c>
      <c r="BN21" s="39" t="str">
        <f t="shared" si="12"/>
        <v>OK</v>
      </c>
      <c r="BO21" s="39" t="str">
        <f t="shared" si="13"/>
        <v>FauxwoodAINo</v>
      </c>
      <c r="BP21" s="39" t="str">
        <f>IF(SUM(--ISNUMBER(SEARCH({"combo","Combo","COMBO"}, B38))),"Yes","No")</f>
        <v>No</v>
      </c>
      <c r="BQ21" s="39" t="str">
        <f t="shared" si="42"/>
        <v>No</v>
      </c>
      <c r="BR21" s="39" t="str">
        <f>IF(SUM(--ISNUMBER(SEARCH({"c","C","b","B"}, L21))),"Yes","No")</f>
        <v>No</v>
      </c>
      <c r="BS21" s="11">
        <f t="shared" si="14"/>
        <v>0</v>
      </c>
      <c r="BT21" s="11" t="s">
        <v>820</v>
      </c>
      <c r="BU21" s="11" t="s">
        <v>820</v>
      </c>
      <c r="BV21" s="40">
        <f t="shared" si="15"/>
        <v>0</v>
      </c>
      <c r="BW21" s="40">
        <f t="shared" si="16"/>
        <v>0</v>
      </c>
      <c r="BX21" s="11" t="e">
        <f t="shared" si="17"/>
        <v>#DIV/0!</v>
      </c>
      <c r="BY21" s="11" t="b">
        <v>0</v>
      </c>
      <c r="BZ21" s="11" t="b">
        <v>0</v>
      </c>
      <c r="CA21" s="11" t="e">
        <v>#REF!</v>
      </c>
      <c r="CB21" s="11" t="s">
        <v>82</v>
      </c>
      <c r="CC21" s="11" t="e">
        <f t="shared" si="18"/>
        <v>#DIV/0!</v>
      </c>
      <c r="CD21" s="11" t="e">
        <f>VLOOKUP(P21,'Designer Shutter Data'!$H$3:$I$19,2,FALSE)</f>
        <v>#N/A</v>
      </c>
      <c r="CE21" s="11" t="s">
        <v>820</v>
      </c>
      <c r="CF21" s="11" t="str">
        <f>IF(SUM(--ISNUMBER(SEARCH({"z","Z"}, P21))),"Yes","No")</f>
        <v>No</v>
      </c>
      <c r="CG21" s="11" t="str">
        <f t="shared" si="19"/>
        <v>OK</v>
      </c>
      <c r="CH21" s="11">
        <f t="shared" si="20"/>
        <v>0</v>
      </c>
      <c r="CI21" s="120" t="e">
        <f>IF(O21="N/A","N/A",VLOOKUP(O21,'Designer Shutter Data'!$AO$3:$AP$171,2,FALSE))</f>
        <v>#N/A</v>
      </c>
      <c r="CJ21" s="120" t="e">
        <f t="shared" si="21"/>
        <v>#N/A</v>
      </c>
      <c r="CK21" s="40"/>
      <c r="CL21" s="40"/>
      <c r="CM21" s="40"/>
      <c r="CN21" s="41" t="str">
        <f t="shared" si="22"/>
        <v>OK</v>
      </c>
      <c r="CO21" s="129" t="b">
        <f t="shared" si="23"/>
        <v>0</v>
      </c>
      <c r="CP21" s="129" t="b">
        <f t="shared" si="24"/>
        <v>0</v>
      </c>
      <c r="CQ21" s="40">
        <f t="shared" si="25"/>
        <v>0</v>
      </c>
      <c r="CR21" s="133">
        <f t="shared" si="26"/>
        <v>0</v>
      </c>
      <c r="CS21" s="40">
        <f t="shared" si="43"/>
        <v>0</v>
      </c>
      <c r="CT21" s="133" t="e">
        <f t="shared" si="27"/>
        <v>#N/A</v>
      </c>
      <c r="CU21" s="11" t="b">
        <v>0</v>
      </c>
      <c r="CV21" s="11" t="b">
        <v>0</v>
      </c>
      <c r="CW21" s="11" t="b">
        <v>0</v>
      </c>
      <c r="CX21" s="11" t="b">
        <v>0</v>
      </c>
      <c r="CY21" s="40" t="e">
        <f>IF(OR(AND(#REF!&gt;0,#REF!="")), "Error","OK")</f>
        <v>#REF!</v>
      </c>
      <c r="CZ21" s="11" t="e">
        <v>#REF!</v>
      </c>
      <c r="DA21" s="6" t="str">
        <f t="shared" si="28"/>
        <v/>
      </c>
      <c r="DD21" s="6" t="s">
        <v>84</v>
      </c>
      <c r="DE21" s="6" t="b">
        <f>IF(M21='Designer Shutter Data'!$F$3,'Designer Shutter Data'!$FY$7,IF(M21='Designer Shutter Data'!$F$4,'Designer Shutter Data'!$FZ$2,IF(M21='Designer Shutter Data'!$F$5,FJ21, IF(M21='Designer Shutter Data'!$F$6,'Designer Shutter Data'!$GA$2,IF(M21='Designer Shutter Data'!$F$7,'Designer Shutter Data'!$FY$2, IF(M21='Designer Shutter Data'!$F$8,'Designer Shutter Data'!$FZ$7, IF(M21='Designer Shutter Data'!$F$14,'Designer Shutter Data'!$FZ$14)))))))</f>
        <v>0</v>
      </c>
      <c r="DF21" s="6" t="e">
        <f>VLOOKUP(M21,'Designer Shutter Data'!$M$2:$N$8,2,FALSE)</f>
        <v>#N/A</v>
      </c>
      <c r="DH21" s="123" t="e">
        <f>VLOOKUP(O21,'Designer Shutter Data'!$IN$2:$IO$169,2,FALSE)</f>
        <v>#N/A</v>
      </c>
      <c r="DI21" s="103" t="e">
        <f t="shared" si="29"/>
        <v>#N/A</v>
      </c>
      <c r="DJ21" s="103" t="e">
        <f t="shared" si="44"/>
        <v>#N/A</v>
      </c>
      <c r="DK21" s="7" t="b">
        <f>IF(P21='Designer Shutter Data'!$GC$2,'Designer Shutter Data'!$GD$2,IF(P21='Designer Shutter Data'!$GC$3,'Designer Shutter Data'!$GE$2,IF(P21='Designer Shutter Data'!$GC$4,'Designer Shutter Data'!$GF$2,IF(P21='Designer Shutter Data'!$GC$5,'Designer Shutter Data'!$GG$2,IF(P21='Designer Shutter Data'!$GC$6,'Designer Shutter Data'!$GH$2,IF(P21='Designer Shutter Data'!$GC$7,'Designer Shutter Data'!$GI$2,IF(P21='Designer Shutter Data'!$GC$8,'Designer Shutter Data'!$GJ$2,IF(P21='Designer Shutter Data'!$GC$9,'Designer Shutter Data'!$GK$2,IF(P21='Designer Shutter Data'!$GC$10,'Designer Shutter Data'!$GL$2,IF(P21='Designer Shutter Data'!$GC$11,'Designer Shutter Data'!$GM$2,IF(P21='Designer Shutter Data'!$GC$12,'Designer Shutter Data'!$GN$2,IF(P21='Designer Shutter Data'!$GC$13,'Designer Shutter Data'!$GO$2,IF(P21='Designer Shutter Data'!$GC$14,'Designer Shutter Data'!$GP$2,IF(P21='Designer Shutter Data'!$GC$15,'Designer Shutter Data'!$GD$15,IF(P21='Designer Shutter Data'!$GC$16,'Designer Shutter Data'!$GE$15,IF(P21='Designer Shutter Data'!$GC$17,'Designer Shutter Data'!$GF$15,IF(P21='Designer Shutter Data'!$GC$18,'Designer Shutter Data'!$GG$15,IF(P21='Designer Shutter Data'!$GC$19,'Designer Shutter Data'!$GD$73,IF(P21='Designer Shutter Data'!$GC$20,'Designer Shutter Data'!$GD$88, IF(P21='Designer Shutter Data'!$GC$21,'Designer Shutter Data'!$GH$15, IF(P21='Designer Shutter Data'!$GC$22,'Designer Shutter Data'!$GJ$2, IF(P21='Designer Shutter Data'!$GC$23,'Designer Shutter Data'!$GL$2))))))))))))))))))))))</f>
        <v>0</v>
      </c>
      <c r="DL21" s="7" t="b">
        <f>IF(P21='Designer Shutter Data'!$GC$2,'Designer Shutter Data'!$GD$25,IF(P21='Designer Shutter Data'!$GC$3,'Designer Shutter Data'!$GE$25,IF(P21='Designer Shutter Data'!$GC$4,'Designer Shutter Data'!$GF$25,IF(P21='Designer Shutter Data'!$GC$5,'Designer Shutter Data'!$GG$25,IF(P21='Designer Shutter Data'!$GC$6,'Designer Shutter Data'!$GH$25,IF(P21='Designer Shutter Data'!$GC$7,'Designer Shutter Data'!$GI$25,IF(P21='Designer Shutter Data'!$GC$8,'Designer Shutter Data'!$GJ$25,IF(P21='Designer Shutter Data'!$GC$9,'Designer Shutter Data'!$GK$25,IF(P21='Designer Shutter Data'!$GC$10,'Designer Shutter Data'!$GL$25,IF(P21='Designer Shutter Data'!$GC$11,'Designer Shutter Data'!$GM$25,IF(P21='Designer Shutter Data'!$GC$12,'Designer Shutter Data'!$GN$25,IF(P21='Designer Shutter Data'!$GC$13,'Designer Shutter Data'!$GO$25,IF(P21='Designer Shutter Data'!$GC$14,'Designer Shutter Data'!$GP$25,IF(P21='Designer Shutter Data'!$GC$15,'Designer Shutter Data'!$GD$37,IF(P21='Designer Shutter Data'!$GC$15,'Designer Shutter Data'!$GD$37,IF(P21='Designer Shutter Data'!$GC$16,'Designer Shutter Data'!$GE$37,IF(P21='Designer Shutter Data'!$GC$17,'Designer Shutter Data'!$GF$37,IF(P21='Designer Shutter Data'!$GC$18,'Designer Shutter Data'!$GG$37, IF(P21='Designer Shutter Data'!$GC$19,'Designer Shutter Data'!$GD$73, IF(P21='Designer Shutter Data'!$GC$20,'Designer Shutter Data'!$GE$88, IF(P21='Designer Shutter Data'!$GC$21,'Designer Shutter Data'!$GH$37,IF(P21='Designer Shutter Data'!$GC$22,'Designer Shutter Data'!$GJ$25,IF(P21='Designer Shutter Data'!$GC$23,'Designer Shutter Data'!$GL$25)))))))))))))))))))))))</f>
        <v>0</v>
      </c>
      <c r="DM21" s="118" t="b">
        <f>IF(P21='Designer Shutter Data'!$GC$2,'Designer Shutter Data'!$GD$47,IF(P21='Designer Shutter Data'!$GC$3,'Designer Shutter Data'!$GE$47,IF(P21='Designer Shutter Data'!$GC$4,'Designer Shutter Data'!$GF$47,IF(P21='Designer Shutter Data'!$GC$5,'Designer Shutter Data'!$GG$47,IF(P21='Designer Shutter Data'!$GC$6,'Designer Shutter Data'!$GH$47,IF(P21='Designer Shutter Data'!$GC$7,'Designer Shutter Data'!$GI$47,IF(P21='Designer Shutter Data'!$GC$8,'Designer Shutter Data'!$GJ$47,IF(P21='Designer Shutter Data'!$GC$9,'Designer Shutter Data'!$GK$47,IF(P21='Designer Shutter Data'!$GC$10,'Designer Shutter Data'!$GL$47,IF(P21='Designer Shutter Data'!$GC$11,'Designer Shutter Data'!$GM$47,IF(P21='Designer Shutter Data'!$GC$12,'Designer Shutter Data'!$GN$47,IF(P21='Designer Shutter Data'!$GC$13,'Designer Shutter Data'!$GO$47,IF(P21='Designer Shutter Data'!$GC$14,'Designer Shutter Data'!$GP$47, IF(P21='Designer Shutter Data'!$GC$19,'Designer Shutter Data'!$GD$73, IF(P21='Designer Shutter Data'!$GC$20,'Designer Shutter Data'!$GF$88, IF(M21='Designer Shutter Data'!$F$5,'Designer Shutter Data'!$GE$59, IF(M21='Designer Shutter Data'!$F$6,'Designer Shutter Data'!$GD$59, IF(P21='Designer Shutter Data'!$GC$21,'Designer Shutter Data'!$GF$59,IF(P21='Designer Shutter Data'!$GC$22,'Designer Shutter Data'!$GJ$47,IF(P21='Designer Shutter Data'!$GC$23,'Designer Shutter Data'!$GL$47))))))))))))))))))))</f>
        <v>0</v>
      </c>
      <c r="DN21" s="107" t="str">
        <f t="shared" si="45"/>
        <v/>
      </c>
      <c r="DO21" s="107" t="e">
        <f t="shared" si="46"/>
        <v>#N/A</v>
      </c>
      <c r="DP21" s="107" t="str">
        <f t="shared" si="30"/>
        <v>OK</v>
      </c>
      <c r="DQ21" s="107" t="str">
        <f t="shared" si="31"/>
        <v>OK</v>
      </c>
      <c r="DR21" s="107" t="str">
        <f t="shared" si="32"/>
        <v>OK</v>
      </c>
      <c r="DS21" s="107" t="str">
        <f t="shared" si="33"/>
        <v>OK</v>
      </c>
      <c r="DT21" s="7" t="b">
        <f>IF(E21='Designer Shutter Data'!$GV$2,'Designer Shutter Data'!$GW$2,IF(E21='Designer Shutter Data'!$GV$3,'Designer Shutter Data'!$GX$2,IF(E21='Designer Shutter Data'!$GV$4,'Designer Shutter Data'!$GY$2)))</f>
        <v>0</v>
      </c>
      <c r="DU21" s="40" t="e">
        <f>MATCH(E21,'Designer Shutter Data'!$HB$1:$HD$1,0)</f>
        <v>#N/A</v>
      </c>
      <c r="DV21" s="40" t="e">
        <f>MATCH(M21,'Designer Shutter Data'!$HA$2:$HA$8,0)</f>
        <v>#N/A</v>
      </c>
      <c r="DW21" s="11" t="e">
        <f>INDEX('Designer Shutter Data'!$HB$2:$HD$8,DV21,DU21)</f>
        <v>#N/A</v>
      </c>
      <c r="DX21" s="11" t="b">
        <f>IF(E21='Designer Shutter Data'!$IG$1,'Designer Shutter Data'!$IG$2,IF(E21='Designer Shutter Data'!$IH$1,'Designer Shutter Data'!$IH$2, IF(E21='Designer Shutter Data'!$II$1,'Designer Shutter Data'!$II$2)))</f>
        <v>0</v>
      </c>
      <c r="DY21" s="11" t="str">
        <f>IF(E21="MS",'Designer Shutter Data'!$BI$2,IF(G21='Designer Shutter Data'!$BJ$34,'Designer Shutter Data'!$BJ$35,'Designer Shutter Data'!$BJ$2))</f>
        <v>FauxwoodDesignerWindowType</v>
      </c>
      <c r="DZ21" s="118" t="b">
        <f>IF(M21='Designer Shutter Data'!$F$3,'Designer Shutter Data'!$GF$88, IF(M21='Designer Shutter Data'!$F$4,'Designer Shutter Data'!$GE$59, IF(M21='Designer Shutter Data'!$F$5,'Designer Shutter Data'!$GD$59, IF(M21='Designer Shutter Data'!$F$6,'Designer Shutter Data'!$GD$59, IF(M21='Designer Shutter Data'!$F$7,'Designer Shutter Data'!$GD$73)))))</f>
        <v>0</v>
      </c>
      <c r="EB21" s="6" t="b">
        <f>IF(M21='Designer Shutter Data'!$IT$2,'Designer Shutter Data'!$JA$2, IF(M21='Designer Shutter Data'!$IT$3,'Designer Shutter Data'!$JC$2, IF(M21='Designer Shutter Data'!$IT$4,'Designer Shutter Data'!$JE$2, IF(M21='Designer Shutter Data'!$IT$5,'Designer Shutter Data'!$JG$2, IF(M21='Designer Shutter Data'!$IT$6,'Designer Shutter Data'!$JI$2, IF(M21='Designer Shutter Data'!$IT$7,'Designer Shutter Data'!$JZ$2, IF(M21='Designer Shutter Data'!$IT$8,'Designer Shutter Data'!$JI$16)))))))</f>
        <v>0</v>
      </c>
      <c r="EC21" s="6" t="str">
        <f t="shared" si="34"/>
        <v>NoHighlight</v>
      </c>
      <c r="ED21" s="7" t="e">
        <f>VLOOKUP(M21,'Designer Shutter Data'!$JW$5:$JX$10,2,FALSE)</f>
        <v>#N/A</v>
      </c>
      <c r="EE21" s="7" t="e">
        <f t="shared" si="35"/>
        <v>#N/A</v>
      </c>
      <c r="EF21" s="118" t="e">
        <f>VLOOKUP(O21,'Designer Shutter Data'!$AO$3:$AQ$171,1,FALSE)</f>
        <v>#N/A</v>
      </c>
      <c r="EG21" s="7" t="e">
        <f t="shared" si="36"/>
        <v>#N/A</v>
      </c>
      <c r="EH21" s="6" t="str">
        <f t="shared" si="37"/>
        <v/>
      </c>
      <c r="EJ21" s="40" t="e">
        <f>MATCH(M21,'Designer Shutter Data'!$KD$1:$KI$1,0)</f>
        <v>#N/A</v>
      </c>
      <c r="EK21" s="40" t="e">
        <f>MATCH(P21,'Designer Shutter Data'!$KC$2:$KC$21,0)</f>
        <v>#N/A</v>
      </c>
      <c r="EL21" s="136" t="e">
        <f>INDEX('Designer Shutter Data'!$KD$2:$KI$21,EK21,EJ21)</f>
        <v>#N/A</v>
      </c>
      <c r="EP21" s="6" t="str">
        <f>IF(AC21&lt;&gt;$EO$4,'Designer Shutter Data'!$BR$2,'Designer Shutter Data'!$BR$9)</f>
        <v>Fluffy_Strip_Fauxwood</v>
      </c>
      <c r="ER21" s="6" t="str">
        <f>IF(G21='Designer Shutter Data'!$E$26,'Designer Shutter Data'!$E$27,IF(G21='Designer Shutter Data'!$E$37,'Designer Shutter Data'!$E$38,'Designer Shutter Data'!$E$2))</f>
        <v>FauxwoodDesignerBladeSize</v>
      </c>
      <c r="ET21" s="6" t="str">
        <f t="shared" si="47"/>
        <v>Stile T Post</v>
      </c>
      <c r="EW21" s="40" t="e">
        <f>MATCH(G21,'Designer Shutter Data'!$AV$27:$AV$30,0)</f>
        <v>#N/A</v>
      </c>
      <c r="EX21" s="40" t="e">
        <f>MATCH(AC21,'Designer Shutter Data'!$AW$26:$AX$26,0)</f>
        <v>#N/A</v>
      </c>
      <c r="EY21" s="136" t="e">
        <f>INDEX('Designer Shutter Data'!$AW$27:$AX$30,EW21,EX21)</f>
        <v>#N/A</v>
      </c>
      <c r="EZ21" s="6" t="str">
        <f>IF(G21='Designer Shutter Data'!$S$15,'Designer Shutter Data'!$S$16, IF(G21=$FB$7,'Designer Shutter Data'!$T$15,'Designer Shutter Data'!$S$2))</f>
        <v>FauxwoodDesignerTiltrod</v>
      </c>
      <c r="FA21" s="6" t="e">
        <f>IF(G21=$FB$7,"No",VLOOKUP(L21,'Designer Shutter Data'!$BJ$62:$BK$75,2,FALSE))</f>
        <v>#N/A</v>
      </c>
      <c r="FB21" s="6" t="e">
        <f>IF(FA21="Yes", 'Designer Shutter Data'!$T$2,IF(G21=$FB$7,'Designer Shutter Data'!$T$15,'Designer Shutters Page 2'!EZ21))</f>
        <v>#N/A</v>
      </c>
      <c r="FC21" s="6" t="e">
        <f>MATCH(G21,'Designer Shutter Data'!$IG$15:$IJ$15,0)</f>
        <v>#N/A</v>
      </c>
      <c r="FD21" s="6" t="e">
        <f>MATCH(E21,'Designer Shutter Data'!$IF$16:$IF$18,0)</f>
        <v>#N/A</v>
      </c>
      <c r="FE21" s="6" t="e">
        <f>INDEX('Designer Shutter Data'!$IG$16:$IJ$18, 'Designer Shutters Page 2'!FD21, 'Designer Shutters Page 2'!FC21)</f>
        <v>#N/A</v>
      </c>
      <c r="FH21" s="6" t="str">
        <f t="shared" si="48"/>
        <v>SlidingSystemNA</v>
      </c>
      <c r="FJ21" s="6" t="e">
        <f>VLOOKUP(O21,'Designer Shutter Data'!$KP$2:$KR$44,3,FALSE)</f>
        <v>#N/A</v>
      </c>
      <c r="FL21" s="11" t="b">
        <f>IF(N21=$FL$7,'Designer Shutter Data'!$GH$98,DM21)</f>
        <v>0</v>
      </c>
    </row>
    <row r="22" spans="1:168" ht="36.75" customHeight="1" x14ac:dyDescent="0.2">
      <c r="A22" s="50">
        <v>14</v>
      </c>
      <c r="B22" s="51"/>
      <c r="C22" s="44"/>
      <c r="D22" s="31"/>
      <c r="E22" s="44"/>
      <c r="F22" s="31"/>
      <c r="G22" s="43"/>
      <c r="H22" s="234"/>
      <c r="I22" s="235"/>
      <c r="J22" s="44"/>
      <c r="K22" s="45"/>
      <c r="L22" s="45"/>
      <c r="M22" s="45"/>
      <c r="N22" s="45"/>
      <c r="O22" s="45"/>
      <c r="P22" s="236"/>
      <c r="Q22" s="236"/>
      <c r="R22" s="43"/>
      <c r="S22" s="43"/>
      <c r="T22" s="43"/>
      <c r="U22" s="43"/>
      <c r="V22" s="45"/>
      <c r="W22" s="45"/>
      <c r="X22" s="43"/>
      <c r="Y22" s="46"/>
      <c r="Z22" s="47"/>
      <c r="AA22" s="47"/>
      <c r="AB22" s="47"/>
      <c r="AC22" s="44"/>
      <c r="AD22" s="44"/>
      <c r="AE22" s="48" t="str">
        <f t="shared" si="0"/>
        <v/>
      </c>
      <c r="AI22" s="6">
        <f t="shared" si="38"/>
        <v>0</v>
      </c>
      <c r="AJ22" s="6">
        <f t="shared" si="39"/>
        <v>0</v>
      </c>
      <c r="AK22" s="6">
        <f>IF(O22&lt;&gt;"",VLOOKUP(O22,'Designer Shutter Data'!$KP$2:$KQ$44,2,FALSE),0)</f>
        <v>0</v>
      </c>
      <c r="AT22" s="49" t="str">
        <f t="shared" si="1"/>
        <v/>
      </c>
      <c r="AV22" s="6" t="str">
        <f>IF(G22=$AV$7,'Designer Shutter Data'!$D$38,'Designer Shutter Data'!$D$2)</f>
        <v>FauxwoodDesignerColour</v>
      </c>
      <c r="AW22" s="130" t="e">
        <f t="shared" si="40"/>
        <v>#N/A</v>
      </c>
      <c r="AX22" s="130" t="e">
        <f>VLOOKUP(M22,'Designer Shutter Data'!$JK$2:$JL$7,2,FALSE)</f>
        <v>#N/A</v>
      </c>
      <c r="AY22" s="38" t="b">
        <v>0</v>
      </c>
      <c r="AZ22" s="38" t="str">
        <f t="shared" si="2"/>
        <v>No</v>
      </c>
      <c r="BA22" s="38" t="e">
        <f t="shared" si="3"/>
        <v>#DIV/0!</v>
      </c>
      <c r="BB22" s="38" t="e">
        <f t="shared" si="4"/>
        <v>#DIV/0!</v>
      </c>
      <c r="BC22" s="38" t="e">
        <f t="shared" si="5"/>
        <v>#DIV/0!</v>
      </c>
      <c r="BD22" s="38" t="str">
        <f t="shared" si="6"/>
        <v>No</v>
      </c>
      <c r="BE22" s="38" t="e">
        <f>IF(OR(AND(C22&gt;0,#REF!="")), "Required","NotRequired")</f>
        <v>#REF!</v>
      </c>
      <c r="BF22" s="38" t="b">
        <v>0</v>
      </c>
      <c r="BG22" s="38" t="e">
        <f t="shared" si="41"/>
        <v>#DIV/0!</v>
      </c>
      <c r="BH22" s="39" t="str">
        <f t="shared" si="7"/>
        <v>NoHighlight</v>
      </c>
      <c r="BI22" s="38" t="str">
        <f t="shared" si="8"/>
        <v>FauxwoodRPNo</v>
      </c>
      <c r="BJ22" s="110" t="str">
        <f>IF(SUM(--ISNUMBER(SEARCH({"t","T"}, O22))),"Yes","No")</f>
        <v>No</v>
      </c>
      <c r="BK22" s="127" t="str">
        <f t="shared" si="9"/>
        <v>OK</v>
      </c>
      <c r="BL22" s="127" t="str">
        <f t="shared" si="10"/>
        <v>OK</v>
      </c>
      <c r="BM22" s="127" t="str">
        <f t="shared" si="11"/>
        <v>OK</v>
      </c>
      <c r="BN22" s="39" t="str">
        <f t="shared" si="12"/>
        <v>OK</v>
      </c>
      <c r="BO22" s="39" t="str">
        <f t="shared" si="13"/>
        <v>FauxwoodAINo</v>
      </c>
      <c r="BP22" s="39" t="str">
        <f>IF(SUM(--ISNUMBER(SEARCH({"combo","Combo","COMBO"}, B39))),"Yes","No")</f>
        <v>No</v>
      </c>
      <c r="BQ22" s="39" t="str">
        <f t="shared" si="42"/>
        <v>No</v>
      </c>
      <c r="BR22" s="39" t="str">
        <f>IF(SUM(--ISNUMBER(SEARCH({"c","C","b","B"}, L22))),"Yes","No")</f>
        <v>No</v>
      </c>
      <c r="BS22" s="11">
        <f t="shared" si="14"/>
        <v>0</v>
      </c>
      <c r="BT22" s="11" t="s">
        <v>820</v>
      </c>
      <c r="BU22" s="11" t="s">
        <v>820</v>
      </c>
      <c r="BV22" s="40">
        <f t="shared" si="15"/>
        <v>0</v>
      </c>
      <c r="BW22" s="40">
        <f t="shared" si="16"/>
        <v>0</v>
      </c>
      <c r="BX22" s="11" t="e">
        <f t="shared" si="17"/>
        <v>#DIV/0!</v>
      </c>
      <c r="BY22" s="11" t="b">
        <v>0</v>
      </c>
      <c r="BZ22" s="11" t="b">
        <v>0</v>
      </c>
      <c r="CA22" s="11" t="e">
        <v>#REF!</v>
      </c>
      <c r="CB22" s="11" t="s">
        <v>82</v>
      </c>
      <c r="CC22" s="11" t="e">
        <f t="shared" si="18"/>
        <v>#DIV/0!</v>
      </c>
      <c r="CD22" s="11" t="e">
        <f>VLOOKUP(P22,'Designer Shutter Data'!$H$3:$I$19,2,FALSE)</f>
        <v>#N/A</v>
      </c>
      <c r="CE22" s="11" t="s">
        <v>820</v>
      </c>
      <c r="CF22" s="11" t="str">
        <f>IF(SUM(--ISNUMBER(SEARCH({"z","Z"}, P22))),"Yes","No")</f>
        <v>No</v>
      </c>
      <c r="CG22" s="11" t="str">
        <f t="shared" si="19"/>
        <v>OK</v>
      </c>
      <c r="CH22" s="11">
        <f t="shared" si="20"/>
        <v>0</v>
      </c>
      <c r="CI22" s="120" t="e">
        <f>IF(O22="N/A","N/A",VLOOKUP(O22,'Designer Shutter Data'!$AO$3:$AP$171,2,FALSE))</f>
        <v>#N/A</v>
      </c>
      <c r="CJ22" s="120" t="e">
        <f t="shared" si="21"/>
        <v>#N/A</v>
      </c>
      <c r="CK22" s="40"/>
      <c r="CL22" s="40"/>
      <c r="CM22" s="40"/>
      <c r="CN22" s="41" t="str">
        <f t="shared" si="22"/>
        <v>OK</v>
      </c>
      <c r="CO22" s="129" t="b">
        <f t="shared" si="23"/>
        <v>0</v>
      </c>
      <c r="CP22" s="129" t="b">
        <f t="shared" si="24"/>
        <v>0</v>
      </c>
      <c r="CQ22" s="40">
        <f t="shared" si="25"/>
        <v>0</v>
      </c>
      <c r="CR22" s="133">
        <f t="shared" si="26"/>
        <v>0</v>
      </c>
      <c r="CS22" s="40">
        <f t="shared" si="43"/>
        <v>0</v>
      </c>
      <c r="CT22" s="133" t="e">
        <f t="shared" si="27"/>
        <v>#N/A</v>
      </c>
      <c r="CU22" s="11" t="b">
        <v>0</v>
      </c>
      <c r="CV22" s="11" t="b">
        <v>0</v>
      </c>
      <c r="CW22" s="11" t="b">
        <v>0</v>
      </c>
      <c r="CX22" s="11" t="b">
        <v>0</v>
      </c>
      <c r="CY22" s="40" t="e">
        <f>IF(OR(AND(#REF!&gt;0,#REF!="")), "Error","OK")</f>
        <v>#REF!</v>
      </c>
      <c r="CZ22" s="11" t="e">
        <v>#REF!</v>
      </c>
      <c r="DA22" s="6" t="str">
        <f t="shared" si="28"/>
        <v/>
      </c>
      <c r="DD22" s="6" t="s">
        <v>84</v>
      </c>
      <c r="DE22" s="6" t="b">
        <f>IF(M22='Designer Shutter Data'!$F$3,'Designer Shutter Data'!$FY$7,IF(M22='Designer Shutter Data'!$F$4,'Designer Shutter Data'!$FZ$2,IF(M22='Designer Shutter Data'!$F$5,FJ22, IF(M22='Designer Shutter Data'!$F$6,'Designer Shutter Data'!$GA$2,IF(M22='Designer Shutter Data'!$F$7,'Designer Shutter Data'!$FY$2, IF(M22='Designer Shutter Data'!$F$8,'Designer Shutter Data'!$FZ$7, IF(M22='Designer Shutter Data'!$F$14,'Designer Shutter Data'!$FZ$14)))))))</f>
        <v>0</v>
      </c>
      <c r="DF22" s="6" t="e">
        <f>VLOOKUP(M22,'Designer Shutter Data'!$M$2:$N$8,2,FALSE)</f>
        <v>#N/A</v>
      </c>
      <c r="DH22" s="123" t="e">
        <f>VLOOKUP(O22,'Designer Shutter Data'!$IN$2:$IO$169,2,FALSE)</f>
        <v>#N/A</v>
      </c>
      <c r="DI22" s="103" t="e">
        <f t="shared" si="29"/>
        <v>#N/A</v>
      </c>
      <c r="DJ22" s="103" t="e">
        <f t="shared" si="44"/>
        <v>#N/A</v>
      </c>
      <c r="DK22" s="7" t="b">
        <f>IF(P22='Designer Shutter Data'!$GC$2,'Designer Shutter Data'!$GD$2,IF(P22='Designer Shutter Data'!$GC$3,'Designer Shutter Data'!$GE$2,IF(P22='Designer Shutter Data'!$GC$4,'Designer Shutter Data'!$GF$2,IF(P22='Designer Shutter Data'!$GC$5,'Designer Shutter Data'!$GG$2,IF(P22='Designer Shutter Data'!$GC$6,'Designer Shutter Data'!$GH$2,IF(P22='Designer Shutter Data'!$GC$7,'Designer Shutter Data'!$GI$2,IF(P22='Designer Shutter Data'!$GC$8,'Designer Shutter Data'!$GJ$2,IF(P22='Designer Shutter Data'!$GC$9,'Designer Shutter Data'!$GK$2,IF(P22='Designer Shutter Data'!$GC$10,'Designer Shutter Data'!$GL$2,IF(P22='Designer Shutter Data'!$GC$11,'Designer Shutter Data'!$GM$2,IF(P22='Designer Shutter Data'!$GC$12,'Designer Shutter Data'!$GN$2,IF(P22='Designer Shutter Data'!$GC$13,'Designer Shutter Data'!$GO$2,IF(P22='Designer Shutter Data'!$GC$14,'Designer Shutter Data'!$GP$2,IF(P22='Designer Shutter Data'!$GC$15,'Designer Shutter Data'!$GD$15,IF(P22='Designer Shutter Data'!$GC$16,'Designer Shutter Data'!$GE$15,IF(P22='Designer Shutter Data'!$GC$17,'Designer Shutter Data'!$GF$15,IF(P22='Designer Shutter Data'!$GC$18,'Designer Shutter Data'!$GG$15,IF(P22='Designer Shutter Data'!$GC$19,'Designer Shutter Data'!$GD$73,IF(P22='Designer Shutter Data'!$GC$20,'Designer Shutter Data'!$GD$88, IF(P22='Designer Shutter Data'!$GC$21,'Designer Shutter Data'!$GH$15, IF(P22='Designer Shutter Data'!$GC$22,'Designer Shutter Data'!$GJ$2, IF(P22='Designer Shutter Data'!$GC$23,'Designer Shutter Data'!$GL$2))))))))))))))))))))))</f>
        <v>0</v>
      </c>
      <c r="DL22" s="7" t="b">
        <f>IF(P22='Designer Shutter Data'!$GC$2,'Designer Shutter Data'!$GD$25,IF(P22='Designer Shutter Data'!$GC$3,'Designer Shutter Data'!$GE$25,IF(P22='Designer Shutter Data'!$GC$4,'Designer Shutter Data'!$GF$25,IF(P22='Designer Shutter Data'!$GC$5,'Designer Shutter Data'!$GG$25,IF(P22='Designer Shutter Data'!$GC$6,'Designer Shutter Data'!$GH$25,IF(P22='Designer Shutter Data'!$GC$7,'Designer Shutter Data'!$GI$25,IF(P22='Designer Shutter Data'!$GC$8,'Designer Shutter Data'!$GJ$25,IF(P22='Designer Shutter Data'!$GC$9,'Designer Shutter Data'!$GK$25,IF(P22='Designer Shutter Data'!$GC$10,'Designer Shutter Data'!$GL$25,IF(P22='Designer Shutter Data'!$GC$11,'Designer Shutter Data'!$GM$25,IF(P22='Designer Shutter Data'!$GC$12,'Designer Shutter Data'!$GN$25,IF(P22='Designer Shutter Data'!$GC$13,'Designer Shutter Data'!$GO$25,IF(P22='Designer Shutter Data'!$GC$14,'Designer Shutter Data'!$GP$25,IF(P22='Designer Shutter Data'!$GC$15,'Designer Shutter Data'!$GD$37,IF(P22='Designer Shutter Data'!$GC$15,'Designer Shutter Data'!$GD$37,IF(P22='Designer Shutter Data'!$GC$16,'Designer Shutter Data'!$GE$37,IF(P22='Designer Shutter Data'!$GC$17,'Designer Shutter Data'!$GF$37,IF(P22='Designer Shutter Data'!$GC$18,'Designer Shutter Data'!$GG$37, IF(P22='Designer Shutter Data'!$GC$19,'Designer Shutter Data'!$GD$73, IF(P22='Designer Shutter Data'!$GC$20,'Designer Shutter Data'!$GE$88, IF(P22='Designer Shutter Data'!$GC$21,'Designer Shutter Data'!$GH$37,IF(P22='Designer Shutter Data'!$GC$22,'Designer Shutter Data'!$GJ$25,IF(P22='Designer Shutter Data'!$GC$23,'Designer Shutter Data'!$GL$25)))))))))))))))))))))))</f>
        <v>0</v>
      </c>
      <c r="DM22" s="118" t="b">
        <f>IF(P22='Designer Shutter Data'!$GC$2,'Designer Shutter Data'!$GD$47,IF(P22='Designer Shutter Data'!$GC$3,'Designer Shutter Data'!$GE$47,IF(P22='Designer Shutter Data'!$GC$4,'Designer Shutter Data'!$GF$47,IF(P22='Designer Shutter Data'!$GC$5,'Designer Shutter Data'!$GG$47,IF(P22='Designer Shutter Data'!$GC$6,'Designer Shutter Data'!$GH$47,IF(P22='Designer Shutter Data'!$GC$7,'Designer Shutter Data'!$GI$47,IF(P22='Designer Shutter Data'!$GC$8,'Designer Shutter Data'!$GJ$47,IF(P22='Designer Shutter Data'!$GC$9,'Designer Shutter Data'!$GK$47,IF(P22='Designer Shutter Data'!$GC$10,'Designer Shutter Data'!$GL$47,IF(P22='Designer Shutter Data'!$GC$11,'Designer Shutter Data'!$GM$47,IF(P22='Designer Shutter Data'!$GC$12,'Designer Shutter Data'!$GN$47,IF(P22='Designer Shutter Data'!$GC$13,'Designer Shutter Data'!$GO$47,IF(P22='Designer Shutter Data'!$GC$14,'Designer Shutter Data'!$GP$47, IF(P22='Designer Shutter Data'!$GC$19,'Designer Shutter Data'!$GD$73, IF(P22='Designer Shutter Data'!$GC$20,'Designer Shutter Data'!$GF$88, IF(M22='Designer Shutter Data'!$F$5,'Designer Shutter Data'!$GE$59, IF(M22='Designer Shutter Data'!$F$6,'Designer Shutter Data'!$GD$59, IF(P22='Designer Shutter Data'!$GC$21,'Designer Shutter Data'!$GF$59,IF(P22='Designer Shutter Data'!$GC$22,'Designer Shutter Data'!$GJ$47,IF(P22='Designer Shutter Data'!$GC$23,'Designer Shutter Data'!$GL$47))))))))))))))))))))</f>
        <v>0</v>
      </c>
      <c r="DN22" s="107" t="str">
        <f t="shared" si="45"/>
        <v/>
      </c>
      <c r="DO22" s="107" t="e">
        <f t="shared" si="46"/>
        <v>#N/A</v>
      </c>
      <c r="DP22" s="107" t="str">
        <f t="shared" si="30"/>
        <v>OK</v>
      </c>
      <c r="DQ22" s="107" t="str">
        <f t="shared" si="31"/>
        <v>OK</v>
      </c>
      <c r="DR22" s="107" t="str">
        <f t="shared" si="32"/>
        <v>OK</v>
      </c>
      <c r="DS22" s="107" t="str">
        <f t="shared" si="33"/>
        <v>OK</v>
      </c>
      <c r="DT22" s="7" t="b">
        <f>IF(E22='Designer Shutter Data'!$GV$2,'Designer Shutter Data'!$GW$2,IF(E22='Designer Shutter Data'!$GV$3,'Designer Shutter Data'!$GX$2,IF(E22='Designer Shutter Data'!$GV$4,'Designer Shutter Data'!$GY$2)))</f>
        <v>0</v>
      </c>
      <c r="DU22" s="40" t="e">
        <f>MATCH(E22,'Designer Shutter Data'!$HB$1:$HD$1,0)</f>
        <v>#N/A</v>
      </c>
      <c r="DV22" s="40" t="e">
        <f>MATCH(M22,'Designer Shutter Data'!$HA$2:$HA$8,0)</f>
        <v>#N/A</v>
      </c>
      <c r="DW22" s="11" t="e">
        <f>INDEX('Designer Shutter Data'!$HB$2:$HD$8,DV22,DU22)</f>
        <v>#N/A</v>
      </c>
      <c r="DX22" s="11" t="b">
        <f>IF(E22='Designer Shutter Data'!$IG$1,'Designer Shutter Data'!$IG$2,IF(E22='Designer Shutter Data'!$IH$1,'Designer Shutter Data'!$IH$2, IF(E22='Designer Shutter Data'!$II$1,'Designer Shutter Data'!$II$2)))</f>
        <v>0</v>
      </c>
      <c r="DY22" s="11" t="str">
        <f>IF(E22="MS",'Designer Shutter Data'!$BI$2,IF(G22='Designer Shutter Data'!$BJ$34,'Designer Shutter Data'!$BJ$35,'Designer Shutter Data'!$BJ$2))</f>
        <v>FauxwoodDesignerWindowType</v>
      </c>
      <c r="DZ22" s="118" t="b">
        <f>IF(M22='Designer Shutter Data'!$F$3,'Designer Shutter Data'!$GF$88, IF(M22='Designer Shutter Data'!$F$4,'Designer Shutter Data'!$GE$59, IF(M22='Designer Shutter Data'!$F$5,'Designer Shutter Data'!$GD$59, IF(M22='Designer Shutter Data'!$F$6,'Designer Shutter Data'!$GD$59, IF(M22='Designer Shutter Data'!$F$7,'Designer Shutter Data'!$GD$73)))))</f>
        <v>0</v>
      </c>
      <c r="EB22" s="6" t="b">
        <f>IF(M22='Designer Shutter Data'!$IT$2,'Designer Shutter Data'!$JA$2, IF(M22='Designer Shutter Data'!$IT$3,'Designer Shutter Data'!$JC$2, IF(M22='Designer Shutter Data'!$IT$4,'Designer Shutter Data'!$JE$2, IF(M22='Designer Shutter Data'!$IT$5,'Designer Shutter Data'!$JG$2, IF(M22='Designer Shutter Data'!$IT$6,'Designer Shutter Data'!$JI$2, IF(M22='Designer Shutter Data'!$IT$7,'Designer Shutter Data'!$JZ$2, IF(M22='Designer Shutter Data'!$IT$8,'Designer Shutter Data'!$JI$16)))))))</f>
        <v>0</v>
      </c>
      <c r="EC22" s="6" t="str">
        <f t="shared" si="34"/>
        <v>NoHighlight</v>
      </c>
      <c r="ED22" s="7" t="e">
        <f>VLOOKUP(M22,'Designer Shutter Data'!$JW$5:$JX$10,2,FALSE)</f>
        <v>#N/A</v>
      </c>
      <c r="EE22" s="7" t="e">
        <f t="shared" si="35"/>
        <v>#N/A</v>
      </c>
      <c r="EF22" s="118" t="e">
        <f>VLOOKUP(O22,'Designer Shutter Data'!$AO$3:$AQ$171,1,FALSE)</f>
        <v>#N/A</v>
      </c>
      <c r="EG22" s="7" t="e">
        <f t="shared" si="36"/>
        <v>#N/A</v>
      </c>
      <c r="EH22" s="6" t="str">
        <f t="shared" si="37"/>
        <v/>
      </c>
      <c r="EJ22" s="40" t="e">
        <f>MATCH(M22,'Designer Shutter Data'!$KD$1:$KI$1,0)</f>
        <v>#N/A</v>
      </c>
      <c r="EK22" s="40" t="e">
        <f>MATCH(P22,'Designer Shutter Data'!$KC$2:$KC$21,0)</f>
        <v>#N/A</v>
      </c>
      <c r="EL22" s="136" t="e">
        <f>INDEX('Designer Shutter Data'!$KD$2:$KI$21,EK22,EJ22)</f>
        <v>#N/A</v>
      </c>
      <c r="EP22" s="6" t="str">
        <f>IF(AC22&lt;&gt;$EO$4,'Designer Shutter Data'!$BR$2,'Designer Shutter Data'!$BR$9)</f>
        <v>Fluffy_Strip_Fauxwood</v>
      </c>
      <c r="ER22" s="6" t="str">
        <f>IF(G22='Designer Shutter Data'!$E$26,'Designer Shutter Data'!$E$27,IF(G22='Designer Shutter Data'!$E$37,'Designer Shutter Data'!$E$38,'Designer Shutter Data'!$E$2))</f>
        <v>FauxwoodDesignerBladeSize</v>
      </c>
      <c r="ET22" s="6" t="str">
        <f t="shared" si="47"/>
        <v>Stile T Post</v>
      </c>
      <c r="EW22" s="40" t="e">
        <f>MATCH(G22,'Designer Shutter Data'!$AV$27:$AV$30,0)</f>
        <v>#N/A</v>
      </c>
      <c r="EX22" s="40" t="e">
        <f>MATCH(AC22,'Designer Shutter Data'!$AW$26:$AX$26,0)</f>
        <v>#N/A</v>
      </c>
      <c r="EY22" s="136" t="e">
        <f>INDEX('Designer Shutter Data'!$AW$27:$AX$30,EW22,EX22)</f>
        <v>#N/A</v>
      </c>
      <c r="EZ22" s="6" t="str">
        <f>IF(G22='Designer Shutter Data'!$S$15,'Designer Shutter Data'!$S$16, IF(G22=$FB$7,'Designer Shutter Data'!$T$15,'Designer Shutter Data'!$S$2))</f>
        <v>FauxwoodDesignerTiltrod</v>
      </c>
      <c r="FA22" s="6" t="e">
        <f>IF(G22=$FB$7,"No",VLOOKUP(L22,'Designer Shutter Data'!$BJ$62:$BK$75,2,FALSE))</f>
        <v>#N/A</v>
      </c>
      <c r="FB22" s="6" t="e">
        <f>IF(FA22="Yes", 'Designer Shutter Data'!$T$2,IF(G22=$FB$7,'Designer Shutter Data'!$T$15,'Designer Shutters Page 2'!EZ22))</f>
        <v>#N/A</v>
      </c>
      <c r="FC22" s="6" t="e">
        <f>MATCH(G22,'Designer Shutter Data'!$IG$15:$IJ$15,0)</f>
        <v>#N/A</v>
      </c>
      <c r="FD22" s="6" t="e">
        <f>MATCH(E22,'Designer Shutter Data'!$IF$16:$IF$18,0)</f>
        <v>#N/A</v>
      </c>
      <c r="FE22" s="6" t="e">
        <f>INDEX('Designer Shutter Data'!$IG$16:$IJ$18, 'Designer Shutters Page 2'!FD22, 'Designer Shutters Page 2'!FC22)</f>
        <v>#N/A</v>
      </c>
      <c r="FH22" s="6" t="str">
        <f t="shared" si="48"/>
        <v>SlidingSystemNA</v>
      </c>
      <c r="FJ22" s="6" t="e">
        <f>VLOOKUP(O22,'Designer Shutter Data'!$KP$2:$KR$44,3,FALSE)</f>
        <v>#N/A</v>
      </c>
      <c r="FL22" s="11" t="b">
        <f>IF(N22=$FL$7,'Designer Shutter Data'!$GH$98,DM22)</f>
        <v>0</v>
      </c>
    </row>
    <row r="23" spans="1:168" ht="36.75" customHeight="1" thickBot="1" x14ac:dyDescent="0.25">
      <c r="A23" s="52">
        <v>15</v>
      </c>
      <c r="B23" s="53"/>
      <c r="C23" s="55"/>
      <c r="D23" s="55"/>
      <c r="E23" s="55"/>
      <c r="F23" s="54"/>
      <c r="G23" s="53"/>
      <c r="H23" s="249"/>
      <c r="I23" s="250"/>
      <c r="J23" s="55"/>
      <c r="K23" s="56"/>
      <c r="L23" s="56"/>
      <c r="M23" s="56"/>
      <c r="N23" s="56"/>
      <c r="O23" s="56"/>
      <c r="P23" s="251"/>
      <c r="Q23" s="251"/>
      <c r="R23" s="53"/>
      <c r="S23" s="53"/>
      <c r="T23" s="53"/>
      <c r="U23" s="53"/>
      <c r="V23" s="56"/>
      <c r="W23" s="56"/>
      <c r="X23" s="53"/>
      <c r="Y23" s="57"/>
      <c r="Z23" s="58"/>
      <c r="AA23" s="58"/>
      <c r="AB23" s="58"/>
      <c r="AC23" s="55"/>
      <c r="AD23" s="55"/>
      <c r="AE23" s="59" t="str">
        <f t="shared" si="0"/>
        <v/>
      </c>
      <c r="AI23" s="6">
        <f t="shared" si="38"/>
        <v>0</v>
      </c>
      <c r="AJ23" s="6">
        <f t="shared" si="39"/>
        <v>0</v>
      </c>
      <c r="AK23" s="6">
        <f>IF(O23&lt;&gt;"",VLOOKUP(O23,'Designer Shutter Data'!$KP$2:$KQ$44,2,FALSE),0)</f>
        <v>0</v>
      </c>
      <c r="AT23" s="101" t="str">
        <f t="shared" si="1"/>
        <v/>
      </c>
      <c r="AV23" s="6" t="str">
        <f>IF(G23=$AV$7,'Designer Shutter Data'!$D$38,'Designer Shutter Data'!$D$2)</f>
        <v>FauxwoodDesignerColour</v>
      </c>
      <c r="AW23" s="130" t="e">
        <f t="shared" si="40"/>
        <v>#N/A</v>
      </c>
      <c r="AX23" s="130" t="e">
        <f>VLOOKUP(M23,'Designer Shutter Data'!$JK$2:$JL$7,2,FALSE)</f>
        <v>#N/A</v>
      </c>
      <c r="AY23" s="60" t="b">
        <v>0</v>
      </c>
      <c r="AZ23" s="38" t="str">
        <f t="shared" si="2"/>
        <v>No</v>
      </c>
      <c r="BA23" s="60" t="e">
        <f t="shared" si="3"/>
        <v>#DIV/0!</v>
      </c>
      <c r="BB23" s="60" t="e">
        <f t="shared" si="4"/>
        <v>#DIV/0!</v>
      </c>
      <c r="BC23" s="60" t="e">
        <f t="shared" si="5"/>
        <v>#DIV/0!</v>
      </c>
      <c r="BD23" s="38" t="str">
        <f t="shared" si="6"/>
        <v>No</v>
      </c>
      <c r="BE23" s="60" t="e">
        <f>IF(OR(AND(C23&gt;0,#REF!="")), "Required","NotRequired")</f>
        <v>#REF!</v>
      </c>
      <c r="BF23" s="60" t="b">
        <v>0</v>
      </c>
      <c r="BG23" s="60" t="e">
        <f t="shared" si="41"/>
        <v>#DIV/0!</v>
      </c>
      <c r="BH23" s="39" t="str">
        <f t="shared" si="7"/>
        <v>NoHighlight</v>
      </c>
      <c r="BI23" s="60" t="str">
        <f t="shared" si="8"/>
        <v>FauxwoodRPNo</v>
      </c>
      <c r="BJ23" s="110" t="str">
        <f>IF(SUM(--ISNUMBER(SEARCH({"t","T"}, O23))),"Yes","No")</f>
        <v>No</v>
      </c>
      <c r="BK23" s="127" t="str">
        <f t="shared" si="9"/>
        <v>OK</v>
      </c>
      <c r="BL23" s="127" t="str">
        <f t="shared" si="10"/>
        <v>OK</v>
      </c>
      <c r="BM23" s="127" t="str">
        <f t="shared" si="11"/>
        <v>OK</v>
      </c>
      <c r="BN23" s="61" t="str">
        <f t="shared" si="12"/>
        <v>OK</v>
      </c>
      <c r="BO23" s="61" t="str">
        <f t="shared" si="13"/>
        <v>FauxwoodAINo</v>
      </c>
      <c r="BP23" s="61" t="str">
        <f>IF(SUM(--ISNUMBER(SEARCH({"combo","Combo","COMBO"}, B40))),"Yes","No")</f>
        <v>No</v>
      </c>
      <c r="BQ23" s="61" t="str">
        <f t="shared" si="42"/>
        <v>No</v>
      </c>
      <c r="BR23" s="61" t="str">
        <f>IF(SUM(--ISNUMBER(SEARCH({"c","C","b","B"}, L23))),"Yes","No")</f>
        <v>No</v>
      </c>
      <c r="BS23" s="11">
        <f t="shared" si="14"/>
        <v>0</v>
      </c>
      <c r="BT23" s="63" t="s">
        <v>820</v>
      </c>
      <c r="BU23" s="63" t="s">
        <v>820</v>
      </c>
      <c r="BV23" s="62">
        <f t="shared" si="15"/>
        <v>0</v>
      </c>
      <c r="BW23" s="62">
        <f t="shared" si="16"/>
        <v>0</v>
      </c>
      <c r="BX23" s="63" t="e">
        <f t="shared" si="17"/>
        <v>#DIV/0!</v>
      </c>
      <c r="BY23" s="11" t="b">
        <v>0</v>
      </c>
      <c r="BZ23" s="63" t="b">
        <v>0</v>
      </c>
      <c r="CA23" s="63" t="e">
        <v>#REF!</v>
      </c>
      <c r="CB23" s="63" t="s">
        <v>82</v>
      </c>
      <c r="CC23" s="63" t="e">
        <f t="shared" si="18"/>
        <v>#DIV/0!</v>
      </c>
      <c r="CD23" s="11" t="e">
        <f>VLOOKUP(P23,'Designer Shutter Data'!$H$3:$I$19,2,FALSE)</f>
        <v>#N/A</v>
      </c>
      <c r="CE23" s="63" t="s">
        <v>820</v>
      </c>
      <c r="CF23" s="63" t="str">
        <f>IF(SUM(--ISNUMBER(SEARCH({"z","Z"}, P23))),"Yes","No")</f>
        <v>No</v>
      </c>
      <c r="CG23" s="63" t="str">
        <f t="shared" si="19"/>
        <v>OK</v>
      </c>
      <c r="CH23" s="11">
        <f t="shared" si="20"/>
        <v>0</v>
      </c>
      <c r="CI23" s="120" t="e">
        <f>IF(O23="N/A","N/A",VLOOKUP(O23,'Designer Shutter Data'!$AO$3:$AP$171,2,FALSE))</f>
        <v>#N/A</v>
      </c>
      <c r="CJ23" s="120" t="e">
        <f t="shared" si="21"/>
        <v>#N/A</v>
      </c>
      <c r="CK23" s="62"/>
      <c r="CL23" s="62"/>
      <c r="CM23" s="62"/>
      <c r="CN23" s="41" t="str">
        <f t="shared" si="22"/>
        <v>OK</v>
      </c>
      <c r="CO23" s="129" t="b">
        <f t="shared" si="23"/>
        <v>0</v>
      </c>
      <c r="CP23" s="129" t="b">
        <f t="shared" si="24"/>
        <v>0</v>
      </c>
      <c r="CQ23" s="40">
        <f t="shared" si="25"/>
        <v>0</v>
      </c>
      <c r="CR23" s="133">
        <f t="shared" si="26"/>
        <v>0</v>
      </c>
      <c r="CS23" s="40">
        <f t="shared" si="43"/>
        <v>0</v>
      </c>
      <c r="CT23" s="133" t="e">
        <f t="shared" si="27"/>
        <v>#N/A</v>
      </c>
      <c r="CU23" s="63" t="b">
        <v>0</v>
      </c>
      <c r="CV23" s="63" t="b">
        <v>0</v>
      </c>
      <c r="CW23" s="63" t="b">
        <v>0</v>
      </c>
      <c r="CX23" s="63" t="b">
        <v>0</v>
      </c>
      <c r="CY23" s="62" t="e">
        <f>IF(OR(AND(#REF!&gt;0,#REF!="")), "Error","OK")</f>
        <v>#REF!</v>
      </c>
      <c r="CZ23" s="11" t="e">
        <v>#REF!</v>
      </c>
      <c r="DA23" s="6" t="str">
        <f t="shared" si="28"/>
        <v/>
      </c>
      <c r="DD23" s="6" t="s">
        <v>84</v>
      </c>
      <c r="DE23" s="6" t="b">
        <f>IF(M23='Designer Shutter Data'!$F$3,'Designer Shutter Data'!$FY$7,IF(M23='Designer Shutter Data'!$F$4,'Designer Shutter Data'!$FZ$2,IF(M23='Designer Shutter Data'!$F$5,FJ23, IF(M23='Designer Shutter Data'!$F$6,'Designer Shutter Data'!$GA$2,IF(M23='Designer Shutter Data'!$F$7,'Designer Shutter Data'!$FY$2, IF(M23='Designer Shutter Data'!$F$8,'Designer Shutter Data'!$FZ$7, IF(M23='Designer Shutter Data'!$F$14,'Designer Shutter Data'!$FZ$14)))))))</f>
        <v>0</v>
      </c>
      <c r="DF23" s="6" t="e">
        <f>VLOOKUP(M23,'Designer Shutter Data'!$M$2:$N$8,2,FALSE)</f>
        <v>#N/A</v>
      </c>
      <c r="DH23" s="123" t="e">
        <f>VLOOKUP(O23,'Designer Shutter Data'!$IN$2:$IO$169,2,FALSE)</f>
        <v>#N/A</v>
      </c>
      <c r="DI23" s="103" t="e">
        <f t="shared" si="29"/>
        <v>#N/A</v>
      </c>
      <c r="DJ23" s="103" t="e">
        <f t="shared" si="44"/>
        <v>#N/A</v>
      </c>
      <c r="DK23" s="7" t="b">
        <f>IF(P23='Designer Shutter Data'!$GC$2,'Designer Shutter Data'!$GD$2,IF(P23='Designer Shutter Data'!$GC$3,'Designer Shutter Data'!$GE$2,IF(P23='Designer Shutter Data'!$GC$4,'Designer Shutter Data'!$GF$2,IF(P23='Designer Shutter Data'!$GC$5,'Designer Shutter Data'!$GG$2,IF(P23='Designer Shutter Data'!$GC$6,'Designer Shutter Data'!$GH$2,IF(P23='Designer Shutter Data'!$GC$7,'Designer Shutter Data'!$GI$2,IF(P23='Designer Shutter Data'!$GC$8,'Designer Shutter Data'!$GJ$2,IF(P23='Designer Shutter Data'!$GC$9,'Designer Shutter Data'!$GK$2,IF(P23='Designer Shutter Data'!$GC$10,'Designer Shutter Data'!$GL$2,IF(P23='Designer Shutter Data'!$GC$11,'Designer Shutter Data'!$GM$2,IF(P23='Designer Shutter Data'!$GC$12,'Designer Shutter Data'!$GN$2,IF(P23='Designer Shutter Data'!$GC$13,'Designer Shutter Data'!$GO$2,IF(P23='Designer Shutter Data'!$GC$14,'Designer Shutter Data'!$GP$2,IF(P23='Designer Shutter Data'!$GC$15,'Designer Shutter Data'!$GD$15,IF(P23='Designer Shutter Data'!$GC$16,'Designer Shutter Data'!$GE$15,IF(P23='Designer Shutter Data'!$GC$17,'Designer Shutter Data'!$GF$15,IF(P23='Designer Shutter Data'!$GC$18,'Designer Shutter Data'!$GG$15,IF(P23='Designer Shutter Data'!$GC$19,'Designer Shutter Data'!$GD$73,IF(P23='Designer Shutter Data'!$GC$20,'Designer Shutter Data'!$GD$88, IF(P23='Designer Shutter Data'!$GC$21,'Designer Shutter Data'!$GH$15, IF(P23='Designer Shutter Data'!$GC$22,'Designer Shutter Data'!$GJ$2, IF(P23='Designer Shutter Data'!$GC$23,'Designer Shutter Data'!$GL$2))))))))))))))))))))))</f>
        <v>0</v>
      </c>
      <c r="DL23" s="7" t="b">
        <f>IF(P23='Designer Shutter Data'!$GC$2,'Designer Shutter Data'!$GD$25,IF(P23='Designer Shutter Data'!$GC$3,'Designer Shutter Data'!$GE$25,IF(P23='Designer Shutter Data'!$GC$4,'Designer Shutter Data'!$GF$25,IF(P23='Designer Shutter Data'!$GC$5,'Designer Shutter Data'!$GG$25,IF(P23='Designer Shutter Data'!$GC$6,'Designer Shutter Data'!$GH$25,IF(P23='Designer Shutter Data'!$GC$7,'Designer Shutter Data'!$GI$25,IF(P23='Designer Shutter Data'!$GC$8,'Designer Shutter Data'!$GJ$25,IF(P23='Designer Shutter Data'!$GC$9,'Designer Shutter Data'!$GK$25,IF(P23='Designer Shutter Data'!$GC$10,'Designer Shutter Data'!$GL$25,IF(P23='Designer Shutter Data'!$GC$11,'Designer Shutter Data'!$GM$25,IF(P23='Designer Shutter Data'!$GC$12,'Designer Shutter Data'!$GN$25,IF(P23='Designer Shutter Data'!$GC$13,'Designer Shutter Data'!$GO$25,IF(P23='Designer Shutter Data'!$GC$14,'Designer Shutter Data'!$GP$25,IF(P23='Designer Shutter Data'!$GC$15,'Designer Shutter Data'!$GD$37,IF(P23='Designer Shutter Data'!$GC$15,'Designer Shutter Data'!$GD$37,IF(P23='Designer Shutter Data'!$GC$16,'Designer Shutter Data'!$GE$37,IF(P23='Designer Shutter Data'!$GC$17,'Designer Shutter Data'!$GF$37,IF(P23='Designer Shutter Data'!$GC$18,'Designer Shutter Data'!$GG$37, IF(P23='Designer Shutter Data'!$GC$19,'Designer Shutter Data'!$GD$73, IF(P23='Designer Shutter Data'!$GC$20,'Designer Shutter Data'!$GE$88, IF(P23='Designer Shutter Data'!$GC$21,'Designer Shutter Data'!$GH$37,IF(P23='Designer Shutter Data'!$GC$22,'Designer Shutter Data'!$GJ$25,IF(P23='Designer Shutter Data'!$GC$23,'Designer Shutter Data'!$GL$25)))))))))))))))))))))))</f>
        <v>0</v>
      </c>
      <c r="DM23" s="118" t="b">
        <f>IF(P23='Designer Shutter Data'!$GC$2,'Designer Shutter Data'!$GD$47,IF(P23='Designer Shutter Data'!$GC$3,'Designer Shutter Data'!$GE$47,IF(P23='Designer Shutter Data'!$GC$4,'Designer Shutter Data'!$GF$47,IF(P23='Designer Shutter Data'!$GC$5,'Designer Shutter Data'!$GG$47,IF(P23='Designer Shutter Data'!$GC$6,'Designer Shutter Data'!$GH$47,IF(P23='Designer Shutter Data'!$GC$7,'Designer Shutter Data'!$GI$47,IF(P23='Designer Shutter Data'!$GC$8,'Designer Shutter Data'!$GJ$47,IF(P23='Designer Shutter Data'!$GC$9,'Designer Shutter Data'!$GK$47,IF(P23='Designer Shutter Data'!$GC$10,'Designer Shutter Data'!$GL$47,IF(P23='Designer Shutter Data'!$GC$11,'Designer Shutter Data'!$GM$47,IF(P23='Designer Shutter Data'!$GC$12,'Designer Shutter Data'!$GN$47,IF(P23='Designer Shutter Data'!$GC$13,'Designer Shutter Data'!$GO$47,IF(P23='Designer Shutter Data'!$GC$14,'Designer Shutter Data'!$GP$47, IF(P23='Designer Shutter Data'!$GC$19,'Designer Shutter Data'!$GD$73, IF(P23='Designer Shutter Data'!$GC$20,'Designer Shutter Data'!$GF$88, IF(M23='Designer Shutter Data'!$F$5,'Designer Shutter Data'!$GE$59, IF(M23='Designer Shutter Data'!$F$6,'Designer Shutter Data'!$GD$59, IF(P23='Designer Shutter Data'!$GC$21,'Designer Shutter Data'!$GF$59,IF(P23='Designer Shutter Data'!$GC$22,'Designer Shutter Data'!$GJ$47,IF(P23='Designer Shutter Data'!$GC$23,'Designer Shutter Data'!$GL$47))))))))))))))))))))</f>
        <v>0</v>
      </c>
      <c r="DN23" s="107" t="str">
        <f t="shared" si="45"/>
        <v/>
      </c>
      <c r="DO23" s="107" t="e">
        <f t="shared" si="46"/>
        <v>#N/A</v>
      </c>
      <c r="DP23" s="107" t="str">
        <f t="shared" si="30"/>
        <v>OK</v>
      </c>
      <c r="DQ23" s="107" t="str">
        <f t="shared" si="31"/>
        <v>OK</v>
      </c>
      <c r="DR23" s="107" t="str">
        <f t="shared" si="32"/>
        <v>OK</v>
      </c>
      <c r="DS23" s="107" t="str">
        <f t="shared" si="33"/>
        <v>OK</v>
      </c>
      <c r="DT23" s="7" t="b">
        <f>IF(E23='Designer Shutter Data'!$GV$2,'Designer Shutter Data'!$GW$2,IF(E23='Designer Shutter Data'!$GV$3,'Designer Shutter Data'!$GX$2,IF(E23='Designer Shutter Data'!$GV$4,'Designer Shutter Data'!$GY$2)))</f>
        <v>0</v>
      </c>
      <c r="DU23" s="40" t="e">
        <f>MATCH(E23,'Designer Shutter Data'!$HB$1:$HD$1,0)</f>
        <v>#N/A</v>
      </c>
      <c r="DV23" s="40" t="e">
        <f>MATCH(M23,'Designer Shutter Data'!$HA$2:$HA$8,0)</f>
        <v>#N/A</v>
      </c>
      <c r="DW23" s="11" t="e">
        <f>INDEX('Designer Shutter Data'!$HB$2:$HD$8,DV23,DU23)</f>
        <v>#N/A</v>
      </c>
      <c r="DX23" s="11" t="b">
        <f>IF(E23='Designer Shutter Data'!$IG$1,'Designer Shutter Data'!$IG$2,IF(E23='Designer Shutter Data'!$IH$1,'Designer Shutter Data'!$IH$2, IF(E23='Designer Shutter Data'!$II$1,'Designer Shutter Data'!$II$2)))</f>
        <v>0</v>
      </c>
      <c r="DY23" s="11" t="str">
        <f>IF(E23="MS",'Designer Shutter Data'!$BI$2,IF(G23='Designer Shutter Data'!$BJ$34,'Designer Shutter Data'!$BJ$35,'Designer Shutter Data'!$BJ$2))</f>
        <v>FauxwoodDesignerWindowType</v>
      </c>
      <c r="DZ23" s="118" t="b">
        <f>IF(M23='Designer Shutter Data'!$F$3,'Designer Shutter Data'!$GF$88, IF(M23='Designer Shutter Data'!$F$4,'Designer Shutter Data'!$GE$59, IF(M23='Designer Shutter Data'!$F$5,'Designer Shutter Data'!$GD$59, IF(M23='Designer Shutter Data'!$F$6,'Designer Shutter Data'!$GD$59, IF(M23='Designer Shutter Data'!$F$7,'Designer Shutter Data'!$GD$73)))))</f>
        <v>0</v>
      </c>
      <c r="EB23" s="6" t="b">
        <f>IF(M23='Designer Shutter Data'!$IT$2,'Designer Shutter Data'!$JA$2, IF(M23='Designer Shutter Data'!$IT$3,'Designer Shutter Data'!$JC$2, IF(M23='Designer Shutter Data'!$IT$4,'Designer Shutter Data'!$JE$2, IF(M23='Designer Shutter Data'!$IT$5,'Designer Shutter Data'!$JG$2, IF(M23='Designer Shutter Data'!$IT$6,'Designer Shutter Data'!$JI$2, IF(M23='Designer Shutter Data'!$IT$7,'Designer Shutter Data'!$JZ$2, IF(M23='Designer Shutter Data'!$IT$8,'Designer Shutter Data'!$JI$16)))))))</f>
        <v>0</v>
      </c>
      <c r="EC23" s="6" t="str">
        <f t="shared" si="34"/>
        <v>NoHighlight</v>
      </c>
      <c r="ED23" s="7" t="e">
        <f>VLOOKUP(M23,'Designer Shutter Data'!$JW$5:$JX$10,2,FALSE)</f>
        <v>#N/A</v>
      </c>
      <c r="EE23" s="7" t="e">
        <f t="shared" si="35"/>
        <v>#N/A</v>
      </c>
      <c r="EF23" s="118" t="e">
        <f>VLOOKUP(O23,'Designer Shutter Data'!$AO$3:$AQ$171,1,FALSE)</f>
        <v>#N/A</v>
      </c>
      <c r="EG23" s="7" t="e">
        <f t="shared" si="36"/>
        <v>#N/A</v>
      </c>
      <c r="EH23" s="6" t="str">
        <f t="shared" si="37"/>
        <v/>
      </c>
      <c r="EJ23" s="40" t="e">
        <f>MATCH(M23,'Designer Shutter Data'!$KD$1:$KI$1,0)</f>
        <v>#N/A</v>
      </c>
      <c r="EK23" s="40" t="e">
        <f>MATCH(P23,'Designer Shutter Data'!$KC$2:$KC$21,0)</f>
        <v>#N/A</v>
      </c>
      <c r="EL23" s="136" t="e">
        <f>INDEX('Designer Shutter Data'!$KD$2:$KI$21,EK23,EJ23)</f>
        <v>#N/A</v>
      </c>
      <c r="EP23" s="6" t="str">
        <f>IF(AC23&lt;&gt;$EO$4,'Designer Shutter Data'!$BR$2,'Designer Shutter Data'!$BR$9)</f>
        <v>Fluffy_Strip_Fauxwood</v>
      </c>
      <c r="ER23" s="6" t="str">
        <f>IF(G23='Designer Shutter Data'!$E$26,'Designer Shutter Data'!$E$27,IF(G23='Designer Shutter Data'!$E$37,'Designer Shutter Data'!$E$38,'Designer Shutter Data'!$E$2))</f>
        <v>FauxwoodDesignerBladeSize</v>
      </c>
      <c r="ET23" s="6" t="str">
        <f t="shared" si="47"/>
        <v>Stile T Post</v>
      </c>
      <c r="EW23" s="40" t="e">
        <f>MATCH(G23,'Designer Shutter Data'!$AV$27:$AV$30,0)</f>
        <v>#N/A</v>
      </c>
      <c r="EX23" s="40" t="e">
        <f>MATCH(AC23,'Designer Shutter Data'!$AW$26:$AX$26,0)</f>
        <v>#N/A</v>
      </c>
      <c r="EY23" s="136" t="e">
        <f>INDEX('Designer Shutter Data'!$AW$27:$AX$30,EW23,EX23)</f>
        <v>#N/A</v>
      </c>
      <c r="EZ23" s="6" t="str">
        <f>IF(G23='Designer Shutter Data'!$S$15,'Designer Shutter Data'!$S$16, IF(G23=$FB$7,'Designer Shutter Data'!$T$15,'Designer Shutter Data'!$S$2))</f>
        <v>FauxwoodDesignerTiltrod</v>
      </c>
      <c r="FA23" s="6" t="e">
        <f>IF(G23=$FB$7,"No",VLOOKUP(L23,'Designer Shutter Data'!$BJ$62:$BK$75,2,FALSE))</f>
        <v>#N/A</v>
      </c>
      <c r="FB23" s="6" t="e">
        <f>IF(FA23="Yes", 'Designer Shutter Data'!$T$2,IF(G23=$FB$7,'Designer Shutter Data'!$T$15,'Designer Shutters Page 2'!EZ23))</f>
        <v>#N/A</v>
      </c>
      <c r="FC23" s="6" t="e">
        <f>MATCH(G23,'Designer Shutter Data'!$IG$15:$IJ$15,0)</f>
        <v>#N/A</v>
      </c>
      <c r="FD23" s="6" t="e">
        <f>MATCH(E23,'Designer Shutter Data'!$IF$16:$IF$18,0)</f>
        <v>#N/A</v>
      </c>
      <c r="FE23" s="6" t="e">
        <f>INDEX('Designer Shutter Data'!$IG$16:$IJ$18, 'Designer Shutters Page 2'!FD23, 'Designer Shutters Page 2'!FC23)</f>
        <v>#N/A</v>
      </c>
      <c r="FH23" s="6" t="str">
        <f t="shared" si="48"/>
        <v>SlidingSystemNA</v>
      </c>
      <c r="FJ23" s="6" t="e">
        <f>VLOOKUP(O23,'Designer Shutter Data'!$KP$2:$KR$44,3,FALSE)</f>
        <v>#N/A</v>
      </c>
      <c r="FL23" s="11" t="b">
        <f>IF(N23=$FL$7,'Designer Shutter Data'!$GH$98,DM23)</f>
        <v>0</v>
      </c>
    </row>
    <row r="24" spans="1:168" ht="18.75" customHeight="1" thickTop="1" thickBot="1" x14ac:dyDescent="0.25">
      <c r="A24" s="229"/>
      <c r="B24" s="229"/>
      <c r="K24" s="64"/>
      <c r="L24" s="64"/>
      <c r="M24" s="65"/>
      <c r="N24" s="65"/>
      <c r="O24" s="65"/>
      <c r="P24" s="65"/>
      <c r="Q24" s="65"/>
      <c r="R24" s="66"/>
      <c r="AI24" s="6">
        <f>SUM(AI9:AI23)</f>
        <v>0</v>
      </c>
      <c r="AJ24" s="6">
        <f>SUM(AJ9:AJ23)</f>
        <v>0</v>
      </c>
      <c r="AK24" s="6">
        <f>SUM(AI24:AJ24)</f>
        <v>0</v>
      </c>
      <c r="AT24" s="64"/>
      <c r="DJ24" s="103" t="str">
        <f>IF(COUNTIF(DJ9:DJ23,'Designer Shutter Data'!HW2),"Layout Code &amp; T Post Quantity Issue","")</f>
        <v/>
      </c>
    </row>
    <row r="25" spans="1:168" ht="32.25" customHeight="1" thickTop="1" thickBot="1" x14ac:dyDescent="0.25">
      <c r="A25" s="67" t="s">
        <v>408</v>
      </c>
      <c r="B25" s="162" t="s">
        <v>489</v>
      </c>
      <c r="C25" s="163"/>
      <c r="D25" s="163"/>
      <c r="E25" s="164"/>
      <c r="F25" s="230" t="s">
        <v>490</v>
      </c>
      <c r="G25" s="230"/>
      <c r="H25" s="230"/>
      <c r="I25" s="230"/>
      <c r="J25" s="230"/>
      <c r="K25" s="162" t="s">
        <v>491</v>
      </c>
      <c r="L25" s="163"/>
      <c r="M25" s="164"/>
      <c r="N25" s="162" t="s">
        <v>492</v>
      </c>
      <c r="O25" s="163"/>
      <c r="P25" s="163"/>
      <c r="Q25" s="163"/>
      <c r="R25" s="163"/>
      <c r="S25" s="163"/>
      <c r="T25" s="164"/>
      <c r="U25" s="231" t="s">
        <v>493</v>
      </c>
      <c r="V25" s="231"/>
      <c r="W25" s="231"/>
      <c r="X25" s="231"/>
      <c r="Y25" s="231"/>
      <c r="Z25" s="231"/>
      <c r="AA25" s="231"/>
      <c r="AB25" s="231"/>
      <c r="AC25" s="232"/>
      <c r="AD25" s="232"/>
      <c r="AE25" s="233"/>
      <c r="AF25" s="68"/>
    </row>
    <row r="26" spans="1:168" ht="18" customHeight="1" thickTop="1" x14ac:dyDescent="0.2">
      <c r="A26" s="69">
        <v>1</v>
      </c>
      <c r="B26" s="237"/>
      <c r="C26" s="237"/>
      <c r="D26" s="237"/>
      <c r="E26" s="237"/>
      <c r="F26" s="252"/>
      <c r="G26" s="252"/>
      <c r="H26" s="252"/>
      <c r="I26" s="252"/>
      <c r="J26" s="253"/>
      <c r="K26" s="174"/>
      <c r="L26" s="175"/>
      <c r="M26" s="176"/>
      <c r="N26" s="174"/>
      <c r="O26" s="175"/>
      <c r="P26" s="175"/>
      <c r="Q26" s="175"/>
      <c r="R26" s="175"/>
      <c r="S26" s="175"/>
      <c r="T26" s="176"/>
      <c r="U26" s="238"/>
      <c r="V26" s="239"/>
      <c r="W26" s="239"/>
      <c r="X26" s="239"/>
      <c r="Y26" s="239"/>
      <c r="Z26" s="239"/>
      <c r="AA26" s="239"/>
      <c r="AB26" s="239"/>
      <c r="AC26" s="239"/>
      <c r="AD26" s="239"/>
      <c r="AE26" s="240"/>
      <c r="AF26" s="68"/>
      <c r="AY26" s="7" t="b">
        <v>0</v>
      </c>
    </row>
    <row r="27" spans="1:168" ht="18" customHeight="1" x14ac:dyDescent="0.2">
      <c r="A27" s="71">
        <v>2</v>
      </c>
      <c r="B27" s="247"/>
      <c r="C27" s="247"/>
      <c r="D27" s="247"/>
      <c r="E27" s="247"/>
      <c r="F27" s="248"/>
      <c r="G27" s="248"/>
      <c r="H27" s="248"/>
      <c r="I27" s="248"/>
      <c r="J27" s="165"/>
      <c r="K27" s="165"/>
      <c r="L27" s="166"/>
      <c r="M27" s="167"/>
      <c r="N27" s="165"/>
      <c r="O27" s="166"/>
      <c r="P27" s="166"/>
      <c r="Q27" s="166"/>
      <c r="R27" s="166"/>
      <c r="S27" s="166"/>
      <c r="T27" s="167"/>
      <c r="U27" s="241"/>
      <c r="V27" s="242"/>
      <c r="W27" s="242"/>
      <c r="X27" s="242"/>
      <c r="Y27" s="242"/>
      <c r="Z27" s="242"/>
      <c r="AA27" s="242"/>
      <c r="AB27" s="242"/>
      <c r="AC27" s="242"/>
      <c r="AD27" s="242"/>
      <c r="AE27" s="243"/>
      <c r="AF27" s="68"/>
      <c r="AY27" s="7" t="b">
        <v>0</v>
      </c>
    </row>
    <row r="28" spans="1:168" ht="18" customHeight="1" x14ac:dyDescent="0.2">
      <c r="A28" s="71">
        <v>3</v>
      </c>
      <c r="B28" s="247"/>
      <c r="C28" s="247"/>
      <c r="D28" s="247"/>
      <c r="E28" s="247"/>
      <c r="F28" s="248"/>
      <c r="G28" s="248"/>
      <c r="H28" s="248"/>
      <c r="I28" s="248"/>
      <c r="J28" s="165"/>
      <c r="K28" s="165"/>
      <c r="L28" s="166"/>
      <c r="M28" s="167"/>
      <c r="N28" s="165"/>
      <c r="O28" s="166"/>
      <c r="P28" s="166"/>
      <c r="Q28" s="166"/>
      <c r="R28" s="166"/>
      <c r="S28" s="166"/>
      <c r="T28" s="167"/>
      <c r="U28" s="241"/>
      <c r="V28" s="242"/>
      <c r="W28" s="242"/>
      <c r="X28" s="242"/>
      <c r="Y28" s="242"/>
      <c r="Z28" s="242"/>
      <c r="AA28" s="242"/>
      <c r="AB28" s="242"/>
      <c r="AC28" s="242"/>
      <c r="AD28" s="242"/>
      <c r="AE28" s="243"/>
      <c r="AF28" s="68"/>
      <c r="AY28" s="7" t="b">
        <v>0</v>
      </c>
    </row>
    <row r="29" spans="1:168" ht="18" customHeight="1" x14ac:dyDescent="0.2">
      <c r="A29" s="71">
        <v>4</v>
      </c>
      <c r="B29" s="247"/>
      <c r="C29" s="247"/>
      <c r="D29" s="247"/>
      <c r="E29" s="247"/>
      <c r="F29" s="248"/>
      <c r="G29" s="248"/>
      <c r="H29" s="248"/>
      <c r="I29" s="248"/>
      <c r="J29" s="165"/>
      <c r="K29" s="165"/>
      <c r="L29" s="166"/>
      <c r="M29" s="167"/>
      <c r="N29" s="165"/>
      <c r="O29" s="166"/>
      <c r="P29" s="166"/>
      <c r="Q29" s="166"/>
      <c r="R29" s="166"/>
      <c r="S29" s="166"/>
      <c r="T29" s="167"/>
      <c r="U29" s="241"/>
      <c r="V29" s="242"/>
      <c r="W29" s="242"/>
      <c r="X29" s="242"/>
      <c r="Y29" s="242"/>
      <c r="Z29" s="242"/>
      <c r="AA29" s="242"/>
      <c r="AB29" s="242"/>
      <c r="AC29" s="242"/>
      <c r="AD29" s="242"/>
      <c r="AE29" s="243"/>
      <c r="AF29" s="68"/>
      <c r="AY29" s="7" t="b">
        <v>0</v>
      </c>
    </row>
    <row r="30" spans="1:168" ht="18" customHeight="1" x14ac:dyDescent="0.2">
      <c r="A30" s="71">
        <v>5</v>
      </c>
      <c r="B30" s="247"/>
      <c r="C30" s="247"/>
      <c r="D30" s="247"/>
      <c r="E30" s="247"/>
      <c r="F30" s="248"/>
      <c r="G30" s="248"/>
      <c r="H30" s="248"/>
      <c r="I30" s="248"/>
      <c r="J30" s="165"/>
      <c r="K30" s="165"/>
      <c r="L30" s="166"/>
      <c r="M30" s="167"/>
      <c r="N30" s="165"/>
      <c r="O30" s="166"/>
      <c r="P30" s="166"/>
      <c r="Q30" s="166"/>
      <c r="R30" s="166"/>
      <c r="S30" s="166"/>
      <c r="T30" s="167"/>
      <c r="U30" s="241"/>
      <c r="V30" s="242"/>
      <c r="W30" s="242"/>
      <c r="X30" s="242"/>
      <c r="Y30" s="242"/>
      <c r="Z30" s="242"/>
      <c r="AA30" s="242"/>
      <c r="AB30" s="242"/>
      <c r="AC30" s="242"/>
      <c r="AD30" s="242"/>
      <c r="AE30" s="243"/>
      <c r="AF30" s="68"/>
      <c r="AY30" s="7" t="b">
        <v>0</v>
      </c>
    </row>
    <row r="31" spans="1:168" ht="18" customHeight="1" x14ac:dyDescent="0.2">
      <c r="A31" s="71">
        <v>6</v>
      </c>
      <c r="B31" s="247"/>
      <c r="C31" s="247"/>
      <c r="D31" s="247"/>
      <c r="E31" s="247"/>
      <c r="F31" s="248"/>
      <c r="G31" s="248"/>
      <c r="H31" s="248"/>
      <c r="I31" s="248"/>
      <c r="J31" s="165"/>
      <c r="K31" s="165"/>
      <c r="L31" s="166"/>
      <c r="M31" s="167"/>
      <c r="N31" s="165"/>
      <c r="O31" s="166"/>
      <c r="P31" s="166"/>
      <c r="Q31" s="166"/>
      <c r="R31" s="166"/>
      <c r="S31" s="166"/>
      <c r="T31" s="167"/>
      <c r="U31" s="241"/>
      <c r="V31" s="242"/>
      <c r="W31" s="242"/>
      <c r="X31" s="242"/>
      <c r="Y31" s="242"/>
      <c r="Z31" s="242"/>
      <c r="AA31" s="242"/>
      <c r="AB31" s="242"/>
      <c r="AC31" s="242"/>
      <c r="AD31" s="242"/>
      <c r="AE31" s="243"/>
      <c r="AF31" s="68"/>
      <c r="AY31" s="7" t="b">
        <v>0</v>
      </c>
    </row>
    <row r="32" spans="1:168" ht="18" customHeight="1" x14ac:dyDescent="0.2">
      <c r="A32" s="71">
        <v>7</v>
      </c>
      <c r="B32" s="247"/>
      <c r="C32" s="247"/>
      <c r="D32" s="247"/>
      <c r="E32" s="247"/>
      <c r="F32" s="248"/>
      <c r="G32" s="248"/>
      <c r="H32" s="248"/>
      <c r="I32" s="248"/>
      <c r="J32" s="165"/>
      <c r="K32" s="165"/>
      <c r="L32" s="166"/>
      <c r="M32" s="167"/>
      <c r="N32" s="165"/>
      <c r="O32" s="166"/>
      <c r="P32" s="166"/>
      <c r="Q32" s="166"/>
      <c r="R32" s="166"/>
      <c r="S32" s="166"/>
      <c r="T32" s="167"/>
      <c r="U32" s="241"/>
      <c r="V32" s="242"/>
      <c r="W32" s="242"/>
      <c r="X32" s="242"/>
      <c r="Y32" s="242"/>
      <c r="Z32" s="242"/>
      <c r="AA32" s="242"/>
      <c r="AB32" s="242"/>
      <c r="AC32" s="242"/>
      <c r="AD32" s="242"/>
      <c r="AE32" s="243"/>
      <c r="AF32" s="68"/>
      <c r="AY32" s="7" t="b">
        <v>0</v>
      </c>
    </row>
    <row r="33" spans="1:130" ht="18" customHeight="1" x14ac:dyDescent="0.2">
      <c r="A33" s="71">
        <v>8</v>
      </c>
      <c r="B33" s="247"/>
      <c r="C33" s="247"/>
      <c r="D33" s="247"/>
      <c r="E33" s="247"/>
      <c r="F33" s="248"/>
      <c r="G33" s="248"/>
      <c r="H33" s="248"/>
      <c r="I33" s="248"/>
      <c r="J33" s="165"/>
      <c r="K33" s="165"/>
      <c r="L33" s="166"/>
      <c r="M33" s="167"/>
      <c r="N33" s="165"/>
      <c r="O33" s="166"/>
      <c r="P33" s="166"/>
      <c r="Q33" s="166"/>
      <c r="R33" s="166"/>
      <c r="S33" s="166"/>
      <c r="T33" s="167"/>
      <c r="U33" s="241"/>
      <c r="V33" s="242"/>
      <c r="W33" s="242"/>
      <c r="X33" s="242"/>
      <c r="Y33" s="242"/>
      <c r="Z33" s="242"/>
      <c r="AA33" s="242"/>
      <c r="AB33" s="242"/>
      <c r="AC33" s="242"/>
      <c r="AD33" s="242"/>
      <c r="AE33" s="243"/>
      <c r="AF33" s="68"/>
      <c r="AY33" s="7" t="b">
        <v>0</v>
      </c>
    </row>
    <row r="34" spans="1:130" ht="18" customHeight="1" x14ac:dyDescent="0.2">
      <c r="A34" s="71">
        <v>9</v>
      </c>
      <c r="B34" s="247"/>
      <c r="C34" s="247"/>
      <c r="D34" s="247"/>
      <c r="E34" s="247"/>
      <c r="F34" s="248"/>
      <c r="G34" s="248"/>
      <c r="H34" s="248"/>
      <c r="I34" s="248"/>
      <c r="J34" s="165"/>
      <c r="K34" s="165"/>
      <c r="L34" s="166"/>
      <c r="M34" s="167"/>
      <c r="N34" s="165"/>
      <c r="O34" s="166"/>
      <c r="P34" s="166"/>
      <c r="Q34" s="166"/>
      <c r="R34" s="166"/>
      <c r="S34" s="166"/>
      <c r="T34" s="167"/>
      <c r="U34" s="241"/>
      <c r="V34" s="242"/>
      <c r="W34" s="242"/>
      <c r="X34" s="242"/>
      <c r="Y34" s="242"/>
      <c r="Z34" s="242"/>
      <c r="AA34" s="242"/>
      <c r="AB34" s="242"/>
      <c r="AC34" s="242"/>
      <c r="AD34" s="242"/>
      <c r="AE34" s="243"/>
      <c r="AF34" s="68"/>
      <c r="AY34" s="7" t="b">
        <v>0</v>
      </c>
    </row>
    <row r="35" spans="1:130" ht="18" customHeight="1" x14ac:dyDescent="0.2">
      <c r="A35" s="71">
        <v>10</v>
      </c>
      <c r="B35" s="247"/>
      <c r="C35" s="247"/>
      <c r="D35" s="247"/>
      <c r="E35" s="247"/>
      <c r="F35" s="248"/>
      <c r="G35" s="248"/>
      <c r="H35" s="248"/>
      <c r="I35" s="248"/>
      <c r="J35" s="165"/>
      <c r="K35" s="165"/>
      <c r="L35" s="166"/>
      <c r="M35" s="167"/>
      <c r="N35" s="165"/>
      <c r="O35" s="166"/>
      <c r="P35" s="166"/>
      <c r="Q35" s="166"/>
      <c r="R35" s="166"/>
      <c r="S35" s="166"/>
      <c r="T35" s="167"/>
      <c r="U35" s="241"/>
      <c r="V35" s="242"/>
      <c r="W35" s="242"/>
      <c r="X35" s="242"/>
      <c r="Y35" s="242"/>
      <c r="Z35" s="242"/>
      <c r="AA35" s="242"/>
      <c r="AB35" s="242"/>
      <c r="AC35" s="242"/>
      <c r="AD35" s="242"/>
      <c r="AE35" s="243"/>
      <c r="AF35" s="68"/>
      <c r="AY35" s="7" t="b">
        <v>0</v>
      </c>
    </row>
    <row r="36" spans="1:130" ht="18" customHeight="1" x14ac:dyDescent="0.2">
      <c r="A36" s="71">
        <v>11</v>
      </c>
      <c r="B36" s="247"/>
      <c r="C36" s="247"/>
      <c r="D36" s="247"/>
      <c r="E36" s="247"/>
      <c r="F36" s="248"/>
      <c r="G36" s="248"/>
      <c r="H36" s="248"/>
      <c r="I36" s="248"/>
      <c r="J36" s="165"/>
      <c r="K36" s="165"/>
      <c r="L36" s="166"/>
      <c r="M36" s="167"/>
      <c r="N36" s="165"/>
      <c r="O36" s="166"/>
      <c r="P36" s="166"/>
      <c r="Q36" s="166"/>
      <c r="R36" s="166"/>
      <c r="S36" s="166"/>
      <c r="T36" s="167"/>
      <c r="U36" s="241"/>
      <c r="V36" s="242"/>
      <c r="W36" s="242"/>
      <c r="X36" s="242"/>
      <c r="Y36" s="242"/>
      <c r="Z36" s="242"/>
      <c r="AA36" s="242"/>
      <c r="AB36" s="242"/>
      <c r="AC36" s="242"/>
      <c r="AD36" s="242"/>
      <c r="AE36" s="243"/>
      <c r="AF36" s="68"/>
    </row>
    <row r="37" spans="1:130" ht="18" customHeight="1" x14ac:dyDescent="0.2">
      <c r="A37" s="71">
        <v>12</v>
      </c>
      <c r="B37" s="247"/>
      <c r="C37" s="247"/>
      <c r="D37" s="247"/>
      <c r="E37" s="247"/>
      <c r="F37" s="248"/>
      <c r="G37" s="248"/>
      <c r="H37" s="248"/>
      <c r="I37" s="248"/>
      <c r="J37" s="165"/>
      <c r="K37" s="165"/>
      <c r="L37" s="166"/>
      <c r="M37" s="167"/>
      <c r="N37" s="165"/>
      <c r="O37" s="166"/>
      <c r="P37" s="166"/>
      <c r="Q37" s="166"/>
      <c r="R37" s="166"/>
      <c r="S37" s="166"/>
      <c r="T37" s="167"/>
      <c r="U37" s="241"/>
      <c r="V37" s="242"/>
      <c r="W37" s="242"/>
      <c r="X37" s="242"/>
      <c r="Y37" s="242"/>
      <c r="Z37" s="242"/>
      <c r="AA37" s="242"/>
      <c r="AB37" s="242"/>
      <c r="AC37" s="242"/>
      <c r="AD37" s="242"/>
      <c r="AE37" s="243"/>
      <c r="AF37" s="68"/>
    </row>
    <row r="38" spans="1:130" ht="18" customHeight="1" x14ac:dyDescent="0.2">
      <c r="A38" s="71">
        <v>13</v>
      </c>
      <c r="B38" s="247"/>
      <c r="C38" s="247"/>
      <c r="D38" s="247"/>
      <c r="E38" s="247"/>
      <c r="F38" s="248"/>
      <c r="G38" s="248"/>
      <c r="H38" s="248"/>
      <c r="I38" s="248"/>
      <c r="J38" s="165"/>
      <c r="K38" s="165"/>
      <c r="L38" s="166"/>
      <c r="M38" s="167"/>
      <c r="N38" s="165"/>
      <c r="O38" s="166"/>
      <c r="P38" s="166"/>
      <c r="Q38" s="166"/>
      <c r="R38" s="166"/>
      <c r="S38" s="166"/>
      <c r="T38" s="167"/>
      <c r="U38" s="241"/>
      <c r="V38" s="242"/>
      <c r="W38" s="242"/>
      <c r="X38" s="242"/>
      <c r="Y38" s="242"/>
      <c r="Z38" s="242"/>
      <c r="AA38" s="242"/>
      <c r="AB38" s="242"/>
      <c r="AC38" s="242"/>
      <c r="AD38" s="242"/>
      <c r="AE38" s="243"/>
      <c r="AF38" s="68"/>
    </row>
    <row r="39" spans="1:130" ht="18" customHeight="1" x14ac:dyDescent="0.2">
      <c r="A39" s="71">
        <v>14</v>
      </c>
      <c r="B39" s="247"/>
      <c r="C39" s="247"/>
      <c r="D39" s="247"/>
      <c r="E39" s="247"/>
      <c r="F39" s="248"/>
      <c r="G39" s="248"/>
      <c r="H39" s="248"/>
      <c r="I39" s="248"/>
      <c r="J39" s="165"/>
      <c r="K39" s="165"/>
      <c r="L39" s="166"/>
      <c r="M39" s="167"/>
      <c r="N39" s="165"/>
      <c r="O39" s="166"/>
      <c r="P39" s="166"/>
      <c r="Q39" s="166"/>
      <c r="R39" s="166"/>
      <c r="S39" s="166"/>
      <c r="T39" s="167"/>
      <c r="U39" s="241"/>
      <c r="V39" s="242"/>
      <c r="W39" s="242"/>
      <c r="X39" s="242"/>
      <c r="Y39" s="242"/>
      <c r="Z39" s="242"/>
      <c r="AA39" s="242"/>
      <c r="AB39" s="242"/>
      <c r="AC39" s="242"/>
      <c r="AD39" s="242"/>
      <c r="AE39" s="243"/>
      <c r="AF39" s="68"/>
    </row>
    <row r="40" spans="1:130" ht="18" customHeight="1" thickBot="1" x14ac:dyDescent="0.25">
      <c r="A40" s="72">
        <v>15</v>
      </c>
      <c r="B40" s="284"/>
      <c r="C40" s="284"/>
      <c r="D40" s="284"/>
      <c r="E40" s="284"/>
      <c r="F40" s="285"/>
      <c r="G40" s="285"/>
      <c r="H40" s="285"/>
      <c r="I40" s="285"/>
      <c r="J40" s="168"/>
      <c r="K40" s="168"/>
      <c r="L40" s="169"/>
      <c r="M40" s="170"/>
      <c r="N40" s="168"/>
      <c r="O40" s="169"/>
      <c r="P40" s="169"/>
      <c r="Q40" s="169"/>
      <c r="R40" s="169"/>
      <c r="S40" s="169"/>
      <c r="T40" s="170"/>
      <c r="U40" s="244"/>
      <c r="V40" s="245"/>
      <c r="W40" s="245"/>
      <c r="X40" s="245"/>
      <c r="Y40" s="245"/>
      <c r="Z40" s="245"/>
      <c r="AA40" s="245"/>
      <c r="AB40" s="245"/>
      <c r="AC40" s="245"/>
      <c r="AD40" s="245"/>
      <c r="AE40" s="246"/>
    </row>
    <row r="41" spans="1:130" ht="16.5" thickTop="1" thickBot="1" x14ac:dyDescent="0.25">
      <c r="A41" s="73"/>
      <c r="B41" s="286" t="s">
        <v>625</v>
      </c>
      <c r="C41" s="286"/>
      <c r="D41" s="286"/>
      <c r="E41" s="286"/>
      <c r="F41" s="286"/>
      <c r="G41" s="286"/>
      <c r="H41" s="286"/>
      <c r="I41" s="286"/>
      <c r="J41" s="74"/>
      <c r="K41" s="74"/>
      <c r="L41" s="74"/>
      <c r="M41" s="74"/>
      <c r="N41" s="74"/>
      <c r="O41" s="74"/>
      <c r="P41" s="74"/>
      <c r="Q41" s="74"/>
      <c r="R41" s="75"/>
      <c r="S41" s="75"/>
      <c r="T41" s="75"/>
      <c r="U41" s="75"/>
      <c r="V41" s="75"/>
      <c r="W41" s="75"/>
      <c r="X41" s="75"/>
      <c r="Y41" s="70"/>
      <c r="Z41" s="70"/>
      <c r="AA41" s="70"/>
      <c r="AB41" s="70"/>
      <c r="AC41" s="70"/>
      <c r="AD41" s="70"/>
      <c r="AE41" s="70"/>
      <c r="AF41" s="70"/>
    </row>
    <row r="42" spans="1:130" s="88" customFormat="1" ht="30.75" thickBot="1" x14ac:dyDescent="0.25">
      <c r="A42" s="112" t="s">
        <v>624</v>
      </c>
      <c r="B42" s="113" t="s">
        <v>494</v>
      </c>
      <c r="C42" s="114" t="s">
        <v>495</v>
      </c>
      <c r="D42" s="287" t="s">
        <v>496</v>
      </c>
      <c r="E42" s="288"/>
      <c r="F42" s="288"/>
      <c r="G42" s="288"/>
      <c r="H42" s="288"/>
      <c r="I42" s="289"/>
      <c r="J42" s="290" t="s">
        <v>413</v>
      </c>
      <c r="K42" s="291"/>
      <c r="L42" s="115" t="s">
        <v>414</v>
      </c>
      <c r="M42" s="146" t="s">
        <v>494</v>
      </c>
      <c r="N42" s="171" t="s">
        <v>497</v>
      </c>
      <c r="O42" s="172"/>
      <c r="P42" s="172"/>
      <c r="Q42" s="172"/>
      <c r="R42" s="172"/>
      <c r="S42" s="172"/>
      <c r="T42" s="173"/>
      <c r="U42" s="292" t="s">
        <v>414</v>
      </c>
      <c r="V42" s="292"/>
      <c r="W42" s="292"/>
      <c r="X42" s="292"/>
      <c r="Y42" s="292"/>
      <c r="Z42" s="293" t="s">
        <v>498</v>
      </c>
      <c r="AA42" s="293"/>
      <c r="AB42" s="293"/>
      <c r="AC42" s="294"/>
      <c r="AD42" s="294"/>
      <c r="AE42" s="295"/>
      <c r="AF42" s="116"/>
      <c r="BD42" s="88" t="s">
        <v>499</v>
      </c>
      <c r="BJ42" s="117"/>
      <c r="BK42" s="121"/>
      <c r="BL42" s="121"/>
      <c r="BM42" s="121"/>
      <c r="CI42" s="121"/>
      <c r="CJ42" s="121"/>
      <c r="CO42" s="121"/>
      <c r="CP42" s="121"/>
      <c r="DH42" s="121"/>
      <c r="DI42" s="117"/>
      <c r="DJ42" s="117"/>
      <c r="DM42" s="121"/>
      <c r="DN42" s="117"/>
      <c r="DO42" s="117"/>
      <c r="DP42" s="117"/>
      <c r="DQ42" s="117"/>
      <c r="DR42" s="117"/>
      <c r="DS42" s="117"/>
      <c r="DZ42" s="121"/>
    </row>
    <row r="43" spans="1:130" ht="15" customHeight="1" thickTop="1" x14ac:dyDescent="0.25">
      <c r="A43" s="77">
        <v>1</v>
      </c>
      <c r="B43" s="78"/>
      <c r="C43" s="79"/>
      <c r="D43" s="306"/>
      <c r="E43" s="306"/>
      <c r="F43" s="306"/>
      <c r="G43" s="306"/>
      <c r="H43" s="306"/>
      <c r="I43" s="306"/>
      <c r="J43" s="279"/>
      <c r="K43" s="279"/>
      <c r="L43" s="93"/>
      <c r="M43" s="150"/>
      <c r="N43" s="174"/>
      <c r="O43" s="175"/>
      <c r="P43" s="175"/>
      <c r="Q43" s="175"/>
      <c r="R43" s="175"/>
      <c r="S43" s="175"/>
      <c r="T43" s="176"/>
      <c r="U43" s="279"/>
      <c r="V43" s="279"/>
      <c r="W43" s="279"/>
      <c r="X43" s="279"/>
      <c r="Y43" s="279"/>
      <c r="Z43" s="280"/>
      <c r="AA43" s="281"/>
      <c r="AB43" s="281"/>
      <c r="AC43" s="282"/>
      <c r="AD43" s="282"/>
      <c r="AE43" s="283"/>
      <c r="AF43" s="70"/>
      <c r="AT43" s="80"/>
      <c r="AY43" s="81" t="str">
        <f>IF(OR(AND(J43="Basswood",D43="Large Z Frame")),"NonStandard", "Standard" )</f>
        <v>Standard</v>
      </c>
      <c r="AZ43" s="7" t="s">
        <v>157</v>
      </c>
      <c r="BA43" s="7" t="b">
        <v>0</v>
      </c>
      <c r="BD43" s="76" t="b">
        <f>IF(N43='Designer Shutter Data'!$EV$2,'Designer Shutter Data'!$EX$27,IF(N43='Designer Shutter Data'!$EV$3,'Designer Shutter Data'!$EY$27,IF(N43='Designer Shutter Data'!$EV$4,'Designer Shutter Data'!$EX$2,IF(N43='Designer Shutter Data'!$EV$5,'Designer Shutter Data'!$FA$27,IF(N43='Designer Shutter Data'!$EV$6,'Designer Shutter Data'!$FC$27,IF(N43='Designer Shutter Data'!$EV$7,'Designer Shutter Data'!$EY$2,IF(N43='Designer Shutter Data'!$EV$8,'Designer Shutter Data'!$EZ$2,IF(N43='Designer Shutter Data'!$EV$9,'Designer Shutter Data'!$FA$2,IF(N43='Designer Shutter Data'!$EV$10,'Designer Shutter Data'!$FB$2,IF(N43='Designer Shutter Data'!$EV$11,'Designer Shutter Data'!$FB$2,IF(N43='Designer Shutter Data'!$EV$11,'Designer Shutter Data'!$FC$2,IF(N43='Designer Shutter Data'!$EV$12,'Designer Shutter Data'!$FD$2,IF(N43='Designer Shutter Data'!$EV$13,'Designer Shutter Data'!$FE$11,IF(N43='Designer Shutter Data'!$EV$14,'Designer Shutter Data'!$FE$2,IF(N43='Designer Shutter Data'!$EV$15,'Designer Shutter Data'!$FN$27,IF(N43='Designer Shutter Data'!$EV$16,'Designer Shutter Data'!$FO$27,IF(N43='Designer Shutter Data'!$EV$17,'Designer Shutter Data'!$FG$2,IF(N43='Designer Shutter Data'!$EV$18,'Designer Shutter Data'!$FG$2,IF(N43='Designer Shutter Data'!$EV$19,'Designer Shutter Data'!$FA$38)))))))))))))))))))</f>
        <v>0</v>
      </c>
    </row>
    <row r="44" spans="1:130" ht="15" customHeight="1" x14ac:dyDescent="0.25">
      <c r="A44" s="42">
        <v>2</v>
      </c>
      <c r="B44" s="149"/>
      <c r="C44" s="82"/>
      <c r="D44" s="248"/>
      <c r="E44" s="248"/>
      <c r="F44" s="248"/>
      <c r="G44" s="248"/>
      <c r="H44" s="248"/>
      <c r="I44" s="248"/>
      <c r="J44" s="296"/>
      <c r="K44" s="296"/>
      <c r="L44" s="94"/>
      <c r="M44" s="149"/>
      <c r="N44" s="165"/>
      <c r="O44" s="166"/>
      <c r="P44" s="166"/>
      <c r="Q44" s="166"/>
      <c r="R44" s="166"/>
      <c r="S44" s="166"/>
      <c r="T44" s="167"/>
      <c r="U44" s="296"/>
      <c r="V44" s="296"/>
      <c r="W44" s="296"/>
      <c r="X44" s="296"/>
      <c r="Y44" s="296"/>
      <c r="Z44" s="297"/>
      <c r="AA44" s="298"/>
      <c r="AB44" s="298"/>
      <c r="AC44" s="299"/>
      <c r="AD44" s="299"/>
      <c r="AE44" s="300"/>
      <c r="AF44" s="70"/>
      <c r="AT44" s="80"/>
      <c r="AY44" s="81" t="str">
        <f>IF(OR(AND(J44="Basswood",D44="Large Z Frame")),"NonStandard", "Standard" )</f>
        <v>Standard</v>
      </c>
      <c r="AZ44" s="7" t="s">
        <v>157</v>
      </c>
      <c r="BA44" s="7" t="b">
        <v>0</v>
      </c>
      <c r="BD44" s="76" t="b">
        <f>IF(N44='Designer Shutter Data'!$EV$2,'Designer Shutter Data'!$EX$27,IF(N44='Designer Shutter Data'!$EV$3,'Designer Shutter Data'!$EY$27,IF(N44='Designer Shutter Data'!$EV$4,'Designer Shutter Data'!$EX$2,IF(N44='Designer Shutter Data'!$EV$5,'Designer Shutter Data'!$FA$27,IF(N44='Designer Shutter Data'!$EV$6,'Designer Shutter Data'!$FC$27,IF(N44='Designer Shutter Data'!$EV$7,'Designer Shutter Data'!$EY$2,IF(N44='Designer Shutter Data'!$EV$8,'Designer Shutter Data'!$EZ$2,IF(N44='Designer Shutter Data'!$EV$9,'Designer Shutter Data'!$FA$2,IF(N44='Designer Shutter Data'!$EV$10,'Designer Shutter Data'!$FB$2,IF(N44='Designer Shutter Data'!$EV$11,'Designer Shutter Data'!$FB$2,IF(N44='Designer Shutter Data'!$EV$11,'Designer Shutter Data'!$FC$2,IF(N44='Designer Shutter Data'!$EV$12,'Designer Shutter Data'!$FD$2,IF(N44='Designer Shutter Data'!$EV$13,'Designer Shutter Data'!$FE$11,IF(N44='Designer Shutter Data'!$EV$14,'Designer Shutter Data'!$FE$2,IF(N44='Designer Shutter Data'!$EV$15,'Designer Shutter Data'!$FN$27,IF(N44='Designer Shutter Data'!$EV$16,'Designer Shutter Data'!$FO$27,IF(N44='Designer Shutter Data'!$EV$17,'Designer Shutter Data'!$FG$2,IF(N44='Designer Shutter Data'!$EV$18,'Designer Shutter Data'!$FG$2,IF(N44='Designer Shutter Data'!$EV$19,'Designer Shutter Data'!$FA$38)))))))))))))))))))</f>
        <v>0</v>
      </c>
    </row>
    <row r="45" spans="1:130" ht="15" customHeight="1" x14ac:dyDescent="0.25">
      <c r="A45" s="42">
        <v>3</v>
      </c>
      <c r="B45" s="149"/>
      <c r="C45" s="82"/>
      <c r="D45" s="248"/>
      <c r="E45" s="248"/>
      <c r="F45" s="248"/>
      <c r="G45" s="248"/>
      <c r="H45" s="248"/>
      <c r="I45" s="248"/>
      <c r="J45" s="296"/>
      <c r="K45" s="296"/>
      <c r="L45" s="94"/>
      <c r="M45" s="149"/>
      <c r="N45" s="165"/>
      <c r="O45" s="166"/>
      <c r="P45" s="166"/>
      <c r="Q45" s="166"/>
      <c r="R45" s="166"/>
      <c r="S45" s="166"/>
      <c r="T45" s="167"/>
      <c r="U45" s="296"/>
      <c r="V45" s="296"/>
      <c r="W45" s="296"/>
      <c r="X45" s="296"/>
      <c r="Y45" s="296"/>
      <c r="Z45" s="297"/>
      <c r="AA45" s="298"/>
      <c r="AB45" s="298"/>
      <c r="AC45" s="299"/>
      <c r="AD45" s="299"/>
      <c r="AE45" s="300"/>
      <c r="AF45" s="70"/>
      <c r="AT45" s="80"/>
      <c r="AY45" s="81" t="str">
        <f t="shared" ref="AY45:AY52" si="49">IF(OR(AND(J45="Basswood",D45="Large Z Frame")),"NonStandard", "Standard" )</f>
        <v>Standard</v>
      </c>
      <c r="AZ45" s="7" t="s">
        <v>157</v>
      </c>
      <c r="BA45" s="7" t="b">
        <v>0</v>
      </c>
      <c r="BD45" s="76" t="b">
        <f>IF(N45='Designer Shutter Data'!$EV$2,'Designer Shutter Data'!$EX$27,IF(N45='Designer Shutter Data'!$EV$3,'Designer Shutter Data'!$EY$27,IF(N45='Designer Shutter Data'!$EV$4,'Designer Shutter Data'!$EX$2,IF(N45='Designer Shutter Data'!$EV$5,'Designer Shutter Data'!$FA$27,IF(N45='Designer Shutter Data'!$EV$6,'Designer Shutter Data'!$FC$27,IF(N45='Designer Shutter Data'!$EV$7,'Designer Shutter Data'!$EY$2,IF(N45='Designer Shutter Data'!$EV$8,'Designer Shutter Data'!$EZ$2,IF(N45='Designer Shutter Data'!$EV$9,'Designer Shutter Data'!$FA$2,IF(N45='Designer Shutter Data'!$EV$10,'Designer Shutter Data'!$FB$2,IF(N45='Designer Shutter Data'!$EV$11,'Designer Shutter Data'!$FB$2,IF(N45='Designer Shutter Data'!$EV$11,'Designer Shutter Data'!$FC$2,IF(N45='Designer Shutter Data'!$EV$12,'Designer Shutter Data'!$FD$2,IF(N45='Designer Shutter Data'!$EV$13,'Designer Shutter Data'!$FE$11,IF(N45='Designer Shutter Data'!$EV$14,'Designer Shutter Data'!$FE$2,IF(N45='Designer Shutter Data'!$EV$15,'Designer Shutter Data'!$FN$27,IF(N45='Designer Shutter Data'!$EV$16,'Designer Shutter Data'!$FO$27,IF(N45='Designer Shutter Data'!$EV$17,'Designer Shutter Data'!$FG$2,IF(N45='Designer Shutter Data'!$EV$18,'Designer Shutter Data'!$FG$2,IF(N45='Designer Shutter Data'!$EV$19,'Designer Shutter Data'!$FA$38)))))))))))))))))))</f>
        <v>0</v>
      </c>
    </row>
    <row r="46" spans="1:130" ht="15" customHeight="1" x14ac:dyDescent="0.25">
      <c r="A46" s="42">
        <v>4</v>
      </c>
      <c r="B46" s="149"/>
      <c r="C46" s="82"/>
      <c r="D46" s="248"/>
      <c r="E46" s="248"/>
      <c r="F46" s="248"/>
      <c r="G46" s="248"/>
      <c r="H46" s="248"/>
      <c r="I46" s="248"/>
      <c r="J46" s="296"/>
      <c r="K46" s="296"/>
      <c r="L46" s="94"/>
      <c r="M46" s="149"/>
      <c r="N46" s="165"/>
      <c r="O46" s="166"/>
      <c r="P46" s="166"/>
      <c r="Q46" s="166"/>
      <c r="R46" s="166"/>
      <c r="S46" s="166"/>
      <c r="T46" s="167"/>
      <c r="U46" s="296"/>
      <c r="V46" s="296"/>
      <c r="W46" s="296"/>
      <c r="X46" s="296"/>
      <c r="Y46" s="296"/>
      <c r="Z46" s="297"/>
      <c r="AA46" s="298"/>
      <c r="AB46" s="298"/>
      <c r="AC46" s="299"/>
      <c r="AD46" s="299"/>
      <c r="AE46" s="300"/>
      <c r="AF46" s="70"/>
      <c r="AT46" s="80"/>
      <c r="AY46" s="81" t="str">
        <f t="shared" si="49"/>
        <v>Standard</v>
      </c>
      <c r="AZ46" s="7" t="s">
        <v>157</v>
      </c>
      <c r="BA46" s="7" t="b">
        <v>0</v>
      </c>
      <c r="BD46" s="76" t="b">
        <f>IF(N46='Designer Shutter Data'!$EV$2,'Designer Shutter Data'!$EX$27,IF(N46='Designer Shutter Data'!$EV$3,'Designer Shutter Data'!$EY$27,IF(N46='Designer Shutter Data'!$EV$4,'Designer Shutter Data'!$EX$2,IF(N46='Designer Shutter Data'!$EV$5,'Designer Shutter Data'!$FA$27,IF(N46='Designer Shutter Data'!$EV$6,'Designer Shutter Data'!$FC$27,IF(N46='Designer Shutter Data'!$EV$7,'Designer Shutter Data'!$EY$2,IF(N46='Designer Shutter Data'!$EV$8,'Designer Shutter Data'!$EZ$2,IF(N46='Designer Shutter Data'!$EV$9,'Designer Shutter Data'!$FA$2,IF(N46='Designer Shutter Data'!$EV$10,'Designer Shutter Data'!$FB$2,IF(N46='Designer Shutter Data'!$EV$11,'Designer Shutter Data'!$FB$2,IF(N46='Designer Shutter Data'!$EV$11,'Designer Shutter Data'!$FC$2,IF(N46='Designer Shutter Data'!$EV$12,'Designer Shutter Data'!$FD$2,IF(N46='Designer Shutter Data'!$EV$13,'Designer Shutter Data'!$FE$11,IF(N46='Designer Shutter Data'!$EV$14,'Designer Shutter Data'!$FE$2,IF(N46='Designer Shutter Data'!$EV$15,'Designer Shutter Data'!$FN$27,IF(N46='Designer Shutter Data'!$EV$16,'Designer Shutter Data'!$FO$27,IF(N46='Designer Shutter Data'!$EV$17,'Designer Shutter Data'!$FG$2,IF(N46='Designer Shutter Data'!$EV$18,'Designer Shutter Data'!$FG$2,IF(N46='Designer Shutter Data'!$EV$19,'Designer Shutter Data'!$FA$38)))))))))))))))))))</f>
        <v>0</v>
      </c>
    </row>
    <row r="47" spans="1:130" ht="15" customHeight="1" x14ac:dyDescent="0.25">
      <c r="A47" s="42">
        <v>5</v>
      </c>
      <c r="B47" s="149"/>
      <c r="C47" s="82"/>
      <c r="D47" s="248"/>
      <c r="E47" s="248"/>
      <c r="F47" s="248"/>
      <c r="G47" s="248"/>
      <c r="H47" s="248"/>
      <c r="I47" s="248"/>
      <c r="J47" s="296"/>
      <c r="K47" s="296"/>
      <c r="L47" s="94"/>
      <c r="M47" s="149"/>
      <c r="N47" s="165"/>
      <c r="O47" s="166"/>
      <c r="P47" s="166"/>
      <c r="Q47" s="166"/>
      <c r="R47" s="166"/>
      <c r="S47" s="166"/>
      <c r="T47" s="167"/>
      <c r="U47" s="296"/>
      <c r="V47" s="296"/>
      <c r="W47" s="296"/>
      <c r="X47" s="296"/>
      <c r="Y47" s="296"/>
      <c r="Z47" s="297"/>
      <c r="AA47" s="298"/>
      <c r="AB47" s="298"/>
      <c r="AC47" s="299"/>
      <c r="AD47" s="299"/>
      <c r="AE47" s="300"/>
      <c r="AF47" s="70"/>
      <c r="AT47" s="80"/>
      <c r="AY47" s="81" t="str">
        <f t="shared" si="49"/>
        <v>Standard</v>
      </c>
      <c r="AZ47" s="7" t="s">
        <v>157</v>
      </c>
      <c r="BA47" s="7" t="b">
        <v>0</v>
      </c>
      <c r="BD47" s="76" t="b">
        <f>IF(N47='Designer Shutter Data'!$EV$2,'Designer Shutter Data'!$EX$27,IF(N47='Designer Shutter Data'!$EV$3,'Designer Shutter Data'!$EY$27,IF(N47='Designer Shutter Data'!$EV$4,'Designer Shutter Data'!$EX$2,IF(N47='Designer Shutter Data'!$EV$5,'Designer Shutter Data'!$FA$27,IF(N47='Designer Shutter Data'!$EV$6,'Designer Shutter Data'!$FC$27,IF(N47='Designer Shutter Data'!$EV$7,'Designer Shutter Data'!$EY$2,IF(N47='Designer Shutter Data'!$EV$8,'Designer Shutter Data'!$EZ$2,IF(N47='Designer Shutter Data'!$EV$9,'Designer Shutter Data'!$FA$2,IF(N47='Designer Shutter Data'!$EV$10,'Designer Shutter Data'!$FB$2,IF(N47='Designer Shutter Data'!$EV$11,'Designer Shutter Data'!$FB$2,IF(N47='Designer Shutter Data'!$EV$11,'Designer Shutter Data'!$FC$2,IF(N47='Designer Shutter Data'!$EV$12,'Designer Shutter Data'!$FD$2,IF(N47='Designer Shutter Data'!$EV$13,'Designer Shutter Data'!$FE$11,IF(N47='Designer Shutter Data'!$EV$14,'Designer Shutter Data'!$FE$2,IF(N47='Designer Shutter Data'!$EV$15,'Designer Shutter Data'!$FN$27,IF(N47='Designer Shutter Data'!$EV$16,'Designer Shutter Data'!$FO$27,IF(N47='Designer Shutter Data'!$EV$17,'Designer Shutter Data'!$FG$2,IF(N47='Designer Shutter Data'!$EV$18,'Designer Shutter Data'!$FG$2,IF(N47='Designer Shutter Data'!$EV$19,'Designer Shutter Data'!$FA$38)))))))))))))))))))</f>
        <v>0</v>
      </c>
    </row>
    <row r="48" spans="1:130" ht="15" customHeight="1" x14ac:dyDescent="0.25">
      <c r="A48" s="42">
        <v>6</v>
      </c>
      <c r="B48" s="149"/>
      <c r="C48" s="82"/>
      <c r="D48" s="248"/>
      <c r="E48" s="248"/>
      <c r="F48" s="248"/>
      <c r="G48" s="248"/>
      <c r="H48" s="248"/>
      <c r="I48" s="248"/>
      <c r="J48" s="296"/>
      <c r="K48" s="296"/>
      <c r="L48" s="94"/>
      <c r="M48" s="149"/>
      <c r="N48" s="165"/>
      <c r="O48" s="166"/>
      <c r="P48" s="166"/>
      <c r="Q48" s="166"/>
      <c r="R48" s="166"/>
      <c r="S48" s="166"/>
      <c r="T48" s="167"/>
      <c r="U48" s="296"/>
      <c r="V48" s="296"/>
      <c r="W48" s="296"/>
      <c r="X48" s="296"/>
      <c r="Y48" s="296"/>
      <c r="Z48" s="297"/>
      <c r="AA48" s="298"/>
      <c r="AB48" s="298"/>
      <c r="AC48" s="299"/>
      <c r="AD48" s="299"/>
      <c r="AE48" s="300"/>
      <c r="AF48" s="70"/>
      <c r="AT48" s="80"/>
      <c r="AY48" s="81" t="str">
        <f t="shared" si="49"/>
        <v>Standard</v>
      </c>
      <c r="AZ48" s="7" t="s">
        <v>157</v>
      </c>
      <c r="BA48" s="7" t="b">
        <v>0</v>
      </c>
      <c r="BD48" s="76" t="b">
        <f>IF(N48='Designer Shutter Data'!$EV$2,'Designer Shutter Data'!$EX$27,IF(N48='Designer Shutter Data'!$EV$3,'Designer Shutter Data'!$EY$27,IF(N48='Designer Shutter Data'!$EV$4,'Designer Shutter Data'!$EX$2,IF(N48='Designer Shutter Data'!$EV$5,'Designer Shutter Data'!$FA$27,IF(N48='Designer Shutter Data'!$EV$6,'Designer Shutter Data'!$FC$27,IF(N48='Designer Shutter Data'!$EV$7,'Designer Shutter Data'!$EY$2,IF(N48='Designer Shutter Data'!$EV$8,'Designer Shutter Data'!$EZ$2,IF(N48='Designer Shutter Data'!$EV$9,'Designer Shutter Data'!$FA$2,IF(N48='Designer Shutter Data'!$EV$10,'Designer Shutter Data'!$FB$2,IF(N48='Designer Shutter Data'!$EV$11,'Designer Shutter Data'!$FB$2,IF(N48='Designer Shutter Data'!$EV$11,'Designer Shutter Data'!$FC$2,IF(N48='Designer Shutter Data'!$EV$12,'Designer Shutter Data'!$FD$2,IF(N48='Designer Shutter Data'!$EV$13,'Designer Shutter Data'!$FE$11,IF(N48='Designer Shutter Data'!$EV$14,'Designer Shutter Data'!$FE$2,IF(N48='Designer Shutter Data'!$EV$15,'Designer Shutter Data'!$FN$27,IF(N48='Designer Shutter Data'!$EV$16,'Designer Shutter Data'!$FO$27,IF(N48='Designer Shutter Data'!$EV$17,'Designer Shutter Data'!$FG$2,IF(N48='Designer Shutter Data'!$EV$18,'Designer Shutter Data'!$FG$2,IF(N48='Designer Shutter Data'!$EV$19,'Designer Shutter Data'!$FA$38)))))))))))))))))))</f>
        <v>0</v>
      </c>
    </row>
    <row r="49" spans="1:56" ht="15" customHeight="1" x14ac:dyDescent="0.25">
      <c r="A49" s="42">
        <v>7</v>
      </c>
      <c r="B49" s="149"/>
      <c r="C49" s="82"/>
      <c r="D49" s="248"/>
      <c r="E49" s="248"/>
      <c r="F49" s="248"/>
      <c r="G49" s="248"/>
      <c r="H49" s="248"/>
      <c r="I49" s="248"/>
      <c r="J49" s="296"/>
      <c r="K49" s="296"/>
      <c r="L49" s="94"/>
      <c r="M49" s="149"/>
      <c r="N49" s="165"/>
      <c r="O49" s="166"/>
      <c r="P49" s="166"/>
      <c r="Q49" s="166"/>
      <c r="R49" s="166"/>
      <c r="S49" s="166"/>
      <c r="T49" s="167"/>
      <c r="U49" s="296"/>
      <c r="V49" s="296"/>
      <c r="W49" s="296"/>
      <c r="X49" s="296"/>
      <c r="Y49" s="296"/>
      <c r="Z49" s="297"/>
      <c r="AA49" s="298"/>
      <c r="AB49" s="298"/>
      <c r="AC49" s="299"/>
      <c r="AD49" s="299"/>
      <c r="AE49" s="300"/>
      <c r="AF49" s="70"/>
      <c r="AT49" s="80"/>
      <c r="AY49" s="81" t="str">
        <f t="shared" si="49"/>
        <v>Standard</v>
      </c>
      <c r="AZ49" s="7" t="s">
        <v>157</v>
      </c>
      <c r="BA49" s="7" t="b">
        <v>0</v>
      </c>
      <c r="BD49" s="76" t="b">
        <f>IF(N49='Designer Shutter Data'!$EV$2,'Designer Shutter Data'!$EX$27,IF(N49='Designer Shutter Data'!$EV$3,'Designer Shutter Data'!$EY$27,IF(N49='Designer Shutter Data'!$EV$4,'Designer Shutter Data'!$EX$2,IF(N49='Designer Shutter Data'!$EV$5,'Designer Shutter Data'!$FA$27,IF(N49='Designer Shutter Data'!$EV$6,'Designer Shutter Data'!$FC$27,IF(N49='Designer Shutter Data'!$EV$7,'Designer Shutter Data'!$EY$2,IF(N49='Designer Shutter Data'!$EV$8,'Designer Shutter Data'!$EZ$2,IF(N49='Designer Shutter Data'!$EV$9,'Designer Shutter Data'!$FA$2,IF(N49='Designer Shutter Data'!$EV$10,'Designer Shutter Data'!$FB$2,IF(N49='Designer Shutter Data'!$EV$11,'Designer Shutter Data'!$FB$2,IF(N49='Designer Shutter Data'!$EV$11,'Designer Shutter Data'!$FC$2,IF(N49='Designer Shutter Data'!$EV$12,'Designer Shutter Data'!$FD$2,IF(N49='Designer Shutter Data'!$EV$13,'Designer Shutter Data'!$FE$11,IF(N49='Designer Shutter Data'!$EV$14,'Designer Shutter Data'!$FE$2,IF(N49='Designer Shutter Data'!$EV$15,'Designer Shutter Data'!$FN$27,IF(N49='Designer Shutter Data'!$EV$16,'Designer Shutter Data'!$FO$27,IF(N49='Designer Shutter Data'!$EV$17,'Designer Shutter Data'!$FG$2,IF(N49='Designer Shutter Data'!$EV$18,'Designer Shutter Data'!$FG$2,IF(N49='Designer Shutter Data'!$EV$19,'Designer Shutter Data'!$FA$38)))))))))))))))))))</f>
        <v>0</v>
      </c>
    </row>
    <row r="50" spans="1:56" ht="15" customHeight="1" x14ac:dyDescent="0.25">
      <c r="A50" s="42">
        <v>8</v>
      </c>
      <c r="B50" s="149"/>
      <c r="C50" s="82"/>
      <c r="D50" s="248"/>
      <c r="E50" s="248"/>
      <c r="F50" s="248"/>
      <c r="G50" s="248"/>
      <c r="H50" s="248"/>
      <c r="I50" s="248"/>
      <c r="J50" s="296"/>
      <c r="K50" s="296"/>
      <c r="L50" s="94"/>
      <c r="M50" s="149"/>
      <c r="N50" s="165"/>
      <c r="O50" s="166"/>
      <c r="P50" s="166"/>
      <c r="Q50" s="166"/>
      <c r="R50" s="166"/>
      <c r="S50" s="166"/>
      <c r="T50" s="167"/>
      <c r="U50" s="296"/>
      <c r="V50" s="296"/>
      <c r="W50" s="296"/>
      <c r="X50" s="296"/>
      <c r="Y50" s="296"/>
      <c r="Z50" s="297"/>
      <c r="AA50" s="298"/>
      <c r="AB50" s="298"/>
      <c r="AC50" s="299"/>
      <c r="AD50" s="299"/>
      <c r="AE50" s="300"/>
      <c r="AF50" s="70"/>
      <c r="AT50" s="80"/>
      <c r="AY50" s="81" t="str">
        <f t="shared" si="49"/>
        <v>Standard</v>
      </c>
      <c r="AZ50" s="7" t="s">
        <v>157</v>
      </c>
      <c r="BA50" s="7" t="b">
        <v>0</v>
      </c>
      <c r="BD50" s="76" t="b">
        <f>IF(N50='Designer Shutter Data'!$EV$2,'Designer Shutter Data'!$EX$27,IF(N50='Designer Shutter Data'!$EV$3,'Designer Shutter Data'!$EY$27,IF(N50='Designer Shutter Data'!$EV$4,'Designer Shutter Data'!$EX$2,IF(N50='Designer Shutter Data'!$EV$5,'Designer Shutter Data'!$FA$27,IF(N50='Designer Shutter Data'!$EV$6,'Designer Shutter Data'!$FC$27,IF(N50='Designer Shutter Data'!$EV$7,'Designer Shutter Data'!$EY$2,IF(N50='Designer Shutter Data'!$EV$8,'Designer Shutter Data'!$EZ$2,IF(N50='Designer Shutter Data'!$EV$9,'Designer Shutter Data'!$FA$2,IF(N50='Designer Shutter Data'!$EV$10,'Designer Shutter Data'!$FB$2,IF(N50='Designer Shutter Data'!$EV$11,'Designer Shutter Data'!$FB$2,IF(N50='Designer Shutter Data'!$EV$11,'Designer Shutter Data'!$FC$2,IF(N50='Designer Shutter Data'!$EV$12,'Designer Shutter Data'!$FD$2,IF(N50='Designer Shutter Data'!$EV$13,'Designer Shutter Data'!$FE$11,IF(N50='Designer Shutter Data'!$EV$14,'Designer Shutter Data'!$FE$2,IF(N50='Designer Shutter Data'!$EV$15,'Designer Shutter Data'!$FN$27,IF(N50='Designer Shutter Data'!$EV$16,'Designer Shutter Data'!$FO$27,IF(N50='Designer Shutter Data'!$EV$17,'Designer Shutter Data'!$FG$2,IF(N50='Designer Shutter Data'!$EV$18,'Designer Shutter Data'!$FG$2,IF(N50='Designer Shutter Data'!$EV$19,'Designer Shutter Data'!$FA$38)))))))))))))))))))</f>
        <v>0</v>
      </c>
    </row>
    <row r="51" spans="1:56" ht="15" customHeight="1" x14ac:dyDescent="0.25">
      <c r="A51" s="42">
        <v>9</v>
      </c>
      <c r="B51" s="149"/>
      <c r="C51" s="82"/>
      <c r="D51" s="248"/>
      <c r="E51" s="248"/>
      <c r="F51" s="248"/>
      <c r="G51" s="248"/>
      <c r="H51" s="248"/>
      <c r="I51" s="248"/>
      <c r="J51" s="296"/>
      <c r="K51" s="296"/>
      <c r="L51" s="94"/>
      <c r="M51" s="149"/>
      <c r="N51" s="165"/>
      <c r="O51" s="166"/>
      <c r="P51" s="166"/>
      <c r="Q51" s="166"/>
      <c r="R51" s="166"/>
      <c r="S51" s="166"/>
      <c r="T51" s="167"/>
      <c r="U51" s="296"/>
      <c r="V51" s="296"/>
      <c r="W51" s="296"/>
      <c r="X51" s="296"/>
      <c r="Y51" s="296"/>
      <c r="Z51" s="297"/>
      <c r="AA51" s="298"/>
      <c r="AB51" s="298"/>
      <c r="AC51" s="299"/>
      <c r="AD51" s="299"/>
      <c r="AE51" s="300"/>
      <c r="AF51" s="70"/>
      <c r="AT51" s="80"/>
      <c r="AY51" s="81" t="str">
        <f t="shared" si="49"/>
        <v>Standard</v>
      </c>
      <c r="AZ51" s="7" t="s">
        <v>157</v>
      </c>
      <c r="BA51" s="7" t="b">
        <v>0</v>
      </c>
      <c r="BD51" s="76" t="b">
        <f>IF(N51='Designer Shutter Data'!$EV$2,'Designer Shutter Data'!$EX$27,IF(N51='Designer Shutter Data'!$EV$3,'Designer Shutter Data'!$EY$27,IF(N51='Designer Shutter Data'!$EV$4,'Designer Shutter Data'!$EX$2,IF(N51='Designer Shutter Data'!$EV$5,'Designer Shutter Data'!$FA$27,IF(N51='Designer Shutter Data'!$EV$6,'Designer Shutter Data'!$FC$27,IF(N51='Designer Shutter Data'!$EV$7,'Designer Shutter Data'!$EY$2,IF(N51='Designer Shutter Data'!$EV$8,'Designer Shutter Data'!$EZ$2,IF(N51='Designer Shutter Data'!$EV$9,'Designer Shutter Data'!$FA$2,IF(N51='Designer Shutter Data'!$EV$10,'Designer Shutter Data'!$FB$2,IF(N51='Designer Shutter Data'!$EV$11,'Designer Shutter Data'!$FB$2,IF(N51='Designer Shutter Data'!$EV$11,'Designer Shutter Data'!$FC$2,IF(N51='Designer Shutter Data'!$EV$12,'Designer Shutter Data'!$FD$2,IF(N51='Designer Shutter Data'!$EV$13,'Designer Shutter Data'!$FE$11,IF(N51='Designer Shutter Data'!$EV$14,'Designer Shutter Data'!$FE$2,IF(N51='Designer Shutter Data'!$EV$15,'Designer Shutter Data'!$FN$27,IF(N51='Designer Shutter Data'!$EV$16,'Designer Shutter Data'!$FO$27,IF(N51='Designer Shutter Data'!$EV$17,'Designer Shutter Data'!$FG$2,IF(N51='Designer Shutter Data'!$EV$18,'Designer Shutter Data'!$FG$2,IF(N51='Designer Shutter Data'!$EV$19,'Designer Shutter Data'!$FA$38)))))))))))))))))))</f>
        <v>0</v>
      </c>
    </row>
    <row r="52" spans="1:56" ht="15" customHeight="1" thickBot="1" x14ac:dyDescent="0.3">
      <c r="A52" s="83">
        <v>10</v>
      </c>
      <c r="B52" s="151"/>
      <c r="C52" s="84"/>
      <c r="D52" s="285"/>
      <c r="E52" s="285"/>
      <c r="F52" s="285"/>
      <c r="G52" s="285"/>
      <c r="H52" s="285"/>
      <c r="I52" s="285"/>
      <c r="J52" s="301"/>
      <c r="K52" s="301"/>
      <c r="L52" s="95"/>
      <c r="M52" s="151"/>
      <c r="N52" s="168"/>
      <c r="O52" s="169"/>
      <c r="P52" s="169"/>
      <c r="Q52" s="169"/>
      <c r="R52" s="169"/>
      <c r="S52" s="169"/>
      <c r="T52" s="170"/>
      <c r="U52" s="301"/>
      <c r="V52" s="301"/>
      <c r="W52" s="301"/>
      <c r="X52" s="301"/>
      <c r="Y52" s="301"/>
      <c r="Z52" s="302"/>
      <c r="AA52" s="303"/>
      <c r="AB52" s="303"/>
      <c r="AC52" s="304"/>
      <c r="AD52" s="304"/>
      <c r="AE52" s="305"/>
      <c r="AF52" s="70"/>
      <c r="AT52" s="80"/>
      <c r="AY52" s="81" t="str">
        <f t="shared" si="49"/>
        <v>Standard</v>
      </c>
      <c r="AZ52" s="7" t="s">
        <v>157</v>
      </c>
      <c r="BA52" s="7" t="b">
        <v>0</v>
      </c>
      <c r="BD52" s="76" t="b">
        <f>IF(N52='Designer Shutter Data'!$EV$2,'Designer Shutter Data'!$EX$27,IF(N52='Designer Shutter Data'!$EV$3,'Designer Shutter Data'!$EY$27,IF(N52='Designer Shutter Data'!$EV$4,'Designer Shutter Data'!$EX$2,IF(N52='Designer Shutter Data'!$EV$5,'Designer Shutter Data'!$FA$27,IF(N52='Designer Shutter Data'!$EV$6,'Designer Shutter Data'!$FC$27,IF(N52='Designer Shutter Data'!$EV$7,'Designer Shutter Data'!$EY$2,IF(N52='Designer Shutter Data'!$EV$8,'Designer Shutter Data'!$EZ$2,IF(N52='Designer Shutter Data'!$EV$9,'Designer Shutter Data'!$FA$2,IF(N52='Designer Shutter Data'!$EV$10,'Designer Shutter Data'!$FB$2,IF(N52='Designer Shutter Data'!$EV$11,'Designer Shutter Data'!$FB$2,IF(N52='Designer Shutter Data'!$EV$11,'Designer Shutter Data'!$FC$2,IF(N52='Designer Shutter Data'!$EV$12,'Designer Shutter Data'!$FD$2,IF(N52='Designer Shutter Data'!$EV$13,'Designer Shutter Data'!$FE$11,IF(N52='Designer Shutter Data'!$EV$14,'Designer Shutter Data'!$FE$2,IF(N52='Designer Shutter Data'!$EV$15,'Designer Shutter Data'!$FN$27,IF(N52='Designer Shutter Data'!$EV$16,'Designer Shutter Data'!$FO$27,IF(N52='Designer Shutter Data'!$EV$17,'Designer Shutter Data'!$FG$2,IF(N52='Designer Shutter Data'!$EV$18,'Designer Shutter Data'!$FG$2,IF(N52='Designer Shutter Data'!$EV$19,'Designer Shutter Data'!$FA$38)))))))))))))))))))</f>
        <v>0</v>
      </c>
    </row>
    <row r="53" spans="1:56" ht="15.75" thickTop="1" x14ac:dyDescent="0.2"/>
  </sheetData>
  <sheetProtection algorithmName="SHA-512" hashValue="eXfwQlc6tiHDZVRL0uHGjFxqiBrhJV97O2KDwkOzO/+wXFkIjdn1dHDQcQh02cNdhWR30Nd7LiVmK39kyFoYIg==" saltValue="hqAltqlajMk+bzloNdCvzQ==" spinCount="100000" sheet="1" objects="1" scenarios="1"/>
  <mergeCells count="182">
    <mergeCell ref="A1:F2"/>
    <mergeCell ref="G1:J2"/>
    <mergeCell ref="M1:Z1"/>
    <mergeCell ref="M2:Z2"/>
    <mergeCell ref="AB2:AC2"/>
    <mergeCell ref="AD2:AE2"/>
    <mergeCell ref="A3:E3"/>
    <mergeCell ref="F3:J3"/>
    <mergeCell ref="M3:Z3"/>
    <mergeCell ref="AB3:AC3"/>
    <mergeCell ref="AD3:AE3"/>
    <mergeCell ref="A4:E5"/>
    <mergeCell ref="F4:J5"/>
    <mergeCell ref="M4:Z4"/>
    <mergeCell ref="AB4:AC4"/>
    <mergeCell ref="AD4:AE4"/>
    <mergeCell ref="M5:Z5"/>
    <mergeCell ref="AB5:AC5"/>
    <mergeCell ref="AD5:AE5"/>
    <mergeCell ref="A6:J6"/>
    <mergeCell ref="M6:Z6"/>
    <mergeCell ref="AB6:AC7"/>
    <mergeCell ref="AD6:AE7"/>
    <mergeCell ref="B7:J7"/>
    <mergeCell ref="L7:V7"/>
    <mergeCell ref="W7:X7"/>
    <mergeCell ref="H11:I11"/>
    <mergeCell ref="P11:Q11"/>
    <mergeCell ref="H12:I12"/>
    <mergeCell ref="P12:Q12"/>
    <mergeCell ref="H13:I13"/>
    <mergeCell ref="P13:Q13"/>
    <mergeCell ref="Y7:AA7"/>
    <mergeCell ref="H8:I8"/>
    <mergeCell ref="P8:Q8"/>
    <mergeCell ref="H9:I9"/>
    <mergeCell ref="P9:Q9"/>
    <mergeCell ref="H10:I10"/>
    <mergeCell ref="P10:Q10"/>
    <mergeCell ref="H17:I17"/>
    <mergeCell ref="P17:Q17"/>
    <mergeCell ref="H18:I18"/>
    <mergeCell ref="P18:Q18"/>
    <mergeCell ref="H19:I19"/>
    <mergeCell ref="P19:Q19"/>
    <mergeCell ref="H14:I14"/>
    <mergeCell ref="P14:Q14"/>
    <mergeCell ref="H15:I15"/>
    <mergeCell ref="P15:Q15"/>
    <mergeCell ref="H16:I16"/>
    <mergeCell ref="P16:Q16"/>
    <mergeCell ref="H23:I23"/>
    <mergeCell ref="P23:Q23"/>
    <mergeCell ref="A24:B24"/>
    <mergeCell ref="B25:E25"/>
    <mergeCell ref="F25:J25"/>
    <mergeCell ref="K25:M25"/>
    <mergeCell ref="N25:T25"/>
    <mergeCell ref="H20:I20"/>
    <mergeCell ref="P20:Q20"/>
    <mergeCell ref="H21:I21"/>
    <mergeCell ref="P21:Q21"/>
    <mergeCell ref="H22:I22"/>
    <mergeCell ref="P22:Q22"/>
    <mergeCell ref="U25:AE25"/>
    <mergeCell ref="B26:E26"/>
    <mergeCell ref="F26:J26"/>
    <mergeCell ref="K26:M26"/>
    <mergeCell ref="N26:T26"/>
    <mergeCell ref="U26:AE40"/>
    <mergeCell ref="B27:E27"/>
    <mergeCell ref="F27:J27"/>
    <mergeCell ref="K27:M27"/>
    <mergeCell ref="N27:T27"/>
    <mergeCell ref="B30:E30"/>
    <mergeCell ref="F30:J30"/>
    <mergeCell ref="K30:M30"/>
    <mergeCell ref="N30:T30"/>
    <mergeCell ref="B31:E31"/>
    <mergeCell ref="F31:J31"/>
    <mergeCell ref="K31:M31"/>
    <mergeCell ref="N31:T31"/>
    <mergeCell ref="B28:E28"/>
    <mergeCell ref="F28:J28"/>
    <mergeCell ref="K28:M28"/>
    <mergeCell ref="N28:T28"/>
    <mergeCell ref="B29:E29"/>
    <mergeCell ref="F29:J29"/>
    <mergeCell ref="K29:M29"/>
    <mergeCell ref="N29:T29"/>
    <mergeCell ref="B34:E34"/>
    <mergeCell ref="F34:J34"/>
    <mergeCell ref="K34:M34"/>
    <mergeCell ref="N34:T34"/>
    <mergeCell ref="B35:E35"/>
    <mergeCell ref="F35:J35"/>
    <mergeCell ref="K35:M35"/>
    <mergeCell ref="N35:T35"/>
    <mergeCell ref="B32:E32"/>
    <mergeCell ref="F32:J32"/>
    <mergeCell ref="K32:M32"/>
    <mergeCell ref="N32:T32"/>
    <mergeCell ref="B33:E33"/>
    <mergeCell ref="F33:J33"/>
    <mergeCell ref="K33:M33"/>
    <mergeCell ref="N33:T33"/>
    <mergeCell ref="B38:E38"/>
    <mergeCell ref="F38:J38"/>
    <mergeCell ref="K38:M38"/>
    <mergeCell ref="N38:T38"/>
    <mergeCell ref="B39:E39"/>
    <mergeCell ref="F39:J39"/>
    <mergeCell ref="K39:M39"/>
    <mergeCell ref="N39:T39"/>
    <mergeCell ref="B36:E36"/>
    <mergeCell ref="F36:J36"/>
    <mergeCell ref="K36:M36"/>
    <mergeCell ref="N36:T36"/>
    <mergeCell ref="B37:E37"/>
    <mergeCell ref="F37:J37"/>
    <mergeCell ref="K37:M37"/>
    <mergeCell ref="N37:T37"/>
    <mergeCell ref="U42:Y42"/>
    <mergeCell ref="Z42:AE42"/>
    <mergeCell ref="D43:I43"/>
    <mergeCell ref="J43:K43"/>
    <mergeCell ref="N43:T43"/>
    <mergeCell ref="U43:Y43"/>
    <mergeCell ref="Z43:AE43"/>
    <mergeCell ref="B40:E40"/>
    <mergeCell ref="F40:J40"/>
    <mergeCell ref="K40:M40"/>
    <mergeCell ref="N40:T40"/>
    <mergeCell ref="B41:I41"/>
    <mergeCell ref="D42:I42"/>
    <mergeCell ref="J42:K42"/>
    <mergeCell ref="N42:T42"/>
    <mergeCell ref="D44:I44"/>
    <mergeCell ref="J44:K44"/>
    <mergeCell ref="N44:T44"/>
    <mergeCell ref="U44:Y44"/>
    <mergeCell ref="Z44:AE44"/>
    <mergeCell ref="D45:I45"/>
    <mergeCell ref="J45:K45"/>
    <mergeCell ref="N45:T45"/>
    <mergeCell ref="U45:Y45"/>
    <mergeCell ref="Z45:AE45"/>
    <mergeCell ref="D46:I46"/>
    <mergeCell ref="J46:K46"/>
    <mergeCell ref="N46:T46"/>
    <mergeCell ref="U46:Y46"/>
    <mergeCell ref="Z46:AE46"/>
    <mergeCell ref="D47:I47"/>
    <mergeCell ref="J47:K47"/>
    <mergeCell ref="N47:T47"/>
    <mergeCell ref="U47:Y47"/>
    <mergeCell ref="Z47:AE47"/>
    <mergeCell ref="D48:I48"/>
    <mergeCell ref="J48:K48"/>
    <mergeCell ref="N48:T48"/>
    <mergeCell ref="U48:Y48"/>
    <mergeCell ref="Z48:AE48"/>
    <mergeCell ref="D49:I49"/>
    <mergeCell ref="J49:K49"/>
    <mergeCell ref="N49:T49"/>
    <mergeCell ref="U49:Y49"/>
    <mergeCell ref="Z49:AE49"/>
    <mergeCell ref="D52:I52"/>
    <mergeCell ref="J52:K52"/>
    <mergeCell ref="N52:T52"/>
    <mergeCell ref="U52:Y52"/>
    <mergeCell ref="Z52:AE52"/>
    <mergeCell ref="D50:I50"/>
    <mergeCell ref="J50:K50"/>
    <mergeCell ref="N50:T50"/>
    <mergeCell ref="U50:Y50"/>
    <mergeCell ref="Z50:AE50"/>
    <mergeCell ref="D51:I51"/>
    <mergeCell ref="J51:K51"/>
    <mergeCell ref="N51:T51"/>
    <mergeCell ref="U51:Y51"/>
    <mergeCell ref="Z51:AE51"/>
  </mergeCells>
  <conditionalFormatting sqref="B44:C52">
    <cfRule type="expression" dxfId="76" priority="24">
      <formula>BQ27="Yes"</formula>
    </cfRule>
    <cfRule type="expression" dxfId="75" priority="25">
      <formula>BP27="Yes"</formula>
    </cfRule>
  </conditionalFormatting>
  <conditionalFormatting sqref="C9:C23">
    <cfRule type="expression" dxfId="74" priority="8">
      <formula>AW9="Yes"</formula>
    </cfRule>
  </conditionalFormatting>
  <conditionalFormatting sqref="C43">
    <cfRule type="expression" dxfId="73" priority="22">
      <formula>BR26="Yes"</formula>
    </cfRule>
    <cfRule type="expression" dxfId="72" priority="23">
      <formula>BQ26="Yes"</formula>
    </cfRule>
  </conditionalFormatting>
  <conditionalFormatting sqref="D9:D23">
    <cfRule type="expression" dxfId="71" priority="31">
      <formula>BD9="Yes"</formula>
    </cfRule>
  </conditionalFormatting>
  <conditionalFormatting sqref="D43:D52">
    <cfRule type="expression" dxfId="70" priority="20">
      <formula>BS26="Yes"</formula>
    </cfRule>
    <cfRule type="expression" dxfId="69" priority="21">
      <formula>BR26="Yes"</formula>
    </cfRule>
  </conditionalFormatting>
  <conditionalFormatting sqref="F9:F23">
    <cfRule type="expression" dxfId="68" priority="19">
      <formula>CJ9="Failed"</formula>
    </cfRule>
  </conditionalFormatting>
  <conditionalFormatting sqref="G9:G23">
    <cfRule type="containsText" dxfId="67" priority="1" operator="containsText" text="Luvre">
      <formula>NOT(ISERROR(SEARCH("Luvre",G9)))</formula>
    </cfRule>
    <cfRule type="containsText" dxfId="66" priority="2" operator="containsText" text="Night">
      <formula>NOT(ISERROR(SEARCH("Night",G9)))</formula>
    </cfRule>
    <cfRule type="containsText" dxfId="65" priority="4" operator="containsText" text="Plus">
      <formula>NOT(ISERROR(SEARCH("Plus",G9)))</formula>
    </cfRule>
  </conditionalFormatting>
  <conditionalFormatting sqref="H9:I23">
    <cfRule type="expression" dxfId="64" priority="29">
      <formula>CB9="No"</formula>
    </cfRule>
  </conditionalFormatting>
  <conditionalFormatting sqref="J9:J23">
    <cfRule type="expression" dxfId="63" priority="28">
      <formula>CC9="Yes"</formula>
    </cfRule>
  </conditionalFormatting>
  <conditionalFormatting sqref="K9:K23">
    <cfRule type="expression" dxfId="62" priority="13" stopIfTrue="1">
      <formula>AZ9="Yes"</formula>
    </cfRule>
  </conditionalFormatting>
  <conditionalFormatting sqref="M6:N6">
    <cfRule type="notContainsBlanks" dxfId="61" priority="18">
      <formula>LEN(TRIM(M6))&gt;0</formula>
    </cfRule>
  </conditionalFormatting>
  <conditionalFormatting sqref="O9:O23">
    <cfRule type="expression" dxfId="60" priority="6">
      <formula>EH9="ERROR"</formula>
    </cfRule>
    <cfRule type="expression" dxfId="59" priority="10">
      <formula>DJ9="Layout Code &amp; T Post Quantity Issue"</formula>
    </cfRule>
    <cfRule type="expression" dxfId="58" priority="11">
      <formula>CJ9="Failed"</formula>
    </cfRule>
  </conditionalFormatting>
  <conditionalFormatting sqref="P9:Q23">
    <cfRule type="expression" dxfId="57" priority="26">
      <formula>CG9="Error"</formula>
    </cfRule>
  </conditionalFormatting>
  <conditionalFormatting sqref="U9:U23">
    <cfRule type="expression" dxfId="56" priority="32">
      <formula>EC9="Highlight"</formula>
    </cfRule>
  </conditionalFormatting>
  <conditionalFormatting sqref="V9:V23">
    <cfRule type="expression" dxfId="55" priority="12">
      <formula>AX9="Required"</formula>
    </cfRule>
  </conditionalFormatting>
  <conditionalFormatting sqref="W9:W23">
    <cfRule type="expression" dxfId="54" priority="7">
      <formula>EE9="Yes"</formula>
    </cfRule>
  </conditionalFormatting>
  <conditionalFormatting sqref="X9:X23">
    <cfRule type="expression" dxfId="53" priority="9">
      <formula>BH9="Highlight"</formula>
    </cfRule>
    <cfRule type="expression" dxfId="52" priority="17">
      <formula>DE9="Yes"</formula>
    </cfRule>
    <cfRule type="expression" dxfId="51" priority="27">
      <formula>CE9="Yes"</formula>
    </cfRule>
  </conditionalFormatting>
  <conditionalFormatting sqref="Y7">
    <cfRule type="containsText" dxfId="50" priority="16" operator="containsText" text="Layout Code &amp; T Post Quantity Issue">
      <formula>NOT(ISERROR(SEARCH("Layout Code &amp; T Post Quantity Issue",Y7)))</formula>
    </cfRule>
  </conditionalFormatting>
  <conditionalFormatting sqref="Y9:Y23">
    <cfRule type="expression" dxfId="49" priority="30">
      <formula>DO9="Yes"</formula>
    </cfRule>
  </conditionalFormatting>
  <conditionalFormatting sqref="Z9:AA23">
    <cfRule type="expression" dxfId="48" priority="14">
      <formula>DQ9="Error"</formula>
    </cfRule>
    <cfRule type="expression" dxfId="47" priority="15">
      <formula>BK9="Error"</formula>
    </cfRule>
  </conditionalFormatting>
  <conditionalFormatting sqref="AD9:AD23">
    <cfRule type="containsText" dxfId="46" priority="3" operator="containsText" text="Yes">
      <formula>NOT(ISERROR(SEARCH("Yes",AD9)))</formula>
    </cfRule>
  </conditionalFormatting>
  <conditionalFormatting sqref="AE1">
    <cfRule type="cellIs" dxfId="45" priority="5" operator="greaterThan">
      <formula>1</formula>
    </cfRule>
  </conditionalFormatting>
  <conditionalFormatting sqref="AT9:AT23">
    <cfRule type="containsErrors" dxfId="44" priority="33">
      <formula>ISERROR(AT9)</formula>
    </cfRule>
  </conditionalFormatting>
  <dataValidations count="36">
    <dataValidation type="list" allowBlank="1" showInputMessage="1" showErrorMessage="1" errorTitle="Invalid Entry" error="Invalid Entry" sqref="H9:I23" xr:uid="{D1D368C6-A726-45CE-A9F0-CA9CDE8F4362}">
      <formula1>INDIRECT(SUBSTITUTE(AV9," ","_"))</formula1>
    </dataValidation>
    <dataValidation type="list" allowBlank="1" showInputMessage="1" showErrorMessage="1" errorTitle="Invalid Entry" error="Invalid Entry" sqref="U9:U23" xr:uid="{D01CBB42-1776-4C0B-987B-568C80FE9D09}">
      <formula1>INDIRECT(SUBSTITUTE(FL9," ","_"))</formula1>
    </dataValidation>
    <dataValidation type="list" allowBlank="1" showInputMessage="1" showErrorMessage="1" errorTitle="Invalid Entry" error="Invalid Entry" sqref="N9:N23" xr:uid="{89958442-2FF7-4016-A5BC-1A4A3970CB31}">
      <formula1>INDIRECT(SUBSTITUTE(FH9," ","_"))</formula1>
    </dataValidation>
    <dataValidation type="list" allowBlank="1" showInputMessage="1" showErrorMessage="1" errorTitle="Invalid Entry" error="Invalid Entry" sqref="V9:V23" xr:uid="{6A261C0B-495B-4D5B-AE9A-4BD95A4EF5DF}">
      <formula1>INDIRECT(SUBSTITUTE(FB9," ","_"))</formula1>
    </dataValidation>
    <dataValidation type="list" allowBlank="1" showInputMessage="1" showErrorMessage="1" errorTitle="Invalid Entry" error="Invalid Entry" sqref="M9:M23" xr:uid="{24E4F912-3F2D-4E36-BDBD-882F87659ED8}">
      <formula1>INDIRECT(SUBSTITUTE(FE9," ","_"))</formula1>
    </dataValidation>
    <dataValidation type="list" allowBlank="1" showInputMessage="1" showErrorMessage="1" errorTitle="Invalid Entry" error="Invalid Entry" sqref="AD9:AD23" xr:uid="{5BB9FA58-1352-4B8F-8762-8C6A4E042004}">
      <formula1>INDIRECT(SUBSTITUTE(EY9," ","_"))</formula1>
    </dataValidation>
    <dataValidation type="list" allowBlank="1" showInputMessage="1" showErrorMessage="1" errorTitle="Invalid Entry" error="Invalid Entry" sqref="AC9:AC23" xr:uid="{9B2AF615-73EC-486C-B4C7-7F2A906F191D}">
      <formula1>INDIRECT(SUBSTITUTE(ET9," ","_"))</formula1>
    </dataValidation>
    <dataValidation type="list" allowBlank="1" showInputMessage="1" showErrorMessage="1" errorTitle="Invalid Entry" error="Invalid Entry" sqref="J9:J23" xr:uid="{E410FFC7-B72D-452E-9D96-C9BC4790011F}">
      <formula1>INDIRECT(SUBSTITUTE(ER9," ","_"))</formula1>
    </dataValidation>
    <dataValidation type="list" allowBlank="1" showInputMessage="1" showErrorMessage="1" errorTitle="Invalid Entry" error="Invalid Entry" sqref="F3:J3" xr:uid="{806973AD-07B5-4620-9D91-9957F1FD5CCB}">
      <formula1>ShutterEmail</formula1>
    </dataValidation>
    <dataValidation allowBlank="1" showInputMessage="1" errorTitle="Invalid Entry" error="Invalid Entry" sqref="M43:M52" xr:uid="{5ABAD288-FF74-4D93-A088-763BA99323A8}"/>
    <dataValidation type="list" allowBlank="1" showInputMessage="1" showErrorMessage="1" errorTitle="Invalid Entry" error="Invalid Entry" sqref="AD6" xr:uid="{D8F23BC6-7824-4BC7-8E4E-D93784695B54}">
      <formula1>Port</formula1>
    </dataValidation>
    <dataValidation type="list" allowBlank="1" showInputMessage="1" showErrorMessage="1" errorTitle="Invalid Entry" error="Invalid Entry" sqref="Y9:Y23" xr:uid="{97B020AF-1CE3-46ED-9821-398E2D674614}">
      <formula1>INDIRECT(SUBSTITUTE(AX9," ","_"))</formula1>
    </dataValidation>
    <dataValidation type="list" allowBlank="1" showInputMessage="1" showErrorMessage="1" errorTitle="Invalid Entry" error="Invalid Entry" sqref="W9:W23" xr:uid="{5ECFE783-CB19-418C-8E53-4AD28BA502D8}">
      <formula1>INDIRECT(DF9)</formula1>
    </dataValidation>
    <dataValidation type="list" allowBlank="1" showInputMessage="1" showErrorMessage="1" errorTitle="Invalid Entry" error="Invalid Entry" sqref="L43:L52" xr:uid="{0006FA55-BB38-4D87-8CE5-44CA718E2B74}">
      <formula1>FauxwoodDesignerExtrasColour</formula1>
    </dataValidation>
    <dataValidation type="list" allowBlank="1" showInputMessage="1" showErrorMessage="1" errorTitle="Invalid Entry" error="Invalid Entry" sqref="J43:K52" xr:uid="{3CF6ACF4-0C61-445A-B2C6-BBB13BFE593F}">
      <formula1>FauxwoodDesignerExtrasMaterial</formula1>
    </dataValidation>
    <dataValidation type="list" allowBlank="1" showInputMessage="1" showErrorMessage="1" errorTitle="Invalid Entry" error="Invalid Entry" sqref="D43:I52" xr:uid="{2A82DB40-7944-415C-BAC9-228D21775EC1}">
      <formula1>FauxwoodDesignerExtras</formula1>
    </dataValidation>
    <dataValidation type="whole" errorStyle="warning" allowBlank="1" showInputMessage="1" showErrorMessage="1" errorTitle="Length Warning" error="Please note that only Fascia's are able to be made greater than 3000mm in length._x000a__x000a_Fascia's can be made to a maximum of 3600mm." sqref="C43:C52" xr:uid="{D5A51BB6-032E-4475-8687-2D2F19672FC3}">
      <formula1>0</formula1>
      <formula2>3000</formula2>
    </dataValidation>
    <dataValidation type="list" allowBlank="1" showInputMessage="1" showErrorMessage="1" errorTitle="Invalid Entry" error="Invalid Entry" sqref="B26:E40" xr:uid="{61E30EFE-6D1B-458A-ABD1-DDCE0CA121AE}">
      <formula1>FauxwoodDesignerSpecialComments1</formula1>
    </dataValidation>
    <dataValidation type="whole" errorStyle="information" allowBlank="1" showInputMessage="1" showErrorMessage="1" errorTitle="Be Aware" error="Minimum Panel Width is 180mm._x000a__x000a_Maximum Fauxwood Panel Width _x000a_is 900mm." sqref="C9:C23" xr:uid="{DC3F27C8-A7BF-48F1-826C-3B55C3C8F900}">
      <formula1>130</formula1>
      <formula2>3600</formula2>
    </dataValidation>
    <dataValidation type="list" allowBlank="1" showInputMessage="1" showErrorMessage="1" sqref="E9:E23" xr:uid="{523CD960-0F3C-412A-8C16-E01310969664}">
      <formula1>"IN,OUT,MS"</formula1>
    </dataValidation>
    <dataValidation type="whole" errorStyle="information" allowBlank="1" showInputMessage="1" showErrorMessage="1" errorTitle="Be Aware" error="Minimum Panel Height is 350mm._x000a__x000a_Maximum Panel Height is 2600mm." sqref="D9:D23" xr:uid="{ECCE540D-166A-40CF-9F02-8B7E963CA030}">
      <formula1>350</formula1>
      <formula2>2600</formula2>
    </dataValidation>
    <dataValidation type="list" allowBlank="1" showInputMessage="1" showErrorMessage="1" errorTitle="Invalid Entry" error="Invalid Entry" sqref="G9:G23" xr:uid="{2A5DDCAF-B355-4312-B83A-254C326EA51B}">
      <formula1>FauxwoodDesignerShutterMaterial</formula1>
    </dataValidation>
    <dataValidation type="list" allowBlank="1" showInputMessage="1" showErrorMessage="1" errorTitle="Invalid Entry" error="Invalid Entry" sqref="F26:J40" xr:uid="{73549A69-E0CC-4640-B3CE-B9A75AE3B698}">
      <formula1>FauxwoodDesignerSpecialComments2</formula1>
    </dataValidation>
    <dataValidation type="list" allowBlank="1" showInputMessage="1" showErrorMessage="1" errorTitle="Invalid Entry" error="Invalid Entry" sqref="K40 K26:K38" xr:uid="{035D3D61-3B5B-4C8F-BA5E-C9B32F7B318B}">
      <formula1>FauxwoodDesignerSpecialComments3</formula1>
    </dataValidation>
    <dataValidation type="list" allowBlank="1" showInputMessage="1" showErrorMessage="1" errorTitle="Invalid Entry" error="Invalid Entry" sqref="N43:T52" xr:uid="{327ED122-7CA2-4CFC-92E7-6CDEECFD9282}">
      <formula1>FauxwoodDesignerHardware</formula1>
    </dataValidation>
    <dataValidation allowBlank="1" showInputMessage="1" showErrorMessage="1" errorTitle="Invalid Entry" error="Invalid Entry" sqref="AY9:AY23 AT9:AT23" xr:uid="{58E166ED-A4BE-4219-ACBC-5F7EA917EE65}"/>
    <dataValidation type="list" allowBlank="1" showInputMessage="1" showErrorMessage="1" errorTitle="Invalid Entry" error="Please select from list!" sqref="AT42:AT52" xr:uid="{5E6F18A9-7905-4F28-8DB6-976784D90214}">
      <formula1>Pelmet</formula1>
    </dataValidation>
    <dataValidation type="list" allowBlank="1" showInputMessage="1" showErrorMessage="1" errorTitle="Invalid Entry" error="Invalid Entry" sqref="W44:W52" xr:uid="{4FF6248C-6DC9-43F2-AFF9-25E594A7B96A}">
      <formula1>INDIRECT(SUBSTITUTE(BE44," ","_"))</formula1>
    </dataValidation>
    <dataValidation type="list" allowBlank="1" showInputMessage="1" showErrorMessage="1" errorTitle="Invalid Entry" error="Invalid Entry" sqref="U44:V52 U43:Y43" xr:uid="{4A3D7BEA-7D43-48F9-865D-0967BFDBFDF8}">
      <formula1>INDIRECT(SUBSTITUTE(BD43," ","_"))</formula1>
    </dataValidation>
    <dataValidation type="list" allowBlank="1" showInputMessage="1" showErrorMessage="1" errorTitle="Invalid Entry" error="Invalid Entry" sqref="X44:Y52" xr:uid="{579DC5B4-1E78-407C-8F1E-DAE1CD8EB911}">
      <formula1>INDIRECT(SUBSTITUTE(BE44," ","_"))</formula1>
    </dataValidation>
    <dataValidation type="list" errorStyle="information" allowBlank="1" showInputMessage="1" showErrorMessage="1" errorTitle="Check Layout Code" error="The Layout Codes In This List Are The Most Common Codes._x000a__x000a_When Entering A Different Special Code, Please Refer To The Shutter Manual." sqref="O9:O23" xr:uid="{1477DF08-557B-47FC-BC0A-11D8F2B80705}">
      <formula1>INDIRECT(SUBSTITUTE(EB9," ","_"))</formula1>
    </dataValidation>
    <dataValidation type="list" errorStyle="information" allowBlank="1" showInputMessage="1" showErrorMessage="1" errorTitle="Invalid Entry" error="Invalid Entry" sqref="L9:L23" xr:uid="{275FFCE3-E054-4ADE-9529-F477D2EBFB5F}">
      <formula1>INDIRECT(DY9)</formula1>
    </dataValidation>
    <dataValidation type="list" allowBlank="1" showInputMessage="1" showErrorMessage="1" errorTitle="Invalid Entry" error="Invalid Entry" sqref="P9:Q23" xr:uid="{FBDDD899-8953-429C-82AE-CA19947B867A}">
      <formula1>INDIRECT(SUBSTITUTE(DW9," ","_"))</formula1>
    </dataValidation>
    <dataValidation type="list" allowBlank="1" showInputMessage="1" showErrorMessage="1" errorTitle="Invalid Entry" error="Invalid Entry" sqref="X9:X23" xr:uid="{91642437-0299-487B-80BF-88A3D292F021}">
      <formula1>INDIRECT(DE9)</formula1>
    </dataValidation>
    <dataValidation type="list" allowBlank="1" showInputMessage="1" showErrorMessage="1" errorTitle="Invalid Entry" error="Invalid Entry" sqref="S9:T23" xr:uid="{ADC1847C-B6B2-492E-8DDE-1BE73B906AA7}">
      <formula1>INDIRECT(DK9)</formula1>
    </dataValidation>
    <dataValidation type="list" allowBlank="1" showInputMessage="1" showErrorMessage="1" errorTitle="Invalid Entry" error="Invalid Entry" sqref="R9:R23" xr:uid="{03F5F41F-0189-4A10-8F69-25AB8B1AD9C1}">
      <formula1>INDIRECT(DK9)</formula1>
    </dataValidation>
  </dataValidations>
  <printOptions horizontalCentered="1"/>
  <pageMargins left="0.15748031496062992" right="0.15748031496062992" top="0.19685039370078741" bottom="0.19685039370078741" header="0.15748031496062992" footer="0.15748031496062992"/>
  <pageSetup paperSize="9" scale="35" orientation="landscape"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06975A-5942-426B-B2A1-1D52768FEDBA}">
  <sheetPr>
    <tabColor theme="5" tint="0.59999389629810485"/>
    <pageSetUpPr fitToPage="1"/>
  </sheetPr>
  <dimension ref="A1:FZ53"/>
  <sheetViews>
    <sheetView view="pageBreakPreview" zoomScale="85" zoomScaleSheetLayoutView="85" workbookViewId="0">
      <selection activeCell="B9" sqref="B9"/>
    </sheetView>
  </sheetViews>
  <sheetFormatPr defaultRowHeight="15" x14ac:dyDescent="0.2"/>
  <cols>
    <col min="1" max="1" width="6" style="6" customWidth="1"/>
    <col min="2" max="2" width="17.28515625" style="6" customWidth="1"/>
    <col min="3" max="3" width="13" style="6" customWidth="1"/>
    <col min="4" max="4" width="12.42578125" style="6" customWidth="1"/>
    <col min="5" max="5" width="8.140625" style="6" customWidth="1"/>
    <col min="6" max="6" width="9.42578125" style="6" customWidth="1"/>
    <col min="7" max="7" width="21.7109375" style="6" customWidth="1"/>
    <col min="8" max="9" width="12" style="6" customWidth="1"/>
    <col min="10" max="10" width="11.28515625" style="6" customWidth="1"/>
    <col min="11" max="11" width="16.7109375" style="6" customWidth="1"/>
    <col min="12" max="12" width="24.85546875" style="6" customWidth="1"/>
    <col min="13" max="15" width="19.5703125" style="6" customWidth="1"/>
    <col min="16" max="17" width="11" style="6" customWidth="1"/>
    <col min="18" max="21" width="11.5703125" style="6" customWidth="1"/>
    <col min="22" max="22" width="10.5703125" style="6" customWidth="1"/>
    <col min="23" max="23" width="19.140625" style="6" customWidth="1"/>
    <col min="24" max="24" width="10.85546875" style="6" customWidth="1"/>
    <col min="25" max="25" width="8.85546875" style="6" customWidth="1"/>
    <col min="26" max="28" width="8.28515625" style="6" customWidth="1"/>
    <col min="29" max="29" width="21" style="6" customWidth="1"/>
    <col min="30" max="30" width="9.5703125" style="6" customWidth="1"/>
    <col min="31" max="31" width="15.85546875" style="6" customWidth="1"/>
    <col min="32" max="32" width="16" style="9" customWidth="1"/>
    <col min="33" max="33" width="37.7109375" style="6" customWidth="1"/>
    <col min="34" max="34" width="9.140625" style="6" hidden="1" customWidth="1"/>
    <col min="35" max="36" width="27.7109375" style="6" hidden="1" customWidth="1"/>
    <col min="37" max="37" width="16.42578125" style="6" hidden="1" customWidth="1"/>
    <col min="38" max="38" width="17.85546875" style="6" hidden="1" customWidth="1"/>
    <col min="39" max="45" width="9.140625" style="6" hidden="1" customWidth="1"/>
    <col min="46" max="46" width="9.5703125" style="6" customWidth="1"/>
    <col min="47" max="47" width="9.140625" style="6" hidden="1" customWidth="1"/>
    <col min="48" max="48" width="28.140625" style="6" hidden="1" customWidth="1"/>
    <col min="49" max="49" width="13.28515625" style="7" hidden="1" customWidth="1"/>
    <col min="50" max="50" width="13.85546875" style="7" hidden="1" customWidth="1"/>
    <col min="51" max="51" width="52" style="7" hidden="1" customWidth="1"/>
    <col min="52" max="52" width="35.5703125" style="7" hidden="1" customWidth="1"/>
    <col min="53" max="53" width="26.140625" style="7" hidden="1" customWidth="1"/>
    <col min="54" max="55" width="15.42578125" style="7" hidden="1" customWidth="1"/>
    <col min="56" max="56" width="54.42578125" style="7" hidden="1" customWidth="1"/>
    <col min="57" max="57" width="15.42578125" style="7" hidden="1" customWidth="1"/>
    <col min="58" max="58" width="15.7109375" style="7" hidden="1" customWidth="1"/>
    <col min="59" max="59" width="15.5703125" style="7" hidden="1" customWidth="1"/>
    <col min="60" max="60" width="22.140625" style="7" hidden="1" customWidth="1"/>
    <col min="61" max="61" width="19.7109375" style="6" hidden="1" customWidth="1"/>
    <col min="62" max="62" width="15.140625" style="106" hidden="1" customWidth="1"/>
    <col min="63" max="65" width="15.140625" style="118" hidden="1" customWidth="1"/>
    <col min="66" max="66" width="18.5703125" style="7" hidden="1" customWidth="1"/>
    <col min="67" max="67" width="20.5703125" style="7" hidden="1" customWidth="1"/>
    <col min="68" max="68" width="16.42578125" style="7" hidden="1" customWidth="1"/>
    <col min="69" max="69" width="14.28515625" style="7" hidden="1" customWidth="1"/>
    <col min="70" max="70" width="15.7109375" style="7" hidden="1" customWidth="1"/>
    <col min="71" max="71" width="12.140625" style="7" hidden="1" customWidth="1"/>
    <col min="72" max="72" width="13.7109375" style="7" hidden="1" customWidth="1"/>
    <col min="73" max="73" width="21.140625" style="7" hidden="1" customWidth="1"/>
    <col min="74" max="75" width="12.140625" style="6" hidden="1" customWidth="1"/>
    <col min="76" max="76" width="12.140625" style="7" hidden="1" customWidth="1"/>
    <col min="77" max="77" width="25.28515625" style="7" hidden="1" customWidth="1"/>
    <col min="78" max="78" width="29.5703125" style="7" hidden="1" customWidth="1"/>
    <col min="79" max="79" width="26" style="7" hidden="1" customWidth="1"/>
    <col min="80" max="80" width="26.28515625" style="7" hidden="1" customWidth="1"/>
    <col min="81" max="81" width="19.42578125" style="7" hidden="1" customWidth="1"/>
    <col min="82" max="82" width="30.42578125" style="7" hidden="1" customWidth="1"/>
    <col min="83" max="83" width="33" style="7" hidden="1" customWidth="1"/>
    <col min="84" max="84" width="21.7109375" style="7" hidden="1" customWidth="1"/>
    <col min="85" max="85" width="24" style="7" hidden="1" customWidth="1"/>
    <col min="86" max="86" width="27.42578125" style="7" hidden="1" customWidth="1"/>
    <col min="87" max="87" width="21.85546875" style="118" hidden="1" customWidth="1"/>
    <col min="88" max="88" width="19.42578125" style="118" hidden="1" customWidth="1"/>
    <col min="89" max="90" width="35.85546875" style="6" hidden="1" customWidth="1"/>
    <col min="91" max="91" width="101.85546875" style="6" hidden="1" customWidth="1"/>
    <col min="92" max="92" width="19.85546875" style="6" hidden="1" customWidth="1"/>
    <col min="93" max="94" width="16.140625" style="123" hidden="1" customWidth="1"/>
    <col min="95" max="95" width="21.5703125" style="6" hidden="1" customWidth="1"/>
    <col min="96" max="96" width="20.7109375" style="6" hidden="1" customWidth="1"/>
    <col min="97" max="97" width="15.85546875" style="6" hidden="1" customWidth="1"/>
    <col min="98" max="98" width="23.5703125" style="6" hidden="1" customWidth="1"/>
    <col min="99" max="101" width="27.5703125" style="7" hidden="1" customWidth="1"/>
    <col min="102" max="102" width="27.85546875" style="7" hidden="1" customWidth="1"/>
    <col min="103" max="103" width="25.7109375" style="6" hidden="1" customWidth="1"/>
    <col min="104" max="104" width="32.85546875" style="7" hidden="1" customWidth="1"/>
    <col min="105" max="105" width="35.42578125" style="6" hidden="1" customWidth="1"/>
    <col min="106" max="106" width="28" style="6" hidden="1" customWidth="1"/>
    <col min="107" max="107" width="32.140625" style="6" hidden="1" customWidth="1"/>
    <col min="108" max="108" width="38" style="6" hidden="1" customWidth="1"/>
    <col min="109" max="109" width="51" style="6" hidden="1" customWidth="1"/>
    <col min="110" max="110" width="37.28515625" style="6" hidden="1" customWidth="1"/>
    <col min="111" max="111" width="9.140625" style="6" hidden="1" customWidth="1"/>
    <col min="112" max="112" width="29.85546875" style="123" hidden="1" customWidth="1"/>
    <col min="113" max="113" width="31.85546875" style="103" hidden="1" customWidth="1"/>
    <col min="114" max="114" width="62" style="103" hidden="1" customWidth="1"/>
    <col min="115" max="115" width="58.28515625" style="7" hidden="1" customWidth="1"/>
    <col min="116" max="116" width="52.85546875" style="7" hidden="1" customWidth="1"/>
    <col min="117" max="117" width="58.42578125" style="118" hidden="1" customWidth="1"/>
    <col min="118" max="118" width="27.42578125" style="106" hidden="1" customWidth="1"/>
    <col min="119" max="119" width="22" style="106" hidden="1" customWidth="1"/>
    <col min="120" max="120" width="20.42578125" style="106" hidden="1" customWidth="1"/>
    <col min="121" max="122" width="21.7109375" style="106" hidden="1" customWidth="1"/>
    <col min="123" max="123" width="19.5703125" style="106" hidden="1" customWidth="1"/>
    <col min="124" max="124" width="33" style="7" hidden="1" customWidth="1"/>
    <col min="125" max="126" width="11" style="6" hidden="1" customWidth="1"/>
    <col min="127" max="127" width="46.85546875" style="7" hidden="1" customWidth="1"/>
    <col min="128" max="128" width="41" style="7" hidden="1" customWidth="1"/>
    <col min="129" max="129" width="39.85546875" style="7" hidden="1" customWidth="1"/>
    <col min="130" max="130" width="58.42578125" style="118" hidden="1" customWidth="1"/>
    <col min="131" max="131" width="117.7109375" style="6" hidden="1" customWidth="1"/>
    <col min="132" max="132" width="46.42578125" style="6" hidden="1" customWidth="1"/>
    <col min="133" max="133" width="24.7109375" style="6" hidden="1" customWidth="1"/>
    <col min="134" max="134" width="24.28515625" style="7" hidden="1" customWidth="1"/>
    <col min="135" max="135" width="16.85546875" style="7" hidden="1" customWidth="1"/>
    <col min="136" max="136" width="39" style="7" hidden="1" customWidth="1"/>
    <col min="137" max="137" width="22.5703125" style="7" hidden="1" customWidth="1"/>
    <col min="138" max="139" width="9.140625" style="6" hidden="1" customWidth="1"/>
    <col min="140" max="140" width="14.5703125" style="6" hidden="1" customWidth="1"/>
    <col min="141" max="141" width="13.5703125" style="6" hidden="1" customWidth="1"/>
    <col min="142" max="142" width="15" style="6" hidden="1" customWidth="1"/>
    <col min="143" max="144" width="15.140625" style="6" hidden="1" customWidth="1"/>
    <col min="145" max="145" width="26.28515625" style="6" hidden="1" customWidth="1"/>
    <col min="146" max="146" width="25.28515625" style="6" hidden="1" customWidth="1"/>
    <col min="147" max="147" width="9.140625" style="6" hidden="1" customWidth="1"/>
    <col min="148" max="148" width="28.140625" style="6" hidden="1" customWidth="1"/>
    <col min="149" max="149" width="9.140625" style="6" hidden="1" customWidth="1"/>
    <col min="150" max="150" width="14.7109375" style="6" hidden="1" customWidth="1"/>
    <col min="151" max="151" width="18.5703125" style="6" hidden="1" customWidth="1"/>
    <col min="152" max="152" width="9.140625" style="6" hidden="1" customWidth="1"/>
    <col min="153" max="154" width="19.85546875" style="6" hidden="1" customWidth="1"/>
    <col min="155" max="155" width="23.5703125" style="6" hidden="1" customWidth="1"/>
    <col min="156" max="158" width="37.42578125" style="6" hidden="1" customWidth="1"/>
    <col min="159" max="159" width="16.42578125" style="6" hidden="1" customWidth="1"/>
    <col min="160" max="160" width="26.7109375" style="6" hidden="1" customWidth="1"/>
    <col min="161" max="161" width="48.140625" style="6" hidden="1" customWidth="1"/>
    <col min="162" max="163" width="9.140625" style="6" hidden="1" customWidth="1"/>
    <col min="164" max="164" width="31.85546875" style="6" hidden="1" customWidth="1"/>
    <col min="165" max="165" width="18.85546875" style="6" hidden="1" customWidth="1"/>
    <col min="166" max="166" width="20.5703125" style="6" hidden="1" customWidth="1"/>
    <col min="167" max="167" width="9.140625" style="6" hidden="1" customWidth="1"/>
    <col min="168" max="168" width="36.7109375" style="6" hidden="1" customWidth="1"/>
    <col min="169" max="182" width="9.140625" style="6" hidden="1" customWidth="1"/>
    <col min="183" max="185" width="9.140625" style="6" customWidth="1"/>
    <col min="186" max="16384" width="9.140625" style="6"/>
  </cols>
  <sheetData>
    <row r="1" spans="1:168" ht="27" customHeight="1" x14ac:dyDescent="0.2">
      <c r="A1" s="212"/>
      <c r="B1" s="213"/>
      <c r="C1" s="213"/>
      <c r="D1" s="213"/>
      <c r="E1" s="213"/>
      <c r="F1" s="213"/>
      <c r="G1" s="208" t="s">
        <v>755</v>
      </c>
      <c r="H1" s="208"/>
      <c r="I1" s="208"/>
      <c r="J1" s="209"/>
      <c r="K1" s="5"/>
      <c r="L1" s="91" t="s">
        <v>396</v>
      </c>
      <c r="M1" s="261">
        <f>'Designer Shutters Page 1'!M1:Z1</f>
        <v>0</v>
      </c>
      <c r="N1" s="262"/>
      <c r="O1" s="262"/>
      <c r="P1" s="262"/>
      <c r="Q1" s="262"/>
      <c r="R1" s="262"/>
      <c r="S1" s="262"/>
      <c r="T1" s="262"/>
      <c r="U1" s="262"/>
      <c r="V1" s="262"/>
      <c r="W1" s="262"/>
      <c r="X1" s="262"/>
      <c r="Y1" s="262"/>
      <c r="Z1" s="263"/>
      <c r="AA1" s="152"/>
      <c r="AB1" s="147" t="s">
        <v>774</v>
      </c>
      <c r="AC1" s="147">
        <f>'Designer Shutters Page 1'!EM11</f>
        <v>0</v>
      </c>
      <c r="AD1" s="147" t="s">
        <v>770</v>
      </c>
      <c r="AE1" s="147">
        <f>'Designer Shutters Page 1'!AE1</f>
        <v>0</v>
      </c>
      <c r="AF1" s="6"/>
    </row>
    <row r="2" spans="1:168" ht="21" customHeight="1" x14ac:dyDescent="0.2">
      <c r="A2" s="214"/>
      <c r="B2" s="215"/>
      <c r="C2" s="215"/>
      <c r="D2" s="215"/>
      <c r="E2" s="215"/>
      <c r="F2" s="215"/>
      <c r="G2" s="210"/>
      <c r="H2" s="210"/>
      <c r="I2" s="210"/>
      <c r="J2" s="211"/>
      <c r="K2" s="8"/>
      <c r="L2" s="91" t="s">
        <v>397</v>
      </c>
      <c r="M2" s="264">
        <f>'Designer Shutters Page 1'!M2:Z2</f>
        <v>0</v>
      </c>
      <c r="N2" s="265"/>
      <c r="O2" s="266"/>
      <c r="P2" s="266"/>
      <c r="Q2" s="266"/>
      <c r="R2" s="266"/>
      <c r="S2" s="266"/>
      <c r="T2" s="266"/>
      <c r="U2" s="266"/>
      <c r="V2" s="266"/>
      <c r="W2" s="266"/>
      <c r="X2" s="266"/>
      <c r="Y2" s="266"/>
      <c r="Z2" s="267"/>
      <c r="AA2" s="153"/>
      <c r="AB2" s="202" t="s">
        <v>767</v>
      </c>
      <c r="AC2" s="203"/>
      <c r="AD2" s="177">
        <f>'Designer Shutters Page 1'!AD2:AE2</f>
        <v>0</v>
      </c>
      <c r="AE2" s="178"/>
      <c r="FH2" s="6" t="s">
        <v>288</v>
      </c>
    </row>
    <row r="3" spans="1:168" ht="21" customHeight="1" x14ac:dyDescent="0.2">
      <c r="A3" s="183" t="s">
        <v>771</v>
      </c>
      <c r="B3" s="184"/>
      <c r="C3" s="184"/>
      <c r="D3" s="184"/>
      <c r="E3" s="185"/>
      <c r="F3" s="186" t="s">
        <v>793</v>
      </c>
      <c r="G3" s="187"/>
      <c r="H3" s="187"/>
      <c r="I3" s="187"/>
      <c r="J3" s="188"/>
      <c r="K3" s="5"/>
      <c r="L3" s="91" t="s">
        <v>398</v>
      </c>
      <c r="M3" s="268">
        <f>'Designer Shutters Page 1'!M3:Z3</f>
        <v>0</v>
      </c>
      <c r="N3" s="269"/>
      <c r="O3" s="269"/>
      <c r="P3" s="269"/>
      <c r="Q3" s="269"/>
      <c r="R3" s="269"/>
      <c r="S3" s="269"/>
      <c r="T3" s="269"/>
      <c r="U3" s="269"/>
      <c r="V3" s="269"/>
      <c r="W3" s="269"/>
      <c r="X3" s="269"/>
      <c r="Y3" s="269"/>
      <c r="Z3" s="270"/>
      <c r="AA3" s="153"/>
      <c r="AB3" s="204" t="s">
        <v>399</v>
      </c>
      <c r="AC3" s="205"/>
      <c r="AD3" s="179">
        <f>SUM(AE9:AE23)</f>
        <v>0</v>
      </c>
      <c r="AE3" s="180"/>
      <c r="AI3" s="6" t="s">
        <v>281</v>
      </c>
      <c r="AJ3" s="6" t="s">
        <v>288</v>
      </c>
      <c r="FH3" s="6" t="s">
        <v>866</v>
      </c>
      <c r="FI3" s="6" t="s">
        <v>867</v>
      </c>
    </row>
    <row r="4" spans="1:168" ht="21" customHeight="1" x14ac:dyDescent="0.2">
      <c r="A4" s="189" t="s">
        <v>400</v>
      </c>
      <c r="B4" s="190"/>
      <c r="C4" s="190"/>
      <c r="D4" s="190"/>
      <c r="E4" s="191"/>
      <c r="F4" s="189"/>
      <c r="G4" s="190"/>
      <c r="H4" s="190"/>
      <c r="I4" s="190"/>
      <c r="J4" s="191"/>
      <c r="K4" s="8"/>
      <c r="L4" s="91" t="s">
        <v>401</v>
      </c>
      <c r="M4" s="271">
        <f>'Designer Shutters Page 1'!M4:Z4</f>
        <v>0</v>
      </c>
      <c r="N4" s="266"/>
      <c r="O4" s="266"/>
      <c r="P4" s="266"/>
      <c r="Q4" s="266"/>
      <c r="R4" s="266"/>
      <c r="S4" s="266"/>
      <c r="T4" s="266"/>
      <c r="U4" s="266"/>
      <c r="V4" s="266"/>
      <c r="W4" s="266"/>
      <c r="X4" s="266"/>
      <c r="Y4" s="266"/>
      <c r="Z4" s="267"/>
      <c r="AA4" s="154"/>
      <c r="AB4" s="206" t="s">
        <v>402</v>
      </c>
      <c r="AC4" s="207"/>
      <c r="AD4" s="181">
        <f>SUM(F9:F23)</f>
        <v>0</v>
      </c>
      <c r="AE4" s="182"/>
      <c r="EO4" s="6" t="s">
        <v>823</v>
      </c>
      <c r="FH4" s="6" t="s">
        <v>868</v>
      </c>
      <c r="FI4" s="6" t="s">
        <v>165</v>
      </c>
    </row>
    <row r="5" spans="1:168" ht="21" customHeight="1" x14ac:dyDescent="0.2">
      <c r="A5" s="192"/>
      <c r="B5" s="193"/>
      <c r="C5" s="193"/>
      <c r="D5" s="193"/>
      <c r="E5" s="194"/>
      <c r="F5" s="192"/>
      <c r="G5" s="193"/>
      <c r="H5" s="193"/>
      <c r="I5" s="193"/>
      <c r="J5" s="194"/>
      <c r="K5" s="143" t="s">
        <v>688</v>
      </c>
      <c r="L5" s="91" t="s">
        <v>403</v>
      </c>
      <c r="M5" s="195">
        <f>'Designer Shutters Page 1'!M5:Z5</f>
        <v>0</v>
      </c>
      <c r="N5" s="196"/>
      <c r="O5" s="196"/>
      <c r="P5" s="196"/>
      <c r="Q5" s="196"/>
      <c r="R5" s="196"/>
      <c r="S5" s="196"/>
      <c r="T5" s="196"/>
      <c r="U5" s="196"/>
      <c r="V5" s="196"/>
      <c r="W5" s="196"/>
      <c r="X5" s="196"/>
      <c r="Y5" s="196"/>
      <c r="Z5" s="197"/>
      <c r="AA5" s="155"/>
      <c r="AB5" s="224" t="s">
        <v>844</v>
      </c>
      <c r="AC5" s="224"/>
      <c r="AD5" s="225">
        <f>'Designer Shutters Page 1'!AD5:AE5</f>
        <v>0</v>
      </c>
      <c r="AE5" s="225"/>
      <c r="FH5" s="6" t="s">
        <v>869</v>
      </c>
    </row>
    <row r="6" spans="1:168" ht="15.75" customHeight="1" x14ac:dyDescent="0.2">
      <c r="A6" s="258" t="s">
        <v>625</v>
      </c>
      <c r="B6" s="259"/>
      <c r="C6" s="259"/>
      <c r="D6" s="259"/>
      <c r="E6" s="259"/>
      <c r="F6" s="259"/>
      <c r="G6" s="259"/>
      <c r="H6" s="259"/>
      <c r="I6" s="259"/>
      <c r="J6" s="260"/>
      <c r="K6" s="144" t="str">
        <f>'Designer Shutters Page 1'!K6</f>
        <v>44PL</v>
      </c>
      <c r="L6" s="92" t="s">
        <v>404</v>
      </c>
      <c r="M6" s="198" t="str">
        <f>EA11</f>
        <v xml:space="preserve">                    </v>
      </c>
      <c r="N6" s="199"/>
      <c r="O6" s="199"/>
      <c r="P6" s="199"/>
      <c r="Q6" s="199"/>
      <c r="R6" s="199"/>
      <c r="S6" s="199"/>
      <c r="T6" s="199"/>
      <c r="U6" s="199"/>
      <c r="V6" s="199"/>
      <c r="W6" s="199"/>
      <c r="X6" s="199"/>
      <c r="Y6" s="200"/>
      <c r="Z6" s="201"/>
      <c r="AA6" s="156"/>
      <c r="AB6" s="216" t="s">
        <v>756</v>
      </c>
      <c r="AC6" s="217"/>
      <c r="AD6" s="220" t="str">
        <f>'Designer Shutters Page 1'!AD6:AE7</f>
        <v>SYD</v>
      </c>
      <c r="AE6" s="307"/>
      <c r="EA6" s="6" t="str">
        <f>CM13</f>
        <v xml:space="preserve">             </v>
      </c>
    </row>
    <row r="7" spans="1:168" ht="15.75" thickBot="1" x14ac:dyDescent="0.25">
      <c r="A7" s="10"/>
      <c r="B7" s="226" t="s">
        <v>405</v>
      </c>
      <c r="C7" s="227"/>
      <c r="D7" s="227"/>
      <c r="E7" s="227"/>
      <c r="F7" s="227"/>
      <c r="G7" s="227"/>
      <c r="H7" s="227"/>
      <c r="I7" s="227"/>
      <c r="J7" s="228"/>
      <c r="K7" s="111"/>
      <c r="L7" s="226" t="s">
        <v>405</v>
      </c>
      <c r="M7" s="227"/>
      <c r="N7" s="227"/>
      <c r="O7" s="227"/>
      <c r="P7" s="227"/>
      <c r="Q7" s="227"/>
      <c r="R7" s="227"/>
      <c r="S7" s="227"/>
      <c r="T7" s="227"/>
      <c r="U7" s="227"/>
      <c r="V7" s="228"/>
      <c r="W7" s="272" t="s">
        <v>621</v>
      </c>
      <c r="X7" s="273"/>
      <c r="Y7" s="274" t="str">
        <f>DJ24</f>
        <v/>
      </c>
      <c r="Z7" s="275"/>
      <c r="AA7" s="275"/>
      <c r="AB7" s="218"/>
      <c r="AC7" s="219"/>
      <c r="AD7" s="308"/>
      <c r="AE7" s="309"/>
      <c r="AV7" s="6" t="s">
        <v>880</v>
      </c>
      <c r="DN7" s="107" t="s">
        <v>407</v>
      </c>
      <c r="DO7" s="107"/>
      <c r="DP7" s="107"/>
      <c r="DQ7" s="107"/>
      <c r="DR7" s="107"/>
      <c r="DS7" s="107"/>
      <c r="EU7" s="3" t="s">
        <v>836</v>
      </c>
      <c r="EW7" s="6" t="s">
        <v>825</v>
      </c>
      <c r="FB7" s="6" t="s">
        <v>880</v>
      </c>
      <c r="FL7" s="6" t="s">
        <v>869</v>
      </c>
    </row>
    <row r="8" spans="1:168" ht="49.5" customHeight="1" thickTop="1" thickBot="1" x14ac:dyDescent="0.25">
      <c r="A8" s="12" t="s">
        <v>408</v>
      </c>
      <c r="B8" s="13" t="s">
        <v>409</v>
      </c>
      <c r="C8" s="13" t="s">
        <v>410</v>
      </c>
      <c r="D8" s="14" t="s">
        <v>411</v>
      </c>
      <c r="E8" s="15" t="s">
        <v>412</v>
      </c>
      <c r="F8" s="15" t="s">
        <v>568</v>
      </c>
      <c r="G8" s="16" t="s">
        <v>851</v>
      </c>
      <c r="H8" s="254" t="s">
        <v>414</v>
      </c>
      <c r="I8" s="255"/>
      <c r="J8" s="14" t="s">
        <v>0</v>
      </c>
      <c r="K8" s="17" t="s">
        <v>415</v>
      </c>
      <c r="L8" s="14" t="s">
        <v>417</v>
      </c>
      <c r="M8" s="13" t="s">
        <v>418</v>
      </c>
      <c r="N8" s="161" t="s">
        <v>865</v>
      </c>
      <c r="O8" s="13" t="s">
        <v>416</v>
      </c>
      <c r="P8" s="256" t="s">
        <v>419</v>
      </c>
      <c r="Q8" s="257"/>
      <c r="R8" s="14" t="s">
        <v>611</v>
      </c>
      <c r="S8" s="13" t="s">
        <v>612</v>
      </c>
      <c r="T8" s="13" t="s">
        <v>613</v>
      </c>
      <c r="U8" s="13" t="s">
        <v>623</v>
      </c>
      <c r="V8" s="14" t="s">
        <v>423</v>
      </c>
      <c r="W8" s="18" t="s">
        <v>622</v>
      </c>
      <c r="X8" s="18" t="s">
        <v>434</v>
      </c>
      <c r="Y8" s="18" t="s">
        <v>620</v>
      </c>
      <c r="Z8" s="18" t="s">
        <v>420</v>
      </c>
      <c r="AA8" s="18" t="s">
        <v>421</v>
      </c>
      <c r="AB8" s="18" t="s">
        <v>422</v>
      </c>
      <c r="AC8" s="18" t="s">
        <v>821</v>
      </c>
      <c r="AD8" s="18" t="s">
        <v>448</v>
      </c>
      <c r="AE8" s="19" t="s">
        <v>424</v>
      </c>
      <c r="AI8" s="6" t="s">
        <v>845</v>
      </c>
      <c r="AJ8" s="6" t="s">
        <v>846</v>
      </c>
      <c r="AK8" s="6" t="s">
        <v>847</v>
      </c>
      <c r="AT8" s="102" t="s">
        <v>425</v>
      </c>
      <c r="AV8" s="6" t="s">
        <v>414</v>
      </c>
      <c r="AW8" s="131" t="s">
        <v>641</v>
      </c>
      <c r="AX8" s="131" t="s">
        <v>348</v>
      </c>
      <c r="AY8" s="20" t="s">
        <v>426</v>
      </c>
      <c r="AZ8" s="20" t="s">
        <v>427</v>
      </c>
      <c r="BA8" s="20" t="s">
        <v>428</v>
      </c>
      <c r="BB8" s="20" t="s">
        <v>429</v>
      </c>
      <c r="BC8" s="20" t="s">
        <v>430</v>
      </c>
      <c r="BD8" s="20" t="s">
        <v>431</v>
      </c>
      <c r="BE8" s="20" t="s">
        <v>432</v>
      </c>
      <c r="BF8" s="20" t="s">
        <v>423</v>
      </c>
      <c r="BG8" s="20" t="s">
        <v>433</v>
      </c>
      <c r="BH8" s="20" t="s">
        <v>434</v>
      </c>
      <c r="BI8" s="20" t="s">
        <v>423</v>
      </c>
      <c r="BJ8" s="109" t="s">
        <v>435</v>
      </c>
      <c r="BK8" s="126" t="s">
        <v>436</v>
      </c>
      <c r="BL8" s="126" t="s">
        <v>437</v>
      </c>
      <c r="BM8" s="126" t="s">
        <v>438</v>
      </c>
      <c r="BN8" s="20" t="s">
        <v>66</v>
      </c>
      <c r="BO8" s="20" t="s">
        <v>439</v>
      </c>
      <c r="BP8" s="21" t="s">
        <v>440</v>
      </c>
      <c r="BQ8" s="21" t="s">
        <v>441</v>
      </c>
      <c r="BR8" s="21" t="s">
        <v>442</v>
      </c>
      <c r="BS8" s="22" t="s">
        <v>443</v>
      </c>
      <c r="BT8" s="22" t="s">
        <v>444</v>
      </c>
      <c r="BU8" s="22" t="s">
        <v>69</v>
      </c>
      <c r="BV8" s="22" t="s">
        <v>445</v>
      </c>
      <c r="BW8" s="22" t="s">
        <v>446</v>
      </c>
      <c r="BX8" s="22" t="s">
        <v>447</v>
      </c>
      <c r="BY8" s="23" t="s">
        <v>448</v>
      </c>
      <c r="BZ8" s="23" t="s">
        <v>0</v>
      </c>
      <c r="CA8" s="23" t="s">
        <v>449</v>
      </c>
      <c r="CB8" s="23" t="s">
        <v>450</v>
      </c>
      <c r="CC8" s="23" t="s">
        <v>451</v>
      </c>
      <c r="CD8" s="23" t="s">
        <v>452</v>
      </c>
      <c r="CE8" s="23" t="s">
        <v>419</v>
      </c>
      <c r="CF8" s="23" t="s">
        <v>453</v>
      </c>
      <c r="CG8" s="23" t="s">
        <v>454</v>
      </c>
      <c r="CH8" s="23" t="s">
        <v>455</v>
      </c>
      <c r="CI8" s="119" t="s">
        <v>456</v>
      </c>
      <c r="CJ8" s="119" t="s">
        <v>457</v>
      </c>
      <c r="CK8" s="24"/>
      <c r="CL8" s="24"/>
      <c r="CM8" s="24" t="s">
        <v>458</v>
      </c>
      <c r="CN8" s="22" t="s">
        <v>459</v>
      </c>
      <c r="CO8" s="128" t="s">
        <v>459</v>
      </c>
      <c r="CP8" s="128" t="s">
        <v>460</v>
      </c>
      <c r="CQ8" s="22" t="s">
        <v>461</v>
      </c>
      <c r="CR8" s="132" t="s">
        <v>684</v>
      </c>
      <c r="CS8" s="22" t="s">
        <v>406</v>
      </c>
      <c r="CT8" s="132" t="s">
        <v>462</v>
      </c>
      <c r="CU8" s="22" t="s">
        <v>463</v>
      </c>
      <c r="CV8" s="22" t="s">
        <v>464</v>
      </c>
      <c r="CW8" s="22" t="s">
        <v>465</v>
      </c>
      <c r="CX8" s="23" t="s">
        <v>466</v>
      </c>
      <c r="CY8" s="24" t="s">
        <v>467</v>
      </c>
      <c r="CZ8" s="23" t="s">
        <v>468</v>
      </c>
      <c r="DA8" s="25" t="s">
        <v>469</v>
      </c>
      <c r="DB8" s="25" t="s">
        <v>470</v>
      </c>
      <c r="DC8" s="25"/>
      <c r="DD8" s="25" t="s">
        <v>471</v>
      </c>
      <c r="DE8" s="25" t="s">
        <v>434</v>
      </c>
      <c r="DF8" s="88" t="s">
        <v>632</v>
      </c>
      <c r="DG8" s="25"/>
      <c r="DH8" s="124" t="s">
        <v>472</v>
      </c>
      <c r="DI8" s="104" t="s">
        <v>473</v>
      </c>
      <c r="DJ8" s="105" t="s">
        <v>474</v>
      </c>
      <c r="DK8" s="159" t="s">
        <v>475</v>
      </c>
      <c r="DL8" s="160" t="s">
        <v>476</v>
      </c>
      <c r="DM8" s="160" t="s">
        <v>477</v>
      </c>
      <c r="DN8" s="108" t="s">
        <v>478</v>
      </c>
      <c r="DO8" s="108" t="s">
        <v>479</v>
      </c>
      <c r="DP8" s="108" t="s">
        <v>480</v>
      </c>
      <c r="DQ8" s="108" t="s">
        <v>481</v>
      </c>
      <c r="DR8" s="108" t="s">
        <v>482</v>
      </c>
      <c r="DS8" s="108" t="s">
        <v>483</v>
      </c>
      <c r="DT8" s="88" t="s">
        <v>484</v>
      </c>
      <c r="DU8" s="27" t="s">
        <v>545</v>
      </c>
      <c r="DV8" s="27" t="s">
        <v>546</v>
      </c>
      <c r="DW8" s="27" t="s">
        <v>544</v>
      </c>
      <c r="DX8" s="26" t="s">
        <v>418</v>
      </c>
      <c r="DY8" s="88" t="s">
        <v>417</v>
      </c>
      <c r="DZ8" s="121" t="s">
        <v>562</v>
      </c>
      <c r="EA8" s="25" t="s">
        <v>565</v>
      </c>
      <c r="EB8" s="25" t="s">
        <v>610</v>
      </c>
      <c r="ED8" s="7" t="s">
        <v>645</v>
      </c>
      <c r="EE8" s="64" t="s">
        <v>646</v>
      </c>
      <c r="EF8" s="118" t="s">
        <v>680</v>
      </c>
      <c r="EG8" s="7" t="s">
        <v>681</v>
      </c>
      <c r="EH8" s="6" t="s">
        <v>682</v>
      </c>
      <c r="EJ8" s="134" t="s">
        <v>687</v>
      </c>
      <c r="EK8" s="134" t="s">
        <v>685</v>
      </c>
      <c r="EL8" s="135" t="s">
        <v>686</v>
      </c>
      <c r="EM8" s="73" t="s">
        <v>775</v>
      </c>
      <c r="EN8" s="73"/>
      <c r="EO8" s="6" t="s">
        <v>824</v>
      </c>
      <c r="EP8" s="6" t="s">
        <v>825</v>
      </c>
      <c r="ER8" s="6" t="s">
        <v>0</v>
      </c>
      <c r="ET8" s="6" t="s">
        <v>368</v>
      </c>
      <c r="EU8" s="6" t="s">
        <v>831</v>
      </c>
      <c r="EW8" s="134" t="s">
        <v>834</v>
      </c>
      <c r="EX8" s="134" t="s">
        <v>835</v>
      </c>
      <c r="EY8" s="135" t="s">
        <v>686</v>
      </c>
      <c r="EZ8" s="6" t="s">
        <v>838</v>
      </c>
      <c r="FA8" s="6" t="s">
        <v>863</v>
      </c>
      <c r="FB8" s="6" t="s">
        <v>864</v>
      </c>
      <c r="FC8" s="6" t="s">
        <v>834</v>
      </c>
      <c r="FD8" s="6" t="s">
        <v>687</v>
      </c>
      <c r="FE8" s="6" t="s">
        <v>686</v>
      </c>
      <c r="FH8" s="6" t="s">
        <v>866</v>
      </c>
      <c r="FJ8" s="6" t="s">
        <v>870</v>
      </c>
      <c r="FL8" s="11" t="s">
        <v>377</v>
      </c>
    </row>
    <row r="9" spans="1:168" ht="36.75" customHeight="1" thickTop="1" x14ac:dyDescent="0.2">
      <c r="A9" s="28">
        <v>1</v>
      </c>
      <c r="B9" s="29"/>
      <c r="C9" s="30"/>
      <c r="D9" s="31"/>
      <c r="E9" s="31"/>
      <c r="F9" s="30"/>
      <c r="G9" s="32"/>
      <c r="H9" s="276"/>
      <c r="I9" s="277"/>
      <c r="J9" s="30"/>
      <c r="K9" s="33"/>
      <c r="L9" s="33"/>
      <c r="M9" s="158"/>
      <c r="N9" s="33"/>
      <c r="O9" s="33"/>
      <c r="P9" s="278"/>
      <c r="Q9" s="278"/>
      <c r="R9" s="32"/>
      <c r="S9" s="32"/>
      <c r="T9" s="32"/>
      <c r="U9" s="32"/>
      <c r="V9" s="33"/>
      <c r="W9" s="33"/>
      <c r="X9" s="32"/>
      <c r="Y9" s="34"/>
      <c r="Z9" s="35"/>
      <c r="AA9" s="35"/>
      <c r="AB9" s="35"/>
      <c r="AC9" s="157"/>
      <c r="AD9" s="30"/>
      <c r="AE9" s="36" t="str">
        <f t="shared" ref="AE9:AE23" si="0">IF(SUM(D9)=0,"",IF(E9="MS",SUM(((C9*D9)/1000000)*F9),SUM(((C9*D9)/1000000))))</f>
        <v/>
      </c>
      <c r="AI9" s="6">
        <f>IF(M9=$AI$3,C9/1000,0)</f>
        <v>0</v>
      </c>
      <c r="AJ9" s="6">
        <f>IF(M9=$AJ$3,C9/1000*AK9,0)</f>
        <v>0</v>
      </c>
      <c r="AK9" s="6">
        <f>IF(O9&lt;&gt;"",VLOOKUP(O9,'Designer Shutter Data'!$KP$2:$KQ$44,2,FALSE),0)</f>
        <v>0</v>
      </c>
      <c r="AT9" s="37" t="str">
        <f t="shared" ref="AT9:AT23" si="1">IF(G9&lt;&gt;"",BS9+BW9+BX9,"")</f>
        <v/>
      </c>
      <c r="AV9" s="6" t="str">
        <f>IF(G9=$AV$7,'Designer Shutter Data'!$D$38,'Designer Shutter Data'!$D$2)</f>
        <v>FauxwoodDesignerColour</v>
      </c>
      <c r="AW9" s="130" t="e">
        <f>IF(CT9&gt;650, "Yes", "No")</f>
        <v>#N/A</v>
      </c>
      <c r="AX9" s="130" t="e">
        <f>VLOOKUP(M9,'Designer Shutter Data'!$JK$2:$JL$7,2,FALSE)</f>
        <v>#N/A</v>
      </c>
      <c r="AY9" s="38" t="b">
        <v>0</v>
      </c>
      <c r="AZ9" s="38" t="str">
        <f t="shared" ref="AZ9:AZ23" si="2">IF(D9&gt;1500, "Yes","No")</f>
        <v>No</v>
      </c>
      <c r="BA9" s="38" t="e">
        <f t="shared" ref="BA9:BA23" si="3">IF(E9="MS",C9*1,C9/F9)</f>
        <v>#DIV/0!</v>
      </c>
      <c r="BB9" s="38" t="e">
        <f t="shared" ref="BB9:BB23" si="4">IF(OR(AND(BA9&gt;650,G9="Fauxwood"),AND(BA9&gt;650,G9="Fauxwood Blockout"),AND(BA9&gt;950,G9="Basswood")), "Yes","No")</f>
        <v>#DIV/0!</v>
      </c>
      <c r="BC9" s="38" t="e">
        <f t="shared" ref="BC9:BC23" si="5">IF(OR(AND(BA9&gt;650,G9="Fauxwood",E9="MS"),AND(BA9&gt;700,G9="Fauxwood",E9="IN"),AND(BA9&gt;700,G9="Fauxwood",E9="OUT")), "Yes","No")</f>
        <v>#DIV/0!</v>
      </c>
      <c r="BD9" s="38" t="str">
        <f t="shared" ref="BD9:BD23" si="6">IF(D9&gt;2600, "Yes","No")</f>
        <v>No</v>
      </c>
      <c r="BE9" s="38" t="e">
        <f>IF(OR(AND(C9&gt;0,#REF!="")), "Required","NotRequired")</f>
        <v>#REF!</v>
      </c>
      <c r="BF9" s="38" t="b">
        <v>0</v>
      </c>
      <c r="BG9" s="38" t="e">
        <f>IF(OR(AND(AY9="FauxwoodY",BB9="Yes")), "Highlight","NoHighlight")</f>
        <v>#DIV/0!</v>
      </c>
      <c r="BH9" s="39" t="str">
        <f t="shared" ref="BH9:BH23" si="7">IF(OR(AND(M9="Sliding",X9="")), "Highlight","NoHighlight")</f>
        <v>NoHighlight</v>
      </c>
      <c r="BI9" s="38" t="str">
        <f t="shared" ref="BI9:BI23" si="8">IF(OR(AND(G9="Fauxwood",J9="89mm")),"FauxwoodRP","FauxwoodRPNo")</f>
        <v>FauxwoodRPNo</v>
      </c>
      <c r="BJ9" s="110" t="str">
        <f>IF(SUM(--ISNUMBER(SEARCH({"t","T"}, O9))),"Yes","No")</f>
        <v>No</v>
      </c>
      <c r="BK9" s="127" t="str">
        <f t="shared" ref="BK9:BK23" si="9">IF(Y9="N/A", "N/A", IF(OR(AND(Y9&gt;0,Z9="")), "Error","OK"))</f>
        <v>OK</v>
      </c>
      <c r="BL9" s="127" t="str">
        <f t="shared" ref="BL9:BL23" si="10">IF(Y9="N/A", "N/A", IF(OR(AND(Y9&gt;1,AA9="")), "Error","OK"))</f>
        <v>OK</v>
      </c>
      <c r="BM9" s="127" t="str">
        <f t="shared" ref="BM9:BM23" si="11">IF(Y9="N/A", "N/A", IF(OR(AND(Y9&gt;2,AB9="")), "Error","OK"))</f>
        <v>OK</v>
      </c>
      <c r="BN9" s="39" t="str">
        <f t="shared" ref="BN9:BN23" si="12">IF(OR(AND(F9&gt;1,L9="L",L9="l"),AND(F9&gt;1,L9="R",L9="r"),AND(F9&gt;2,L9="LR",L9="lr")), "Error","OK")</f>
        <v>OK</v>
      </c>
      <c r="BO9" s="39" t="str">
        <f t="shared" ref="BO9:BO23" si="13">IF(OR(AND(J9="63mm",G9="Fauxwood"),AND(J9="89mm",G9="Fauxwood")),"FauxwoodAI","FauxwoodAINo")</f>
        <v>FauxwoodAINo</v>
      </c>
      <c r="BP9" s="39" t="str">
        <f>IF(SUM(--ISNUMBER(SEARCH({"combo","Combo","COMBO"}, B26))),"Yes","No")</f>
        <v>No</v>
      </c>
      <c r="BQ9" s="39" t="str">
        <f>IF(OR(AND(BJ9="Yes",BP9="Yes")),"Yes","No")</f>
        <v>No</v>
      </c>
      <c r="BR9" s="39" t="str">
        <f>IF(SUM(--ISNUMBER(SEARCH({"c","C","b","B"}, L9))),"Yes","No")</f>
        <v>No</v>
      </c>
      <c r="BS9" s="11">
        <f t="shared" ref="BS9:BS23" si="14">IF(D9="",0,IF(M9="Fixed","N/A",IF(M9="Sliding","N/A",IF(M9="Track Bi Fold","N/A",IF(M9="Pivot Hinged","N/A",IF(D9&lt;741,2,IF(D9&lt;1321,3,IF(D9&lt;1906,4, IF(D9&lt;2601,5,6)))*IF(F9&gt;0,F9,1)))))))</f>
        <v>0</v>
      </c>
      <c r="BT9" s="11" t="s">
        <v>820</v>
      </c>
      <c r="BU9" s="11" t="s">
        <v>820</v>
      </c>
      <c r="BV9" s="40">
        <f t="shared" ref="BV9:BV23" si="15">IF(D9="",0,IF(M9="Fixed","N/A",IF(M9="Sliding","N/A",IF(M9="Track Bi Fold","N/A",IF(M9="Pivot Hinged","N/A",IF(D9&lt;1220,2,IF(D9&lt;1981,3,IF(D9&lt;2438,4,5)))*IF(F9&gt;0,F9,1))))))</f>
        <v>0</v>
      </c>
      <c r="BW9" s="40">
        <f t="shared" ref="BW9:BW23" si="16">IF(M9="Double Hinged",F9,0)</f>
        <v>0</v>
      </c>
      <c r="BX9" s="11" t="e">
        <f t="shared" ref="BX9:BX23" si="17">IF(C9/F9&gt;650,F9,0)</f>
        <v>#DIV/0!</v>
      </c>
      <c r="BY9" s="11" t="b">
        <v>0</v>
      </c>
      <c r="BZ9" s="11" t="b">
        <v>0</v>
      </c>
      <c r="CA9" s="11" t="e">
        <v>#REF!</v>
      </c>
      <c r="CB9" s="11" t="s">
        <v>82</v>
      </c>
      <c r="CC9" s="11" t="e">
        <f t="shared" ref="CC9:CC23" si="18">IF(OR(AND(BA9&gt;800,G9="Fauxwood",J9="63mm"),AND(BA9&gt;900,G9="Fauxwood",J9="89mm")), "Yes","No")</f>
        <v>#DIV/0!</v>
      </c>
      <c r="CD9" s="11" t="e">
        <f>VLOOKUP(P9,'Designer Shutter Data'!$H$3:$I$19,2,FALSE)</f>
        <v>#N/A</v>
      </c>
      <c r="CE9" s="11" t="s">
        <v>820</v>
      </c>
      <c r="CF9" s="11" t="str">
        <f>IF(SUM(--ISNUMBER(SEARCH({"z","Z"}, P9))),"Yes","No")</f>
        <v>No</v>
      </c>
      <c r="CG9" s="11" t="str">
        <f t="shared" ref="CG9:CG23" si="19">IF(OR(AND(E9="OUT",CF9="Yes")), "Error","OK")</f>
        <v>OK</v>
      </c>
      <c r="CH9" s="11">
        <f t="shared" ref="CH9:CH23" si="20">LEN(O9)</f>
        <v>0</v>
      </c>
      <c r="CI9" s="120" t="e">
        <f>IF(O9="N/A","N/A",VLOOKUP(O9,'Designer Shutter Data'!$AO$3:$AP$171,2,FALSE))</f>
        <v>#N/A</v>
      </c>
      <c r="CJ9" s="120" t="e">
        <f t="shared" ref="CJ9:CJ23" si="21">IF(CI9="N/A", "N/A", IF(F9&lt;&gt;CI9,"Failed","Passed"))</f>
        <v>#N/A</v>
      </c>
      <c r="CK9" s="40"/>
      <c r="CL9" s="40" t="s">
        <v>485</v>
      </c>
      <c r="CM9" s="40" t="str">
        <f>IF(COUNTIF(L9:L23,'Designer Shutter Data'!BJ4),'Designer Shutter Data'!BL4,"")</f>
        <v/>
      </c>
      <c r="CN9" s="41" t="str">
        <f t="shared" ref="CN9:CN23" si="22">IF(AND(OR(G9="Fauxwood Designer",M9="Hinged",M9="Track Bi Fold")), "Error","OK")</f>
        <v>OK</v>
      </c>
      <c r="CO9" s="129" t="b">
        <f t="shared" ref="CO9:CO23" si="23">IF(M9="Hinged",50,IF(M9="Double Hinged",50,IF(M9="Track Bi Fold",0,IF(M9="Sliding",40,IF(M9="Fixed",0,IF(M9="N/A","N/A"))))))</f>
        <v>0</v>
      </c>
      <c r="CP9" s="129" t="b">
        <f t="shared" ref="CP9:CP23" si="24">IF(M9="Hinged",50,IF(M9="Double Hinged",50,IF(M9="Track Bi Fold",0,IF(M9="Sliding",40,IF(M9="Fixed",0, IF(M9="N/A", "N/A"))))))</f>
        <v>0</v>
      </c>
      <c r="CQ9" s="40">
        <f t="shared" ref="CQ9:CQ23" si="25">IF(E9="IN",1,IF(E9="OUT",1,0))</f>
        <v>0</v>
      </c>
      <c r="CR9" s="133">
        <f t="shared" ref="CR9:CR23" si="26">IF(AND(OR(P9="No Frame", P9="Hanging Strip")),CP9,0)</f>
        <v>0</v>
      </c>
      <c r="CS9" s="40">
        <f>CP9*CQ9</f>
        <v>0</v>
      </c>
      <c r="CT9" s="133" t="e">
        <f t="shared" ref="CT9:CT23" si="27">IF(E9="MS",C9, (C9-EL9)/F9)</f>
        <v>#N/A</v>
      </c>
      <c r="CU9" s="11" t="b">
        <v>0</v>
      </c>
      <c r="CV9" s="11" t="b">
        <v>0</v>
      </c>
      <c r="CW9" s="11" t="b">
        <v>0</v>
      </c>
      <c r="CX9" s="11" t="b">
        <v>0</v>
      </c>
      <c r="CY9" s="40" t="e">
        <f>IF(OR(AND(#REF!&gt;0,#REF!="")), "Error","OK")</f>
        <v>#REF!</v>
      </c>
      <c r="CZ9" s="11" t="e">
        <v>#REF!</v>
      </c>
      <c r="DA9" s="6" t="str">
        <f t="shared" ref="DA9:DA23" si="28">IF(AND(OR(G9="Fauxwood"),AND(K9="Yes")), "Yes","")</f>
        <v/>
      </c>
      <c r="DB9" s="6" t="s">
        <v>820</v>
      </c>
      <c r="DC9" s="6" t="s">
        <v>820</v>
      </c>
      <c r="DD9" s="6" t="str">
        <f>IF(M9='Designer Shutter Data'!$F$5,"Yes",IF(M9='Designer Shutter Data'!$F$4,"Yes","No"))</f>
        <v>No</v>
      </c>
      <c r="DE9" s="6" t="b">
        <f>IF(M9='Designer Shutter Data'!$F$3,'Designer Shutter Data'!$FY$7,IF(M9='Designer Shutter Data'!$F$4,'Designer Shutter Data'!$FZ$2,IF(M9='Designer Shutter Data'!$F$5,FJ9, IF(M9='Designer Shutter Data'!$F$6,'Designer Shutter Data'!$GA$2,IF(M9='Designer Shutter Data'!$F$7,'Designer Shutter Data'!$FY$2, IF(M9='Designer Shutter Data'!$F$8,'Designer Shutter Data'!$FZ$7, IF(M9='Designer Shutter Data'!$F$14,'Designer Shutter Data'!$FZ$14)))))))</f>
        <v>0</v>
      </c>
      <c r="DF9" s="6" t="e">
        <f>VLOOKUP(M9,'Designer Shutter Data'!$M$2:$N$8,2,FALSE)</f>
        <v>#N/A</v>
      </c>
      <c r="DH9" s="123" t="e">
        <f>VLOOKUP(O9,'Designer Shutter Data'!$IN$2:$IO$169,2,FALSE)</f>
        <v>#N/A</v>
      </c>
      <c r="DI9" s="103" t="e">
        <f t="shared" ref="DI9:DI23" si="29">Y9-DH9</f>
        <v>#N/A</v>
      </c>
      <c r="DJ9" s="103" t="e">
        <f>IF(DI9=0,"OK", "Layout Code &amp; T Post Quantity Issue")</f>
        <v>#N/A</v>
      </c>
      <c r="DK9" s="7" t="b">
        <f>IF(P9='Designer Shutter Data'!$GC$2,'Designer Shutter Data'!$GD$2,IF(P9='Designer Shutter Data'!$GC$3,'Designer Shutter Data'!$GE$2,IF(P9='Designer Shutter Data'!$GC$4,'Designer Shutter Data'!$GF$2,IF(P9='Designer Shutter Data'!$GC$5,'Designer Shutter Data'!$GG$2,IF(P9='Designer Shutter Data'!$GC$6,'Designer Shutter Data'!$GH$2,IF(P9='Designer Shutter Data'!$GC$7,'Designer Shutter Data'!$GI$2,IF(P9='Designer Shutter Data'!$GC$8,'Designer Shutter Data'!$GJ$2,IF(P9='Designer Shutter Data'!$GC$9,'Designer Shutter Data'!$GK$2,IF(P9='Designer Shutter Data'!$GC$10,'Designer Shutter Data'!$GL$2,IF(P9='Designer Shutter Data'!$GC$11,'Designer Shutter Data'!$GM$2,IF(P9='Designer Shutter Data'!$GC$12,'Designer Shutter Data'!$GN$2,IF(P9='Designer Shutter Data'!$GC$13,'Designer Shutter Data'!$GO$2,IF(P9='Designer Shutter Data'!$GC$14,'Designer Shutter Data'!$GP$2,IF(P9='Designer Shutter Data'!$GC$15,'Designer Shutter Data'!$GD$15,IF(P9='Designer Shutter Data'!$GC$16,'Designer Shutter Data'!$GE$15,IF(P9='Designer Shutter Data'!$GC$17,'Designer Shutter Data'!$GF$15,IF(P9='Designer Shutter Data'!$GC$18,'Designer Shutter Data'!$GG$15,IF(P9='Designer Shutter Data'!$GC$19,'Designer Shutter Data'!$GD$73,IF(P9='Designer Shutter Data'!$GC$20,'Designer Shutter Data'!$GD$88, IF(P9='Designer Shutter Data'!$GC$21,'Designer Shutter Data'!$GH$15, IF(P9='Designer Shutter Data'!$GC$22,'Designer Shutter Data'!$GJ$2, IF(P9='Designer Shutter Data'!$GC$23,'Designer Shutter Data'!$GL$2))))))))))))))))))))))</f>
        <v>0</v>
      </c>
      <c r="DL9" s="7" t="b">
        <f>IF(P9='Designer Shutter Data'!$GC$2,'Designer Shutter Data'!$GD$25,IF(P9='Designer Shutter Data'!$GC$3,'Designer Shutter Data'!$GE$25,IF(P9='Designer Shutter Data'!$GC$4,'Designer Shutter Data'!$GF$25,IF(P9='Designer Shutter Data'!$GC$5,'Designer Shutter Data'!$GG$25,IF(P9='Designer Shutter Data'!$GC$6,'Designer Shutter Data'!$GH$25,IF(P9='Designer Shutter Data'!$GC$7,'Designer Shutter Data'!$GI$25,IF(P9='Designer Shutter Data'!$GC$8,'Designer Shutter Data'!$GJ$25,IF(P9='Designer Shutter Data'!$GC$9,'Designer Shutter Data'!$GK$25,IF(P9='Designer Shutter Data'!$GC$10,'Designer Shutter Data'!$GL$25,IF(P9='Designer Shutter Data'!$GC$11,'Designer Shutter Data'!$GM$25,IF(P9='Designer Shutter Data'!$GC$12,'Designer Shutter Data'!$GN$25,IF(P9='Designer Shutter Data'!$GC$13,'Designer Shutter Data'!$GO$25,IF(P9='Designer Shutter Data'!$GC$14,'Designer Shutter Data'!$GP$25,IF(P9='Designer Shutter Data'!$GC$15,'Designer Shutter Data'!$GD$37,IF(P9='Designer Shutter Data'!$GC$15,'Designer Shutter Data'!$GD$37,IF(P9='Designer Shutter Data'!$GC$16,'Designer Shutter Data'!$GE$37,IF(P9='Designer Shutter Data'!$GC$17,'Designer Shutter Data'!$GF$37,IF(P9='Designer Shutter Data'!$GC$18,'Designer Shutter Data'!$GG$37, IF(P9='Designer Shutter Data'!$GC$19,'Designer Shutter Data'!$GD$73, IF(P9='Designer Shutter Data'!$GC$20,'Designer Shutter Data'!$GE$88, IF(P9='Designer Shutter Data'!$GC$21,'Designer Shutter Data'!$GH$37,IF(P9='Designer Shutter Data'!$GC$22,'Designer Shutter Data'!$GJ$25,IF(P9='Designer Shutter Data'!$GC$23,'Designer Shutter Data'!$GL$25)))))))))))))))))))))))</f>
        <v>0</v>
      </c>
      <c r="DM9" s="118" t="b">
        <f>IF(P9='Designer Shutter Data'!$GC$2,'Designer Shutter Data'!$GD$47,IF(P9='Designer Shutter Data'!$GC$3,'Designer Shutter Data'!$GE$47,IF(P9='Designer Shutter Data'!$GC$4,'Designer Shutter Data'!$GF$47,IF(P9='Designer Shutter Data'!$GC$5,'Designer Shutter Data'!$GG$47,IF(P9='Designer Shutter Data'!$GC$6,'Designer Shutter Data'!$GH$47,IF(P9='Designer Shutter Data'!$GC$7,'Designer Shutter Data'!$GI$47,IF(P9='Designer Shutter Data'!$GC$8,'Designer Shutter Data'!$GJ$47,IF(P9='Designer Shutter Data'!$GC$9,'Designer Shutter Data'!$GK$47,IF(P9='Designer Shutter Data'!$GC$10,'Designer Shutter Data'!$GL$47,IF(P9='Designer Shutter Data'!$GC$11,'Designer Shutter Data'!$GM$47,IF(P9='Designer Shutter Data'!$GC$12,'Designer Shutter Data'!$GN$47,IF(P9='Designer Shutter Data'!$GC$13,'Designer Shutter Data'!$GO$47,IF(P9='Designer Shutter Data'!$GC$14,'Designer Shutter Data'!$GP$47, IF(P9='Designer Shutter Data'!$GC$19,'Designer Shutter Data'!$GD$73, IF(P9='Designer Shutter Data'!$GC$20,'Designer Shutter Data'!$GF$88, IF(M9='Designer Shutter Data'!$F$5,'Designer Shutter Data'!$GE$59, IF(M9='Designer Shutter Data'!$F$6,'Designer Shutter Data'!$GD$59, IF(P9='Designer Shutter Data'!$GC$21,'Designer Shutter Data'!$GF$59,IF(P9='Designer Shutter Data'!$GC$22,'Designer Shutter Data'!$GJ$47,IF(P9='Designer Shutter Data'!$GC$23,'Designer Shutter Data'!$GL$47))))))))))))))))))))</f>
        <v>0</v>
      </c>
      <c r="DN9" s="107" t="str">
        <f>IF(COUNTIF(BK9:BM9,$DN$7),"Required","")</f>
        <v/>
      </c>
      <c r="DO9" s="107" t="e">
        <f>IF(OR(AND(DJ9="Layout Code &amp; T Post Quantity Issue"), AND(DN9="Required")),"Yes","No")</f>
        <v>#N/A</v>
      </c>
      <c r="DP9" s="107" t="str">
        <f t="shared" ref="DP9:DP23" si="30">IF(OR(AND(AA9="",Y9=2)), "Error","OK")</f>
        <v>OK</v>
      </c>
      <c r="DQ9" s="107" t="str">
        <f t="shared" ref="DQ9:DQ23" si="31">IF(OR(AND(Z9&lt;&gt;"",Y9&lt;1)), "Error","OK")</f>
        <v>OK</v>
      </c>
      <c r="DR9" s="107" t="str">
        <f t="shared" ref="DR9:DR23" si="32">IF(OR(AND(AA9&lt;&gt;"",Y9&lt;2)), "Error","OK")</f>
        <v>OK</v>
      </c>
      <c r="DS9" s="107" t="str">
        <f t="shared" ref="DS9:DS23" si="33">IF(OR(AND(AB9&lt;&gt;"",Y9&lt;3)), "Error","OK")</f>
        <v>OK</v>
      </c>
      <c r="DT9" s="7" t="b">
        <f>IF(E9='Designer Shutter Data'!$GV$2,'Designer Shutter Data'!$GW$2,IF(E9='Designer Shutter Data'!$GV$3,'Designer Shutter Data'!$GX$2,IF(E9='Designer Shutter Data'!$GV$4,'Designer Shutter Data'!$GY$2)))</f>
        <v>0</v>
      </c>
      <c r="DU9" s="40" t="e">
        <f>MATCH(E9,'Designer Shutter Data'!$HB$1:$HD$1,0)</f>
        <v>#N/A</v>
      </c>
      <c r="DV9" s="40" t="e">
        <f>MATCH(M9,'Designer Shutter Data'!$HA$2:$HA$8,0)</f>
        <v>#N/A</v>
      </c>
      <c r="DW9" s="11" t="e">
        <f>INDEX('Designer Shutter Data'!$HB$2:$HD$8,DV9,DU9)</f>
        <v>#N/A</v>
      </c>
      <c r="DX9" s="11" t="b">
        <f>IF(E9='Designer Shutter Data'!$IG$1,'Designer Shutter Data'!$IG$2,IF(E9='Designer Shutter Data'!$IH$1,'Designer Shutter Data'!$IH$2, IF(E9='Designer Shutter Data'!$II$1,'Designer Shutter Data'!$II$2)))</f>
        <v>0</v>
      </c>
      <c r="DY9" s="11" t="str">
        <f>IF(E9="MS",'Designer Shutter Data'!$BI$2,IF(G9='Designer Shutter Data'!$BJ$34,'Designer Shutter Data'!$BJ$35,'Designer Shutter Data'!$BJ$2))</f>
        <v>FauxwoodDesignerWindowType</v>
      </c>
      <c r="DZ9" s="118" t="b">
        <f>IF(M9='Designer Shutter Data'!$F$3,'Designer Shutter Data'!$GF$88, IF(M9='Designer Shutter Data'!$F$4,'Designer Shutter Data'!$GF$59, IF(M9='Designer Shutter Data'!$F$5,'Designer Shutter Data'!$GE$59, IF(M9='Designer Shutter Data'!$F$6,'Designer Shutter Data'!$GD$59, IF(M9='Designer Shutter Data'!$F$7,'Designer Shutter Data'!$GD$73)))))</f>
        <v>0</v>
      </c>
      <c r="EA9" s="40" t="str">
        <f>IF(COUNTIF(E9:E23, 'Designer Shutter Data'!IR1),'Designer Shutter Data'!IS1,"")</f>
        <v/>
      </c>
      <c r="EB9" s="6" t="b">
        <f>IF(M9='Designer Shutter Data'!$IT$2,'Designer Shutter Data'!$JA$2, IF(M9='Designer Shutter Data'!$IT$3,'Designer Shutter Data'!$JC$2, IF(M9='Designer Shutter Data'!$IT$4,'Designer Shutter Data'!$JE$2, IF(M9='Designer Shutter Data'!$IT$5,'Designer Shutter Data'!$JG$2, IF(M9='Designer Shutter Data'!$IT$6,'Designer Shutter Data'!$JI$2, IF(M9='Designer Shutter Data'!$IT$7,'Designer Shutter Data'!$JZ$2, IF(M9='Designer Shutter Data'!$IT$8,'Designer Shutter Data'!$JI$16)))))))</f>
        <v>0</v>
      </c>
      <c r="EC9" s="6" t="str">
        <f t="shared" ref="EC9:EC23" si="34">IF(OR(AND(M9="Sliding",U9=""),AND(M9="Track Bi Fold",U9="")),"Highlight","NoHighlight")</f>
        <v>NoHighlight</v>
      </c>
      <c r="ED9" s="7" t="e">
        <f>VLOOKUP(M9,'Designer Shutter Data'!$JW$5:$JX$10,2,FALSE)</f>
        <v>#N/A</v>
      </c>
      <c r="EE9" s="7" t="e">
        <f t="shared" ref="EE9:EE23" si="35">IF(OR(AND(W9="",ED9="Yes")), "Yes","No")</f>
        <v>#N/A</v>
      </c>
      <c r="EF9" s="118" t="e">
        <f>VLOOKUP(O9,'Designer Shutter Data'!$AO$3:$AQ$171,1,FALSE)</f>
        <v>#N/A</v>
      </c>
      <c r="EG9" s="7" t="e">
        <f t="shared" ref="EG9:EG23" si="36">EXACT(O9,EF9)</f>
        <v>#N/A</v>
      </c>
      <c r="EH9" s="6" t="str">
        <f t="shared" ref="EH9:EH23" si="37">IF(O9="","",IFERROR(EG9,"ERROR"))</f>
        <v/>
      </c>
      <c r="EJ9" s="40" t="e">
        <f>MATCH(M9,'Designer Shutter Data'!$KD$1:$KI$1,0)</f>
        <v>#N/A</v>
      </c>
      <c r="EK9" s="40" t="e">
        <f>MATCH(P9,'Designer Shutter Data'!$KC$2:$KC$21,0)</f>
        <v>#N/A</v>
      </c>
      <c r="EL9" s="136" t="e">
        <f>INDEX('Designer Shutter Data'!$KD$2:$KI$21,EK9,EJ9)</f>
        <v>#N/A</v>
      </c>
      <c r="EM9" s="73">
        <f>IF(COUNT(C9:C23)&gt;0,1,0)</f>
        <v>0</v>
      </c>
      <c r="EN9" s="73" t="s">
        <v>776</v>
      </c>
      <c r="EO9" s="6" t="s">
        <v>822</v>
      </c>
      <c r="EP9" s="6" t="str">
        <f>IF(AC9&lt;&gt;$EO$4,'Designer Shutter Data'!$BR$2,'Designer Shutter Data'!$BR$9)</f>
        <v>Fluffy_Strip_Fauxwood</v>
      </c>
      <c r="ER9" s="6" t="str">
        <f>IF(G9='Designer Shutter Data'!$E$26,'Designer Shutter Data'!$E$27,IF(G9='Designer Shutter Data'!$E$37,'Designer Shutter Data'!$E$38,'Designer Shutter Data'!$E$2))</f>
        <v>FauxwoodDesignerBladeSize</v>
      </c>
      <c r="ET9" s="6" t="str">
        <f>IF(G9=$EU$7,$EU$8,$EO$8)</f>
        <v>Stile T Post</v>
      </c>
      <c r="EU9" s="6" t="s">
        <v>822</v>
      </c>
      <c r="EW9" s="40" t="e">
        <f>MATCH(G9,'Designer Shutter Data'!$AV$27:$AV$30,0)</f>
        <v>#N/A</v>
      </c>
      <c r="EX9" s="40" t="e">
        <f>MATCH(AC9,'Designer Shutter Data'!$AW$26:$AX$26,0)</f>
        <v>#N/A</v>
      </c>
      <c r="EY9" s="136" t="e">
        <f>INDEX('Designer Shutter Data'!$AW$27:$AX$30,EW9,EX9)</f>
        <v>#N/A</v>
      </c>
      <c r="EZ9" s="6" t="str">
        <f>IF(G9='Designer Shutter Data'!$S$15,'Designer Shutter Data'!$S$16, IF(G9=$FB$7,'Designer Shutter Data'!$T$15,'Designer Shutter Data'!$S$2))</f>
        <v>FauxwoodDesignerTiltrod</v>
      </c>
      <c r="FA9" s="6" t="e">
        <f>IF(G9=$FB$7,"No",VLOOKUP(L9,'Designer Shutter Data'!$BJ$62:$BK$75,2,FALSE))</f>
        <v>#N/A</v>
      </c>
      <c r="FB9" s="6" t="e">
        <f>IF(FA9="Yes", 'Designer Shutter Data'!$T$2,IF(G9=$FB$7,'Designer Shutter Data'!$T$15,'Designer Shutters Page 3'!EZ9))</f>
        <v>#N/A</v>
      </c>
      <c r="FC9" s="6" t="e">
        <f>MATCH(G9,'Designer Shutter Data'!$IG$15:$IJ$15,0)</f>
        <v>#N/A</v>
      </c>
      <c r="FD9" s="6" t="e">
        <f>MATCH(E9,'Designer Shutter Data'!$IF$16:$IF$18,0)</f>
        <v>#N/A</v>
      </c>
      <c r="FE9" s="6" t="e">
        <f>INDEX('Designer Shutter Data'!$IG$16:$IJ$18, 'Designer Shutters Page 3'!FD9, 'Designer Shutters Page 3'!FC9)</f>
        <v>#N/A</v>
      </c>
      <c r="FH9" s="6" t="str">
        <f>IF(M9=$FH$2,$FH$3,$FI$3)</f>
        <v>SlidingSystemNA</v>
      </c>
      <c r="FJ9" s="6" t="e">
        <f>VLOOKUP(O9,'Designer Shutter Data'!$KP$2:$KR$44,3,FALSE)</f>
        <v>#N/A</v>
      </c>
      <c r="FL9" s="11" t="b">
        <f>IF(N9=$FL$7,'Designer Shutter Data'!$GH$98,DM9)</f>
        <v>0</v>
      </c>
    </row>
    <row r="10" spans="1:168" ht="36.75" customHeight="1" x14ac:dyDescent="0.2">
      <c r="A10" s="42">
        <v>2</v>
      </c>
      <c r="B10" s="43"/>
      <c r="C10" s="44"/>
      <c r="D10" s="31"/>
      <c r="E10" s="31"/>
      <c r="F10" s="31"/>
      <c r="G10" s="43"/>
      <c r="H10" s="234"/>
      <c r="I10" s="235"/>
      <c r="J10" s="44"/>
      <c r="K10" s="45"/>
      <c r="L10" s="45"/>
      <c r="M10" s="45"/>
      <c r="N10" s="45"/>
      <c r="O10" s="45"/>
      <c r="P10" s="236"/>
      <c r="Q10" s="236"/>
      <c r="R10" s="43"/>
      <c r="S10" s="43"/>
      <c r="T10" s="43"/>
      <c r="U10" s="43"/>
      <c r="V10" s="45"/>
      <c r="W10" s="45"/>
      <c r="X10" s="43"/>
      <c r="Y10" s="46"/>
      <c r="Z10" s="47"/>
      <c r="AA10" s="47"/>
      <c r="AB10" s="47"/>
      <c r="AC10" s="44"/>
      <c r="AD10" s="44"/>
      <c r="AE10" s="48" t="str">
        <f t="shared" si="0"/>
        <v/>
      </c>
      <c r="AI10" s="6">
        <f t="shared" ref="AI10:AI23" si="38">IF(M10=$AI$3,C10/1000,0)</f>
        <v>0</v>
      </c>
      <c r="AJ10" s="6">
        <f t="shared" ref="AJ10:AJ23" si="39">IF(M10=$AJ$3,C10/1000*AK10,0)</f>
        <v>0</v>
      </c>
      <c r="AK10" s="6">
        <f>IF(O10&lt;&gt;"",VLOOKUP(O10,'Designer Shutter Data'!$KP$2:$KQ$44,2,FALSE),0)</f>
        <v>0</v>
      </c>
      <c r="AT10" s="49" t="str">
        <f t="shared" si="1"/>
        <v/>
      </c>
      <c r="AV10" s="6" t="str">
        <f>IF(G10=$AV$7,'Designer Shutter Data'!$D$38,'Designer Shutter Data'!$D$2)</f>
        <v>FauxwoodDesignerColour</v>
      </c>
      <c r="AW10" s="130" t="e">
        <f t="shared" ref="AW10:AW23" si="40">IF(CT10&gt;650, "Yes", "No")</f>
        <v>#N/A</v>
      </c>
      <c r="AX10" s="130" t="e">
        <f>VLOOKUP(M10,'Designer Shutter Data'!$JK$2:$JL$7,2,FALSE)</f>
        <v>#N/A</v>
      </c>
      <c r="AY10" s="38" t="b">
        <v>0</v>
      </c>
      <c r="AZ10" s="38" t="str">
        <f t="shared" si="2"/>
        <v>No</v>
      </c>
      <c r="BA10" s="38" t="e">
        <f t="shared" si="3"/>
        <v>#DIV/0!</v>
      </c>
      <c r="BB10" s="38" t="e">
        <f t="shared" si="4"/>
        <v>#DIV/0!</v>
      </c>
      <c r="BC10" s="38" t="e">
        <f t="shared" si="5"/>
        <v>#DIV/0!</v>
      </c>
      <c r="BD10" s="38" t="str">
        <f t="shared" si="6"/>
        <v>No</v>
      </c>
      <c r="BE10" s="38" t="e">
        <f>IF(OR(AND(C10&gt;0,#REF!="")), "Required","NotRequired")</f>
        <v>#REF!</v>
      </c>
      <c r="BF10" s="38" t="b">
        <v>0</v>
      </c>
      <c r="BG10" s="38" t="e">
        <f t="shared" ref="BG10:BG23" si="41">IF(OR(AND(AY10="FauxwoodY",BB10="Yes")), "Highlight","NoHighlight")</f>
        <v>#DIV/0!</v>
      </c>
      <c r="BH10" s="39" t="str">
        <f t="shared" si="7"/>
        <v>NoHighlight</v>
      </c>
      <c r="BI10" s="38" t="str">
        <f t="shared" si="8"/>
        <v>FauxwoodRPNo</v>
      </c>
      <c r="BJ10" s="110" t="str">
        <f>IF(SUM(--ISNUMBER(SEARCH({"t","T"}, O10))),"Yes","No")</f>
        <v>No</v>
      </c>
      <c r="BK10" s="127" t="str">
        <f t="shared" si="9"/>
        <v>OK</v>
      </c>
      <c r="BL10" s="127" t="str">
        <f t="shared" si="10"/>
        <v>OK</v>
      </c>
      <c r="BM10" s="127" t="str">
        <f t="shared" si="11"/>
        <v>OK</v>
      </c>
      <c r="BN10" s="39" t="str">
        <f t="shared" si="12"/>
        <v>OK</v>
      </c>
      <c r="BO10" s="39" t="str">
        <f t="shared" si="13"/>
        <v>FauxwoodAINo</v>
      </c>
      <c r="BP10" s="39" t="str">
        <f>IF(SUM(--ISNUMBER(SEARCH({"combo","Combo","COMBO"}, B27))),"Yes","No")</f>
        <v>No</v>
      </c>
      <c r="BQ10" s="39" t="str">
        <f t="shared" ref="BQ10:BQ23" si="42">IF(OR(AND(BJ10="Yes",BP10="Yes")),"Yes","No")</f>
        <v>No</v>
      </c>
      <c r="BR10" s="39" t="str">
        <f>IF(SUM(--ISNUMBER(SEARCH({"c","C","b","B"}, L10))),"Yes","No")</f>
        <v>No</v>
      </c>
      <c r="BS10" s="11">
        <f t="shared" si="14"/>
        <v>0</v>
      </c>
      <c r="BT10" s="11" t="s">
        <v>820</v>
      </c>
      <c r="BU10" s="11" t="s">
        <v>820</v>
      </c>
      <c r="BV10" s="40">
        <f t="shared" si="15"/>
        <v>0</v>
      </c>
      <c r="BW10" s="40">
        <f t="shared" si="16"/>
        <v>0</v>
      </c>
      <c r="BX10" s="11" t="e">
        <f t="shared" si="17"/>
        <v>#DIV/0!</v>
      </c>
      <c r="BY10" s="11" t="b">
        <v>0</v>
      </c>
      <c r="BZ10" s="11" t="b">
        <v>0</v>
      </c>
      <c r="CA10" s="11" t="e">
        <v>#REF!</v>
      </c>
      <c r="CB10" s="11" t="s">
        <v>82</v>
      </c>
      <c r="CC10" s="11" t="e">
        <f t="shared" si="18"/>
        <v>#DIV/0!</v>
      </c>
      <c r="CD10" s="11" t="e">
        <f>VLOOKUP(P10,'Designer Shutter Data'!$H$3:$I$19,2,FALSE)</f>
        <v>#N/A</v>
      </c>
      <c r="CE10" s="11" t="s">
        <v>820</v>
      </c>
      <c r="CF10" s="11" t="str">
        <f>IF(SUM(--ISNUMBER(SEARCH({"z","Z"}, P10))),"Yes","No")</f>
        <v>No</v>
      </c>
      <c r="CG10" s="11" t="str">
        <f t="shared" si="19"/>
        <v>OK</v>
      </c>
      <c r="CH10" s="11">
        <f t="shared" si="20"/>
        <v>0</v>
      </c>
      <c r="CI10" s="120" t="e">
        <f>IF(O10="N/A","N/A",VLOOKUP(O10,'Designer Shutter Data'!$AO$3:$AP$171,2,FALSE))</f>
        <v>#N/A</v>
      </c>
      <c r="CJ10" s="120" t="e">
        <f t="shared" si="21"/>
        <v>#N/A</v>
      </c>
      <c r="CK10" s="40"/>
      <c r="CL10" s="40" t="s">
        <v>486</v>
      </c>
      <c r="CM10" s="40" t="str">
        <f>IF(COUNTIF(L9:L23,'Designer Shutter Data'!BJ5),'Designer Shutter Data'!BL5,"")</f>
        <v/>
      </c>
      <c r="CN10" s="41" t="str">
        <f t="shared" si="22"/>
        <v>OK</v>
      </c>
      <c r="CO10" s="129" t="b">
        <f t="shared" si="23"/>
        <v>0</v>
      </c>
      <c r="CP10" s="129" t="b">
        <f t="shared" si="24"/>
        <v>0</v>
      </c>
      <c r="CQ10" s="40">
        <f t="shared" si="25"/>
        <v>0</v>
      </c>
      <c r="CR10" s="133">
        <f t="shared" si="26"/>
        <v>0</v>
      </c>
      <c r="CS10" s="40">
        <f t="shared" ref="CS10:CS23" si="43">CP10*CQ10</f>
        <v>0</v>
      </c>
      <c r="CT10" s="133" t="e">
        <f t="shared" si="27"/>
        <v>#N/A</v>
      </c>
      <c r="CU10" s="11" t="b">
        <v>0</v>
      </c>
      <c r="CV10" s="11" t="b">
        <v>0</v>
      </c>
      <c r="CW10" s="11" t="b">
        <v>0</v>
      </c>
      <c r="CX10" s="11" t="b">
        <v>0</v>
      </c>
      <c r="CY10" s="40" t="e">
        <f>IF(OR(AND(#REF!&gt;0,#REF!="")), "Error","OK")</f>
        <v>#REF!</v>
      </c>
      <c r="CZ10" s="11" t="e">
        <v>#REF!</v>
      </c>
      <c r="DA10" s="6" t="str">
        <f t="shared" si="28"/>
        <v/>
      </c>
      <c r="DD10" s="6" t="s">
        <v>84</v>
      </c>
      <c r="DE10" s="6" t="b">
        <f>IF(M10='Designer Shutter Data'!$F$3,'Designer Shutter Data'!$FY$7,IF(M10='Designer Shutter Data'!$F$4,'Designer Shutter Data'!$FZ$2,IF(M10='Designer Shutter Data'!$F$5,FJ10, IF(M10='Designer Shutter Data'!$F$6,'Designer Shutter Data'!$GA$2,IF(M10='Designer Shutter Data'!$F$7,'Designer Shutter Data'!$FY$2, IF(M10='Designer Shutter Data'!$F$8,'Designer Shutter Data'!$FZ$7, IF(M10='Designer Shutter Data'!$F$14,'Designer Shutter Data'!$FZ$14)))))))</f>
        <v>0</v>
      </c>
      <c r="DF10" s="6" t="e">
        <f>VLOOKUP(M10,'Designer Shutter Data'!$M$2:$N$8,2,FALSE)</f>
        <v>#N/A</v>
      </c>
      <c r="DH10" s="123" t="e">
        <f>VLOOKUP(O10,'Designer Shutter Data'!$IN$2:$IO$169,2,FALSE)</f>
        <v>#N/A</v>
      </c>
      <c r="DI10" s="103" t="e">
        <f t="shared" si="29"/>
        <v>#N/A</v>
      </c>
      <c r="DJ10" s="103" t="e">
        <f t="shared" ref="DJ10:DJ23" si="44">IF(DI10=0,"OK", "Layout Code &amp; T Post Quantity Issue")</f>
        <v>#N/A</v>
      </c>
      <c r="DK10" s="7" t="b">
        <f>IF(P10='Designer Shutter Data'!$GC$2,'Designer Shutter Data'!$GD$2,IF(P10='Designer Shutter Data'!$GC$3,'Designer Shutter Data'!$GE$2,IF(P10='Designer Shutter Data'!$GC$4,'Designer Shutter Data'!$GF$2,IF(P10='Designer Shutter Data'!$GC$5,'Designer Shutter Data'!$GG$2,IF(P10='Designer Shutter Data'!$GC$6,'Designer Shutter Data'!$GH$2,IF(P10='Designer Shutter Data'!$GC$7,'Designer Shutter Data'!$GI$2,IF(P10='Designer Shutter Data'!$GC$8,'Designer Shutter Data'!$GJ$2,IF(P10='Designer Shutter Data'!$GC$9,'Designer Shutter Data'!$GK$2,IF(P10='Designer Shutter Data'!$GC$10,'Designer Shutter Data'!$GL$2,IF(P10='Designer Shutter Data'!$GC$11,'Designer Shutter Data'!$GM$2,IF(P10='Designer Shutter Data'!$GC$12,'Designer Shutter Data'!$GN$2,IF(P10='Designer Shutter Data'!$GC$13,'Designer Shutter Data'!$GO$2,IF(P10='Designer Shutter Data'!$GC$14,'Designer Shutter Data'!$GP$2,IF(P10='Designer Shutter Data'!$GC$15,'Designer Shutter Data'!$GD$15,IF(P10='Designer Shutter Data'!$GC$16,'Designer Shutter Data'!$GE$15,IF(P10='Designer Shutter Data'!$GC$17,'Designer Shutter Data'!$GF$15,IF(P10='Designer Shutter Data'!$GC$18,'Designer Shutter Data'!$GG$15,IF(P10='Designer Shutter Data'!$GC$19,'Designer Shutter Data'!$GD$73,IF(P10='Designer Shutter Data'!$GC$20,'Designer Shutter Data'!$GD$88, IF(P10='Designer Shutter Data'!$GC$21,'Designer Shutter Data'!$GH$15, IF(P10='Designer Shutter Data'!$GC$22,'Designer Shutter Data'!$GJ$2, IF(P10='Designer Shutter Data'!$GC$23,'Designer Shutter Data'!$GL$2))))))))))))))))))))))</f>
        <v>0</v>
      </c>
      <c r="DL10" s="7" t="b">
        <f>IF(P10='Designer Shutter Data'!$GC$2,'Designer Shutter Data'!$GD$25,IF(P10='Designer Shutter Data'!$GC$3,'Designer Shutter Data'!$GE$25,IF(P10='Designer Shutter Data'!$GC$4,'Designer Shutter Data'!$GF$25,IF(P10='Designer Shutter Data'!$GC$5,'Designer Shutter Data'!$GG$25,IF(P10='Designer Shutter Data'!$GC$6,'Designer Shutter Data'!$GH$25,IF(P10='Designer Shutter Data'!$GC$7,'Designer Shutter Data'!$GI$25,IF(P10='Designer Shutter Data'!$GC$8,'Designer Shutter Data'!$GJ$25,IF(P10='Designer Shutter Data'!$GC$9,'Designer Shutter Data'!$GK$25,IF(P10='Designer Shutter Data'!$GC$10,'Designer Shutter Data'!$GL$25,IF(P10='Designer Shutter Data'!$GC$11,'Designer Shutter Data'!$GM$25,IF(P10='Designer Shutter Data'!$GC$12,'Designer Shutter Data'!$GN$25,IF(P10='Designer Shutter Data'!$GC$13,'Designer Shutter Data'!$GO$25,IF(P10='Designer Shutter Data'!$GC$14,'Designer Shutter Data'!$GP$25,IF(P10='Designer Shutter Data'!$GC$15,'Designer Shutter Data'!$GD$37,IF(P10='Designer Shutter Data'!$GC$15,'Designer Shutter Data'!$GD$37,IF(P10='Designer Shutter Data'!$GC$16,'Designer Shutter Data'!$GE$37,IF(P10='Designer Shutter Data'!$GC$17,'Designer Shutter Data'!$GF$37,IF(P10='Designer Shutter Data'!$GC$18,'Designer Shutter Data'!$GG$37, IF(P10='Designer Shutter Data'!$GC$19,'Designer Shutter Data'!$GD$73, IF(P10='Designer Shutter Data'!$GC$20,'Designer Shutter Data'!$GE$88, IF(P10='Designer Shutter Data'!$GC$21,'Designer Shutter Data'!$GH$37,IF(P10='Designer Shutter Data'!$GC$22,'Designer Shutter Data'!$GJ$25,IF(P10='Designer Shutter Data'!$GC$23,'Designer Shutter Data'!$GL$25)))))))))))))))))))))))</f>
        <v>0</v>
      </c>
      <c r="DM10" s="118" t="b">
        <f>IF(P10='Designer Shutter Data'!$GC$2,'Designer Shutter Data'!$GD$47,IF(P10='Designer Shutter Data'!$GC$3,'Designer Shutter Data'!$GE$47,IF(P10='Designer Shutter Data'!$GC$4,'Designer Shutter Data'!$GF$47,IF(P10='Designer Shutter Data'!$GC$5,'Designer Shutter Data'!$GG$47,IF(P10='Designer Shutter Data'!$GC$6,'Designer Shutter Data'!$GH$47,IF(P10='Designer Shutter Data'!$GC$7,'Designer Shutter Data'!$GI$47,IF(P10='Designer Shutter Data'!$GC$8,'Designer Shutter Data'!$GJ$47,IF(P10='Designer Shutter Data'!$GC$9,'Designer Shutter Data'!$GK$47,IF(P10='Designer Shutter Data'!$GC$10,'Designer Shutter Data'!$GL$47,IF(P10='Designer Shutter Data'!$GC$11,'Designer Shutter Data'!$GM$47,IF(P10='Designer Shutter Data'!$GC$12,'Designer Shutter Data'!$GN$47,IF(P10='Designer Shutter Data'!$GC$13,'Designer Shutter Data'!$GO$47,IF(P10='Designer Shutter Data'!$GC$14,'Designer Shutter Data'!$GP$47, IF(P10='Designer Shutter Data'!$GC$19,'Designer Shutter Data'!$GD$73, IF(P10='Designer Shutter Data'!$GC$20,'Designer Shutter Data'!$GF$88, IF(M10='Designer Shutter Data'!$F$5,'Designer Shutter Data'!$GE$59, IF(M10='Designer Shutter Data'!$F$6,'Designer Shutter Data'!$GD$59, IF(P10='Designer Shutter Data'!$GC$21,'Designer Shutter Data'!$GF$59,IF(P10='Designer Shutter Data'!$GC$22,'Designer Shutter Data'!$GJ$47,IF(P10='Designer Shutter Data'!$GC$23,'Designer Shutter Data'!$GL$47))))))))))))))))))))</f>
        <v>0</v>
      </c>
      <c r="DN10" s="107" t="str">
        <f t="shared" ref="DN10:DN23" si="45">IF(COUNTIF(BK10:BM10,$DN$7),"Required","")</f>
        <v/>
      </c>
      <c r="DO10" s="107" t="e">
        <f t="shared" ref="DO10:DO23" si="46">IF(OR(AND(DJ10="Layout Code &amp; T Post Quantity Issue"), AND(DN10="Required")),"Yes","No")</f>
        <v>#N/A</v>
      </c>
      <c r="DP10" s="107" t="str">
        <f t="shared" si="30"/>
        <v>OK</v>
      </c>
      <c r="DQ10" s="107" t="str">
        <f t="shared" si="31"/>
        <v>OK</v>
      </c>
      <c r="DR10" s="107" t="str">
        <f t="shared" si="32"/>
        <v>OK</v>
      </c>
      <c r="DS10" s="107" t="str">
        <f t="shared" si="33"/>
        <v>OK</v>
      </c>
      <c r="DT10" s="7" t="b">
        <f>IF(E10='Designer Shutter Data'!$GV$2,'Designer Shutter Data'!$GW$2,IF(E10='Designer Shutter Data'!$GV$3,'Designer Shutter Data'!$GX$2,IF(E10='Designer Shutter Data'!$GV$4,'Designer Shutter Data'!$GY$2)))</f>
        <v>0</v>
      </c>
      <c r="DU10" s="40" t="e">
        <f>MATCH(E10,'Designer Shutter Data'!$HB$1:$HD$1,0)</f>
        <v>#N/A</v>
      </c>
      <c r="DV10" s="40" t="e">
        <f>MATCH(M10,'Designer Shutter Data'!$HA$2:$HA$8,0)</f>
        <v>#N/A</v>
      </c>
      <c r="DW10" s="11" t="e">
        <f>INDEX('Designer Shutter Data'!$HB$2:$HD$8,DV10,DU10)</f>
        <v>#N/A</v>
      </c>
      <c r="DX10" s="11" t="b">
        <f>IF(E10='Designer Shutter Data'!$IG$1,'Designer Shutter Data'!$IG$2,IF(E10='Designer Shutter Data'!$IH$1,'Designer Shutter Data'!$IH$2, IF(E10='Designer Shutter Data'!$II$1,'Designer Shutter Data'!$II$2)))</f>
        <v>0</v>
      </c>
      <c r="DY10" s="11" t="str">
        <f>IF(E10="MS",'Designer Shutter Data'!$BI$2,IF(G10='Designer Shutter Data'!$BJ$34,'Designer Shutter Data'!$BJ$35,'Designer Shutter Data'!$BJ$2))</f>
        <v>FauxwoodDesignerWindowType</v>
      </c>
      <c r="DZ10" s="118" t="b">
        <f>IF(M10='Designer Shutter Data'!$F$3,'Designer Shutter Data'!$GF$88, IF(M10='Designer Shutter Data'!$F$4,'Designer Shutter Data'!$GE$59, IF(M10='Designer Shutter Data'!$F$5,'Designer Shutter Data'!$GD$59, IF(M10='Designer Shutter Data'!$F$6,'Designer Shutter Data'!$GD$59, IF(M10='Designer Shutter Data'!$F$7,'Designer Shutter Data'!$GD$73)))))</f>
        <v>0</v>
      </c>
      <c r="EA10" s="40"/>
      <c r="EB10" s="6" t="b">
        <f>IF(M10='Designer Shutter Data'!$IT$2,'Designer Shutter Data'!$JA$2, IF(M10='Designer Shutter Data'!$IT$3,'Designer Shutter Data'!$JC$2, IF(M10='Designer Shutter Data'!$IT$4,'Designer Shutter Data'!$JE$2, IF(M10='Designer Shutter Data'!$IT$5,'Designer Shutter Data'!$JG$2, IF(M10='Designer Shutter Data'!$IT$6,'Designer Shutter Data'!$JI$2, IF(M10='Designer Shutter Data'!$IT$7,'Designer Shutter Data'!$JZ$2, IF(M10='Designer Shutter Data'!$IT$8,'Designer Shutter Data'!$JI$16)))))))</f>
        <v>0</v>
      </c>
      <c r="EC10" s="6" t="str">
        <f t="shared" si="34"/>
        <v>NoHighlight</v>
      </c>
      <c r="ED10" s="7" t="e">
        <f>VLOOKUP(M10,'Designer Shutter Data'!$JW$5:$JX$10,2,FALSE)</f>
        <v>#N/A</v>
      </c>
      <c r="EE10" s="7" t="e">
        <f t="shared" si="35"/>
        <v>#N/A</v>
      </c>
      <c r="EF10" s="118" t="e">
        <f>VLOOKUP(O10,'Designer Shutter Data'!$AO$3:$AQ$171,1,FALSE)</f>
        <v>#N/A</v>
      </c>
      <c r="EG10" s="7" t="e">
        <f t="shared" si="36"/>
        <v>#N/A</v>
      </c>
      <c r="EH10" s="6" t="str">
        <f t="shared" si="37"/>
        <v/>
      </c>
      <c r="EJ10" s="40" t="e">
        <f>MATCH(M10,'Designer Shutter Data'!$KD$1:$KI$1,0)</f>
        <v>#N/A</v>
      </c>
      <c r="EK10" s="40" t="e">
        <f>MATCH(P10,'Designer Shutter Data'!$KC$2:$KC$21,0)</f>
        <v>#N/A</v>
      </c>
      <c r="EL10" s="136" t="e">
        <f>INDEX('Designer Shutter Data'!$KD$2:$KI$21,EK10,EJ10)</f>
        <v>#N/A</v>
      </c>
      <c r="EM10" s="73">
        <f>IF(COUNT(#REF!)&gt;0,2,0)</f>
        <v>0</v>
      </c>
      <c r="EN10" s="73" t="s">
        <v>777</v>
      </c>
      <c r="EO10" s="6" t="s">
        <v>823</v>
      </c>
      <c r="EP10" s="6" t="str">
        <f>IF(AC10&lt;&gt;$EO$4,'Designer Shutter Data'!$BR$2,'Designer Shutter Data'!$BR$9)</f>
        <v>Fluffy_Strip_Fauxwood</v>
      </c>
      <c r="ER10" s="6" t="str">
        <f>IF(G10='Designer Shutter Data'!$E$26,'Designer Shutter Data'!$E$27,IF(G10='Designer Shutter Data'!$E$37,'Designer Shutter Data'!$E$38,'Designer Shutter Data'!$E$2))</f>
        <v>FauxwoodDesignerBladeSize</v>
      </c>
      <c r="ET10" s="6" t="str">
        <f t="shared" ref="ET10:ET23" si="47">IF(G10=$EU$7,$EU$8,$EO$8)</f>
        <v>Stile T Post</v>
      </c>
      <c r="EW10" s="40" t="e">
        <f>MATCH(G10,'Designer Shutter Data'!$AV$27:$AV$30,0)</f>
        <v>#N/A</v>
      </c>
      <c r="EX10" s="40" t="e">
        <f>MATCH(AC10,'Designer Shutter Data'!$AW$26:$AX$26,0)</f>
        <v>#N/A</v>
      </c>
      <c r="EY10" s="136" t="e">
        <f>INDEX('Designer Shutter Data'!$AW$27:$AX$30,EW10,EX10)</f>
        <v>#N/A</v>
      </c>
      <c r="EZ10" s="6" t="str">
        <f>IF(G10='Designer Shutter Data'!$S$15,'Designer Shutter Data'!$S$16, IF(G10=$FB$7,'Designer Shutter Data'!$T$15,'Designer Shutter Data'!$S$2))</f>
        <v>FauxwoodDesignerTiltrod</v>
      </c>
      <c r="FA10" s="6" t="e">
        <f>IF(G10=$FB$7,"No",VLOOKUP(L10,'Designer Shutter Data'!$BJ$62:$BK$75,2,FALSE))</f>
        <v>#N/A</v>
      </c>
      <c r="FB10" s="6" t="e">
        <f>IF(FA10="Yes", 'Designer Shutter Data'!$T$2,IF(G10=$FB$7,'Designer Shutter Data'!$T$15,'Designer Shutters Page 3'!EZ10))</f>
        <v>#N/A</v>
      </c>
      <c r="FC10" s="6" t="e">
        <f>MATCH(G10,'Designer Shutter Data'!$IG$15:$IJ$15,0)</f>
        <v>#N/A</v>
      </c>
      <c r="FD10" s="6" t="e">
        <f>MATCH(E10,'Designer Shutter Data'!$IF$16:$IF$18,0)</f>
        <v>#N/A</v>
      </c>
      <c r="FE10" s="6" t="e">
        <f>INDEX('Designer Shutter Data'!$IG$16:$IJ$18, 'Designer Shutters Page 3'!FD10, 'Designer Shutters Page 3'!FC10)</f>
        <v>#N/A</v>
      </c>
      <c r="FH10" s="6" t="str">
        <f t="shared" ref="FH10:FH23" si="48">IF(M10=$FH$2,$FH$3,$FI$3)</f>
        <v>SlidingSystemNA</v>
      </c>
      <c r="FJ10" s="6" t="e">
        <f>VLOOKUP(O10,'Designer Shutter Data'!$KP$2:$KR$44,3,FALSE)</f>
        <v>#N/A</v>
      </c>
      <c r="FL10" s="11" t="b">
        <f>IF(N10=$FL$7,'Designer Shutter Data'!$GH$98,DM10)</f>
        <v>0</v>
      </c>
    </row>
    <row r="11" spans="1:168" ht="36.75" customHeight="1" x14ac:dyDescent="0.2">
      <c r="A11" s="50">
        <v>3</v>
      </c>
      <c r="B11" s="51"/>
      <c r="C11" s="44"/>
      <c r="D11" s="31"/>
      <c r="E11" s="31"/>
      <c r="F11" s="31"/>
      <c r="G11" s="43"/>
      <c r="H11" s="234"/>
      <c r="I11" s="235"/>
      <c r="J11" s="44"/>
      <c r="K11" s="45"/>
      <c r="L11" s="45"/>
      <c r="M11" s="45"/>
      <c r="N11" s="45"/>
      <c r="O11" s="45"/>
      <c r="P11" s="236"/>
      <c r="Q11" s="236"/>
      <c r="R11" s="43"/>
      <c r="S11" s="43"/>
      <c r="T11" s="43"/>
      <c r="U11" s="43"/>
      <c r="V11" s="45"/>
      <c r="W11" s="45"/>
      <c r="X11" s="43"/>
      <c r="Y11" s="46"/>
      <c r="Z11" s="47"/>
      <c r="AA11" s="47"/>
      <c r="AB11" s="47"/>
      <c r="AC11" s="44"/>
      <c r="AD11" s="44"/>
      <c r="AE11" s="48" t="str">
        <f t="shared" si="0"/>
        <v/>
      </c>
      <c r="AI11" s="6">
        <f t="shared" si="38"/>
        <v>0</v>
      </c>
      <c r="AJ11" s="6">
        <f t="shared" si="39"/>
        <v>0</v>
      </c>
      <c r="AK11" s="6">
        <f>IF(O11&lt;&gt;"",VLOOKUP(O11,'Designer Shutter Data'!$KP$2:$KQ$44,2,FALSE),0)</f>
        <v>0</v>
      </c>
      <c r="AT11" s="49" t="str">
        <f t="shared" si="1"/>
        <v/>
      </c>
      <c r="AV11" s="6" t="str">
        <f>IF(G11=$AV$7,'Designer Shutter Data'!$D$38,'Designer Shutter Data'!$D$2)</f>
        <v>FauxwoodDesignerColour</v>
      </c>
      <c r="AW11" s="130" t="e">
        <f t="shared" si="40"/>
        <v>#N/A</v>
      </c>
      <c r="AX11" s="130" t="e">
        <f>VLOOKUP(M11,'Designer Shutter Data'!$JK$2:$JL$7,2,FALSE)</f>
        <v>#N/A</v>
      </c>
      <c r="AY11" s="38" t="b">
        <v>0</v>
      </c>
      <c r="AZ11" s="38" t="str">
        <f t="shared" si="2"/>
        <v>No</v>
      </c>
      <c r="BA11" s="38" t="e">
        <f t="shared" si="3"/>
        <v>#DIV/0!</v>
      </c>
      <c r="BB11" s="38" t="e">
        <f t="shared" si="4"/>
        <v>#DIV/0!</v>
      </c>
      <c r="BC11" s="38" t="e">
        <f t="shared" si="5"/>
        <v>#DIV/0!</v>
      </c>
      <c r="BD11" s="38" t="str">
        <f t="shared" si="6"/>
        <v>No</v>
      </c>
      <c r="BE11" s="38" t="e">
        <f>IF(OR(AND(C11&gt;0,#REF!="")), "Required","NotRequired")</f>
        <v>#REF!</v>
      </c>
      <c r="BF11" s="38" t="b">
        <v>0</v>
      </c>
      <c r="BG11" s="38" t="e">
        <f t="shared" si="41"/>
        <v>#DIV/0!</v>
      </c>
      <c r="BH11" s="39" t="str">
        <f t="shared" si="7"/>
        <v>NoHighlight</v>
      </c>
      <c r="BI11" s="38" t="str">
        <f t="shared" si="8"/>
        <v>FauxwoodRPNo</v>
      </c>
      <c r="BJ11" s="110" t="str">
        <f>IF(SUM(--ISNUMBER(SEARCH({"t","T"}, O11))),"Yes","No")</f>
        <v>No</v>
      </c>
      <c r="BK11" s="127" t="str">
        <f t="shared" si="9"/>
        <v>OK</v>
      </c>
      <c r="BL11" s="127" t="str">
        <f t="shared" si="10"/>
        <v>OK</v>
      </c>
      <c r="BM11" s="127" t="str">
        <f t="shared" si="11"/>
        <v>OK</v>
      </c>
      <c r="BN11" s="39" t="str">
        <f t="shared" si="12"/>
        <v>OK</v>
      </c>
      <c r="BO11" s="39" t="str">
        <f t="shared" si="13"/>
        <v>FauxwoodAINo</v>
      </c>
      <c r="BP11" s="39" t="str">
        <f>IF(SUM(--ISNUMBER(SEARCH({"combo","Combo","COMBO"}, B28))),"Yes","No")</f>
        <v>No</v>
      </c>
      <c r="BQ11" s="39" t="str">
        <f t="shared" si="42"/>
        <v>No</v>
      </c>
      <c r="BR11" s="39" t="str">
        <f>IF(SUM(--ISNUMBER(SEARCH({"c","C","b","B"}, L11))),"Yes","No")</f>
        <v>No</v>
      </c>
      <c r="BS11" s="11">
        <f t="shared" si="14"/>
        <v>0</v>
      </c>
      <c r="BT11" s="11" t="s">
        <v>820</v>
      </c>
      <c r="BU11" s="11" t="s">
        <v>820</v>
      </c>
      <c r="BV11" s="40">
        <f t="shared" si="15"/>
        <v>0</v>
      </c>
      <c r="BW11" s="40">
        <f t="shared" si="16"/>
        <v>0</v>
      </c>
      <c r="BX11" s="11" t="e">
        <f t="shared" si="17"/>
        <v>#DIV/0!</v>
      </c>
      <c r="BY11" s="11" t="b">
        <v>0</v>
      </c>
      <c r="BZ11" s="11" t="b">
        <v>0</v>
      </c>
      <c r="CA11" s="11" t="e">
        <v>#REF!</v>
      </c>
      <c r="CB11" s="11" t="s">
        <v>82</v>
      </c>
      <c r="CC11" s="11" t="e">
        <f t="shared" si="18"/>
        <v>#DIV/0!</v>
      </c>
      <c r="CD11" s="11" t="e">
        <f>VLOOKUP(P11,'Designer Shutter Data'!$H$3:$I$19,2,FALSE)</f>
        <v>#N/A</v>
      </c>
      <c r="CE11" s="11" t="s">
        <v>820</v>
      </c>
      <c r="CF11" s="11" t="str">
        <f>IF(SUM(--ISNUMBER(SEARCH({"z","Z"}, P11))),"Yes","No")</f>
        <v>No</v>
      </c>
      <c r="CG11" s="11" t="str">
        <f t="shared" si="19"/>
        <v>OK</v>
      </c>
      <c r="CH11" s="11">
        <f t="shared" si="20"/>
        <v>0</v>
      </c>
      <c r="CI11" s="120" t="e">
        <f>IF(O11="N/A","N/A",VLOOKUP(O11,'Designer Shutter Data'!$AO$3:$AP$171,2,FALSE))</f>
        <v>#N/A</v>
      </c>
      <c r="CJ11" s="120" t="e">
        <f t="shared" si="21"/>
        <v>#N/A</v>
      </c>
      <c r="CK11" s="40"/>
      <c r="CL11" s="40" t="s">
        <v>487</v>
      </c>
      <c r="CM11" s="40" t="str">
        <f>IF(COUNTIF(L9:L23,'Designer Shutter Data'!BJ6)+COUNTIF(L9:L23,'Designer Shutter Data'!BJ51)+COUNTIF(L9:L23,'Designer Shutter Data'!BJ8)+COUNTIF(L9:L23,'Designer Shutter Data'!BJ9)+COUNTIF(L9:L23,'Designer Shutter Data'!BJ11)+COUNTIF(L9:L23,'Designer Shutter Data'!BJ12)+COUNTIF(L9:L23,'Designer Shutter Data'!BJ15),'Designer Shutter Data'!BL8,"")</f>
        <v/>
      </c>
      <c r="CN11" s="41" t="str">
        <f t="shared" si="22"/>
        <v>OK</v>
      </c>
      <c r="CO11" s="129" t="b">
        <f t="shared" si="23"/>
        <v>0</v>
      </c>
      <c r="CP11" s="129" t="b">
        <f t="shared" si="24"/>
        <v>0</v>
      </c>
      <c r="CQ11" s="40">
        <f t="shared" si="25"/>
        <v>0</v>
      </c>
      <c r="CR11" s="133">
        <f t="shared" si="26"/>
        <v>0</v>
      </c>
      <c r="CS11" s="40">
        <f t="shared" si="43"/>
        <v>0</v>
      </c>
      <c r="CT11" s="133" t="e">
        <f t="shared" si="27"/>
        <v>#N/A</v>
      </c>
      <c r="CU11" s="11" t="b">
        <v>0</v>
      </c>
      <c r="CV11" s="11" t="b">
        <v>0</v>
      </c>
      <c r="CW11" s="11" t="b">
        <v>0</v>
      </c>
      <c r="CX11" s="11" t="b">
        <v>0</v>
      </c>
      <c r="CY11" s="40" t="e">
        <f>IF(OR(AND(#REF!&gt;0,#REF!="")), "Error","OK")</f>
        <v>#REF!</v>
      </c>
      <c r="CZ11" s="11" t="e">
        <v>#REF!</v>
      </c>
      <c r="DA11" s="6" t="str">
        <f t="shared" si="28"/>
        <v/>
      </c>
      <c r="DD11" s="6" t="s">
        <v>84</v>
      </c>
      <c r="DE11" s="6" t="b">
        <f>IF(M11='Designer Shutter Data'!$F$3,'Designer Shutter Data'!$FY$7,IF(M11='Designer Shutter Data'!$F$4,'Designer Shutter Data'!$FZ$2,IF(M11='Designer Shutter Data'!$F$5,FJ11, IF(M11='Designer Shutter Data'!$F$6,'Designer Shutter Data'!$GA$2,IF(M11='Designer Shutter Data'!$F$7,'Designer Shutter Data'!$FY$2, IF(M11='Designer Shutter Data'!$F$8,'Designer Shutter Data'!$FZ$7, IF(M11='Designer Shutter Data'!$F$14,'Designer Shutter Data'!$FZ$14)))))))</f>
        <v>0</v>
      </c>
      <c r="DF11" s="6" t="e">
        <f>VLOOKUP(M11,'Designer Shutter Data'!$M$2:$N$8,2,FALSE)</f>
        <v>#N/A</v>
      </c>
      <c r="DH11" s="123" t="e">
        <f>VLOOKUP(O11,'Designer Shutter Data'!$IN$2:$IO$169,2,FALSE)</f>
        <v>#N/A</v>
      </c>
      <c r="DI11" s="103" t="e">
        <f t="shared" si="29"/>
        <v>#N/A</v>
      </c>
      <c r="DJ11" s="103" t="e">
        <f t="shared" si="44"/>
        <v>#N/A</v>
      </c>
      <c r="DK11" s="7" t="b">
        <f>IF(P11='Designer Shutter Data'!$GC$2,'Designer Shutter Data'!$GD$2,IF(P11='Designer Shutter Data'!$GC$3,'Designer Shutter Data'!$GE$2,IF(P11='Designer Shutter Data'!$GC$4,'Designer Shutter Data'!$GF$2,IF(P11='Designer Shutter Data'!$GC$5,'Designer Shutter Data'!$GG$2,IF(P11='Designer Shutter Data'!$GC$6,'Designer Shutter Data'!$GH$2,IF(P11='Designer Shutter Data'!$GC$7,'Designer Shutter Data'!$GI$2,IF(P11='Designer Shutter Data'!$GC$8,'Designer Shutter Data'!$GJ$2,IF(P11='Designer Shutter Data'!$GC$9,'Designer Shutter Data'!$GK$2,IF(P11='Designer Shutter Data'!$GC$10,'Designer Shutter Data'!$GL$2,IF(P11='Designer Shutter Data'!$GC$11,'Designer Shutter Data'!$GM$2,IF(P11='Designer Shutter Data'!$GC$12,'Designer Shutter Data'!$GN$2,IF(P11='Designer Shutter Data'!$GC$13,'Designer Shutter Data'!$GO$2,IF(P11='Designer Shutter Data'!$GC$14,'Designer Shutter Data'!$GP$2,IF(P11='Designer Shutter Data'!$GC$15,'Designer Shutter Data'!$GD$15,IF(P11='Designer Shutter Data'!$GC$16,'Designer Shutter Data'!$GE$15,IF(P11='Designer Shutter Data'!$GC$17,'Designer Shutter Data'!$GF$15,IF(P11='Designer Shutter Data'!$GC$18,'Designer Shutter Data'!$GG$15,IF(P11='Designer Shutter Data'!$GC$19,'Designer Shutter Data'!$GD$73,IF(P11='Designer Shutter Data'!$GC$20,'Designer Shutter Data'!$GD$88, IF(P11='Designer Shutter Data'!$GC$21,'Designer Shutter Data'!$GH$15, IF(P11='Designer Shutter Data'!$GC$22,'Designer Shutter Data'!$GJ$2, IF(P11='Designer Shutter Data'!$GC$23,'Designer Shutter Data'!$GL$2))))))))))))))))))))))</f>
        <v>0</v>
      </c>
      <c r="DL11" s="7" t="b">
        <f>IF(P11='Designer Shutter Data'!$GC$2,'Designer Shutter Data'!$GD$25,IF(P11='Designer Shutter Data'!$GC$3,'Designer Shutter Data'!$GE$25,IF(P11='Designer Shutter Data'!$GC$4,'Designer Shutter Data'!$GF$25,IF(P11='Designer Shutter Data'!$GC$5,'Designer Shutter Data'!$GG$25,IF(P11='Designer Shutter Data'!$GC$6,'Designer Shutter Data'!$GH$25,IF(P11='Designer Shutter Data'!$GC$7,'Designer Shutter Data'!$GI$25,IF(P11='Designer Shutter Data'!$GC$8,'Designer Shutter Data'!$GJ$25,IF(P11='Designer Shutter Data'!$GC$9,'Designer Shutter Data'!$GK$25,IF(P11='Designer Shutter Data'!$GC$10,'Designer Shutter Data'!$GL$25,IF(P11='Designer Shutter Data'!$GC$11,'Designer Shutter Data'!$GM$25,IF(P11='Designer Shutter Data'!$GC$12,'Designer Shutter Data'!$GN$25,IF(P11='Designer Shutter Data'!$GC$13,'Designer Shutter Data'!$GO$25,IF(P11='Designer Shutter Data'!$GC$14,'Designer Shutter Data'!$GP$25,IF(P11='Designer Shutter Data'!$GC$15,'Designer Shutter Data'!$GD$37,IF(P11='Designer Shutter Data'!$GC$15,'Designer Shutter Data'!$GD$37,IF(P11='Designer Shutter Data'!$GC$16,'Designer Shutter Data'!$GE$37,IF(P11='Designer Shutter Data'!$GC$17,'Designer Shutter Data'!$GF$37,IF(P11='Designer Shutter Data'!$GC$18,'Designer Shutter Data'!$GG$37, IF(P11='Designer Shutter Data'!$GC$19,'Designer Shutter Data'!$GD$73, IF(P11='Designer Shutter Data'!$GC$20,'Designer Shutter Data'!$GE$88, IF(P11='Designer Shutter Data'!$GC$21,'Designer Shutter Data'!$GH$37,IF(P11='Designer Shutter Data'!$GC$22,'Designer Shutter Data'!$GJ$25,IF(P11='Designer Shutter Data'!$GC$23,'Designer Shutter Data'!$GL$25)))))))))))))))))))))))</f>
        <v>0</v>
      </c>
      <c r="DM11" s="118" t="b">
        <f>IF(P11='Designer Shutter Data'!$GC$2,'Designer Shutter Data'!$GD$47,IF(P11='Designer Shutter Data'!$GC$3,'Designer Shutter Data'!$GE$47,IF(P11='Designer Shutter Data'!$GC$4,'Designer Shutter Data'!$GF$47,IF(P11='Designer Shutter Data'!$GC$5,'Designer Shutter Data'!$GG$47,IF(P11='Designer Shutter Data'!$GC$6,'Designer Shutter Data'!$GH$47,IF(P11='Designer Shutter Data'!$GC$7,'Designer Shutter Data'!$GI$47,IF(P11='Designer Shutter Data'!$GC$8,'Designer Shutter Data'!$GJ$47,IF(P11='Designer Shutter Data'!$GC$9,'Designer Shutter Data'!$GK$47,IF(P11='Designer Shutter Data'!$GC$10,'Designer Shutter Data'!$GL$47,IF(P11='Designer Shutter Data'!$GC$11,'Designer Shutter Data'!$GM$47,IF(P11='Designer Shutter Data'!$GC$12,'Designer Shutter Data'!$GN$47,IF(P11='Designer Shutter Data'!$GC$13,'Designer Shutter Data'!$GO$47,IF(P11='Designer Shutter Data'!$GC$14,'Designer Shutter Data'!$GP$47, IF(P11='Designer Shutter Data'!$GC$19,'Designer Shutter Data'!$GD$73, IF(P11='Designer Shutter Data'!$GC$20,'Designer Shutter Data'!$GF$88, IF(M11='Designer Shutter Data'!$F$5,'Designer Shutter Data'!$GE$59, IF(M11='Designer Shutter Data'!$F$6,'Designer Shutter Data'!$GD$59, IF(P11='Designer Shutter Data'!$GC$21,'Designer Shutter Data'!$GF$59,IF(P11='Designer Shutter Data'!$GC$22,'Designer Shutter Data'!$GJ$47,IF(P11='Designer Shutter Data'!$GC$23,'Designer Shutter Data'!$GL$47))))))))))))))))))))</f>
        <v>0</v>
      </c>
      <c r="DN11" s="107" t="str">
        <f t="shared" si="45"/>
        <v/>
      </c>
      <c r="DO11" s="107" t="e">
        <f t="shared" si="46"/>
        <v>#N/A</v>
      </c>
      <c r="DP11" s="107" t="str">
        <f t="shared" si="30"/>
        <v>OK</v>
      </c>
      <c r="DQ11" s="107" t="str">
        <f t="shared" si="31"/>
        <v>OK</v>
      </c>
      <c r="DR11" s="107" t="str">
        <f t="shared" si="32"/>
        <v>OK</v>
      </c>
      <c r="DS11" s="107" t="str">
        <f t="shared" si="33"/>
        <v>OK</v>
      </c>
      <c r="DT11" s="7" t="b">
        <f>IF(E11='Designer Shutter Data'!$GV$2,'Designer Shutter Data'!$GW$2,IF(E11='Designer Shutter Data'!$GV$3,'Designer Shutter Data'!$GX$2,IF(E11='Designer Shutter Data'!$GV$4,'Designer Shutter Data'!$GY$2)))</f>
        <v>0</v>
      </c>
      <c r="DU11" s="40" t="e">
        <f>MATCH(E11,'Designer Shutter Data'!$HB$1:$HD$1,0)</f>
        <v>#N/A</v>
      </c>
      <c r="DV11" s="40" t="e">
        <f>MATCH(M11,'Designer Shutter Data'!$HA$2:$HA$8,0)</f>
        <v>#N/A</v>
      </c>
      <c r="DW11" s="11" t="e">
        <f>INDEX('Designer Shutter Data'!$HB$2:$HD$8,DV11,DU11)</f>
        <v>#N/A</v>
      </c>
      <c r="DX11" s="11" t="b">
        <f>IF(E11='Designer Shutter Data'!$IG$1,'Designer Shutter Data'!$IG$2,IF(E11='Designer Shutter Data'!$IH$1,'Designer Shutter Data'!$IH$2, IF(E11='Designer Shutter Data'!$II$1,'Designer Shutter Data'!$II$2)))</f>
        <v>0</v>
      </c>
      <c r="DY11" s="11" t="str">
        <f>IF(E11="MS",'Designer Shutter Data'!$BI$2,IF(G11='Designer Shutter Data'!$BJ$34,'Designer Shutter Data'!$BJ$35,'Designer Shutter Data'!$BJ$2))</f>
        <v>FauxwoodDesignerWindowType</v>
      </c>
      <c r="DZ11" s="118" t="b">
        <f>IF(M11='Designer Shutter Data'!$F$3,'Designer Shutter Data'!$GF$88, IF(M11='Designer Shutter Data'!$F$4,'Designer Shutter Data'!$GE$59, IF(M11='Designer Shutter Data'!$F$5,'Designer Shutter Data'!$GD$59, IF(M11='Designer Shutter Data'!$F$6,'Designer Shutter Data'!$GD$59, IF(M11='Designer Shutter Data'!$F$7,'Designer Shutter Data'!$GD$73)))))</f>
        <v>0</v>
      </c>
      <c r="EA11" s="40" t="str">
        <f>EA9&amp;"       "&amp;EA6</f>
        <v xml:space="preserve">                    </v>
      </c>
      <c r="EB11" s="6" t="b">
        <f>IF(M11='Designer Shutter Data'!$IT$2,'Designer Shutter Data'!$JA$2, IF(M11='Designer Shutter Data'!$IT$3,'Designer Shutter Data'!$JC$2, IF(M11='Designer Shutter Data'!$IT$4,'Designer Shutter Data'!$JE$2, IF(M11='Designer Shutter Data'!$IT$5,'Designer Shutter Data'!$JG$2, IF(M11='Designer Shutter Data'!$IT$6,'Designer Shutter Data'!$JI$2, IF(M11='Designer Shutter Data'!$IT$7,'Designer Shutter Data'!$JZ$2, IF(M11='Designer Shutter Data'!$IT$8,'Designer Shutter Data'!$JI$16)))))))</f>
        <v>0</v>
      </c>
      <c r="EC11" s="6" t="str">
        <f t="shared" si="34"/>
        <v>NoHighlight</v>
      </c>
      <c r="ED11" s="7" t="e">
        <f>VLOOKUP(M11,'Designer Shutter Data'!$JW$5:$JX$10,2,FALSE)</f>
        <v>#N/A</v>
      </c>
      <c r="EE11" s="7" t="e">
        <f t="shared" si="35"/>
        <v>#N/A</v>
      </c>
      <c r="EF11" s="118" t="e">
        <f>VLOOKUP(O11,'Designer Shutter Data'!$AO$3:$AQ$171,1,FALSE)</f>
        <v>#N/A</v>
      </c>
      <c r="EG11" s="7" t="e">
        <f t="shared" si="36"/>
        <v>#N/A</v>
      </c>
      <c r="EH11" s="6" t="str">
        <f t="shared" si="37"/>
        <v/>
      </c>
      <c r="EJ11" s="40" t="e">
        <f>MATCH(M11,'Designer Shutter Data'!$KD$1:$KI$1,0)</f>
        <v>#N/A</v>
      </c>
      <c r="EK11" s="40" t="e">
        <f>MATCH(P11,'Designer Shutter Data'!$KC$2:$KC$21,0)</f>
        <v>#N/A</v>
      </c>
      <c r="EL11" s="136" t="e">
        <f>INDEX('Designer Shutter Data'!$KD$2:$KI$21,EK11,EJ11)</f>
        <v>#N/A</v>
      </c>
      <c r="EM11" s="73">
        <f>IF(COUNT(#REF!)&gt;0,3,0)</f>
        <v>0</v>
      </c>
      <c r="EN11" s="73" t="s">
        <v>778</v>
      </c>
      <c r="EP11" s="6" t="str">
        <f>IF(AC11&lt;&gt;$EO$4,'Designer Shutter Data'!$BR$2,'Designer Shutter Data'!$BR$9)</f>
        <v>Fluffy_Strip_Fauxwood</v>
      </c>
      <c r="ER11" s="6" t="str">
        <f>IF(G11='Designer Shutter Data'!$E$26,'Designer Shutter Data'!$E$27,IF(G11='Designer Shutter Data'!$E$37,'Designer Shutter Data'!$E$38,'Designer Shutter Data'!$E$2))</f>
        <v>FauxwoodDesignerBladeSize</v>
      </c>
      <c r="ET11" s="6" t="str">
        <f t="shared" si="47"/>
        <v>Stile T Post</v>
      </c>
      <c r="EW11" s="40" t="e">
        <f>MATCH(G11,'Designer Shutter Data'!$AV$27:$AV$30,0)</f>
        <v>#N/A</v>
      </c>
      <c r="EX11" s="40" t="e">
        <f>MATCH(AC11,'Designer Shutter Data'!$AW$26:$AX$26,0)</f>
        <v>#N/A</v>
      </c>
      <c r="EY11" s="136" t="e">
        <f>INDEX('Designer Shutter Data'!$AW$27:$AX$30,EW11,EX11)</f>
        <v>#N/A</v>
      </c>
      <c r="EZ11" s="6" t="str">
        <f>IF(G11='Designer Shutter Data'!$S$15,'Designer Shutter Data'!$S$16, IF(G11=$FB$7,'Designer Shutter Data'!$T$15,'Designer Shutter Data'!$S$2))</f>
        <v>FauxwoodDesignerTiltrod</v>
      </c>
      <c r="FA11" s="6" t="e">
        <f>IF(G11=$FB$7,"No",VLOOKUP(L11,'Designer Shutter Data'!$BJ$62:$BK$75,2,FALSE))</f>
        <v>#N/A</v>
      </c>
      <c r="FB11" s="6" t="e">
        <f>IF(FA11="Yes", 'Designer Shutter Data'!$T$2,IF(G11=$FB$7,'Designer Shutter Data'!$T$15,'Designer Shutters Page 3'!EZ11))</f>
        <v>#N/A</v>
      </c>
      <c r="FC11" s="6" t="e">
        <f>MATCH(G11,'Designer Shutter Data'!$IG$15:$IJ$15,0)</f>
        <v>#N/A</v>
      </c>
      <c r="FD11" s="6" t="e">
        <f>MATCH(E11,'Designer Shutter Data'!$IF$16:$IF$18,0)</f>
        <v>#N/A</v>
      </c>
      <c r="FE11" s="6" t="e">
        <f>INDEX('Designer Shutter Data'!$IG$16:$IJ$18, 'Designer Shutters Page 3'!FD11, 'Designer Shutters Page 3'!FC11)</f>
        <v>#N/A</v>
      </c>
      <c r="FH11" s="6" t="str">
        <f t="shared" si="48"/>
        <v>SlidingSystemNA</v>
      </c>
      <c r="FJ11" s="6" t="e">
        <f>VLOOKUP(O11,'Designer Shutter Data'!$KP$2:$KR$44,3,FALSE)</f>
        <v>#N/A</v>
      </c>
      <c r="FL11" s="11" t="b">
        <f>IF(N11=$FL$7,'Designer Shutter Data'!$GH$98,DM11)</f>
        <v>0</v>
      </c>
    </row>
    <row r="12" spans="1:168" ht="36.75" customHeight="1" x14ac:dyDescent="0.2">
      <c r="A12" s="50">
        <v>4</v>
      </c>
      <c r="B12" s="51"/>
      <c r="C12" s="44"/>
      <c r="D12" s="31"/>
      <c r="E12" s="44"/>
      <c r="F12" s="31"/>
      <c r="G12" s="43"/>
      <c r="H12" s="234"/>
      <c r="I12" s="235"/>
      <c r="J12" s="44"/>
      <c r="K12" s="45"/>
      <c r="L12" s="45"/>
      <c r="M12" s="45"/>
      <c r="N12" s="45"/>
      <c r="O12" s="45"/>
      <c r="P12" s="236"/>
      <c r="Q12" s="236"/>
      <c r="R12" s="43"/>
      <c r="S12" s="43"/>
      <c r="T12" s="43"/>
      <c r="U12" s="43"/>
      <c r="V12" s="45"/>
      <c r="W12" s="45"/>
      <c r="X12" s="43"/>
      <c r="Y12" s="46"/>
      <c r="Z12" s="47"/>
      <c r="AA12" s="47"/>
      <c r="AB12" s="47"/>
      <c r="AC12" s="44"/>
      <c r="AD12" s="44"/>
      <c r="AE12" s="48" t="str">
        <f t="shared" si="0"/>
        <v/>
      </c>
      <c r="AI12" s="6">
        <f t="shared" si="38"/>
        <v>0</v>
      </c>
      <c r="AJ12" s="6">
        <f t="shared" si="39"/>
        <v>0</v>
      </c>
      <c r="AK12" s="6">
        <f>IF(O12&lt;&gt;"",VLOOKUP(O12,'Designer Shutter Data'!$KP$2:$KQ$44,2,FALSE),0)</f>
        <v>0</v>
      </c>
      <c r="AT12" s="49" t="str">
        <f t="shared" si="1"/>
        <v/>
      </c>
      <c r="AV12" s="6" t="str">
        <f>IF(G12=$AV$7,'Designer Shutter Data'!$D$38,'Designer Shutter Data'!$D$2)</f>
        <v>FauxwoodDesignerColour</v>
      </c>
      <c r="AW12" s="130" t="e">
        <f t="shared" si="40"/>
        <v>#N/A</v>
      </c>
      <c r="AX12" s="130" t="e">
        <f>VLOOKUP(M12,'Designer Shutter Data'!$JK$2:$JL$7,2,FALSE)</f>
        <v>#N/A</v>
      </c>
      <c r="AY12" s="38" t="b">
        <v>0</v>
      </c>
      <c r="AZ12" s="38" t="str">
        <f t="shared" si="2"/>
        <v>No</v>
      </c>
      <c r="BA12" s="38" t="e">
        <f t="shared" si="3"/>
        <v>#DIV/0!</v>
      </c>
      <c r="BB12" s="38" t="e">
        <f t="shared" si="4"/>
        <v>#DIV/0!</v>
      </c>
      <c r="BC12" s="38" t="e">
        <f t="shared" si="5"/>
        <v>#DIV/0!</v>
      </c>
      <c r="BD12" s="38" t="str">
        <f t="shared" si="6"/>
        <v>No</v>
      </c>
      <c r="BE12" s="38" t="e">
        <f>IF(OR(AND(C12&gt;0,#REF!="")), "Required","NotRequired")</f>
        <v>#REF!</v>
      </c>
      <c r="BF12" s="38" t="b">
        <v>0</v>
      </c>
      <c r="BG12" s="38" t="e">
        <f t="shared" si="41"/>
        <v>#DIV/0!</v>
      </c>
      <c r="BH12" s="39" t="str">
        <f t="shared" si="7"/>
        <v>NoHighlight</v>
      </c>
      <c r="BI12" s="38" t="str">
        <f t="shared" si="8"/>
        <v>FauxwoodRPNo</v>
      </c>
      <c r="BJ12" s="110" t="str">
        <f>IF(SUM(--ISNUMBER(SEARCH({"t","T"}, O12))),"Yes","No")</f>
        <v>No</v>
      </c>
      <c r="BK12" s="127" t="str">
        <f t="shared" si="9"/>
        <v>OK</v>
      </c>
      <c r="BL12" s="127" t="str">
        <f t="shared" si="10"/>
        <v>OK</v>
      </c>
      <c r="BM12" s="127" t="str">
        <f t="shared" si="11"/>
        <v>OK</v>
      </c>
      <c r="BN12" s="39" t="str">
        <f t="shared" si="12"/>
        <v>OK</v>
      </c>
      <c r="BO12" s="39" t="str">
        <f t="shared" si="13"/>
        <v>FauxwoodAINo</v>
      </c>
      <c r="BP12" s="39" t="str">
        <f>IF(SUM(--ISNUMBER(SEARCH({"combo","Combo","COMBO"}, B29))),"Yes","No")</f>
        <v>No</v>
      </c>
      <c r="BQ12" s="39" t="str">
        <f t="shared" si="42"/>
        <v>No</v>
      </c>
      <c r="BR12" s="39" t="str">
        <f>IF(SUM(--ISNUMBER(SEARCH({"c","C","b","B"}, L12))),"Yes","No")</f>
        <v>No</v>
      </c>
      <c r="BS12" s="11">
        <f t="shared" si="14"/>
        <v>0</v>
      </c>
      <c r="BT12" s="11" t="s">
        <v>820</v>
      </c>
      <c r="BU12" s="11" t="s">
        <v>820</v>
      </c>
      <c r="BV12" s="40">
        <f t="shared" si="15"/>
        <v>0</v>
      </c>
      <c r="BW12" s="40">
        <f t="shared" si="16"/>
        <v>0</v>
      </c>
      <c r="BX12" s="11" t="e">
        <f t="shared" si="17"/>
        <v>#DIV/0!</v>
      </c>
      <c r="BY12" s="11" t="b">
        <v>0</v>
      </c>
      <c r="BZ12" s="11" t="b">
        <v>0</v>
      </c>
      <c r="CA12" s="11" t="e">
        <v>#REF!</v>
      </c>
      <c r="CB12" s="11" t="s">
        <v>82</v>
      </c>
      <c r="CC12" s="11" t="e">
        <f t="shared" si="18"/>
        <v>#DIV/0!</v>
      </c>
      <c r="CD12" s="11" t="e">
        <f>VLOOKUP(P12,'Designer Shutter Data'!$H$3:$I$19,2,FALSE)</f>
        <v>#N/A</v>
      </c>
      <c r="CE12" s="11" t="s">
        <v>820</v>
      </c>
      <c r="CF12" s="11" t="str">
        <f>IF(SUM(--ISNUMBER(SEARCH({"z","Z"}, P12))),"Yes","No")</f>
        <v>No</v>
      </c>
      <c r="CG12" s="11" t="str">
        <f t="shared" si="19"/>
        <v>OK</v>
      </c>
      <c r="CH12" s="11">
        <f t="shared" si="20"/>
        <v>0</v>
      </c>
      <c r="CI12" s="120" t="e">
        <f>IF(O12="N/A","N/A",VLOOKUP(O12,'Designer Shutter Data'!$AO$3:$AP$171,2,FALSE))</f>
        <v>#N/A</v>
      </c>
      <c r="CJ12" s="120" t="e">
        <f t="shared" si="21"/>
        <v>#N/A</v>
      </c>
      <c r="CK12" s="40"/>
      <c r="CL12" s="40" t="s">
        <v>488</v>
      </c>
      <c r="CM12" s="40" t="str">
        <f>IF(COUNTIF(L9:L23,'Designer Shutter Data'!BJ7)+COUNTIF(L9:L23,'Designer Shutter Data'!BJ10)+COUNTIF(L9:L23,'Designer Shutter Data'!BJ13)+COUNTIF(L9:L23,'Designer Shutter Data'!BJ14),'Designer Shutter Data'!BL7,"")</f>
        <v/>
      </c>
      <c r="CN12" s="41" t="str">
        <f t="shared" si="22"/>
        <v>OK</v>
      </c>
      <c r="CO12" s="129" t="b">
        <f t="shared" si="23"/>
        <v>0</v>
      </c>
      <c r="CP12" s="129" t="b">
        <f t="shared" si="24"/>
        <v>0</v>
      </c>
      <c r="CQ12" s="40">
        <f t="shared" si="25"/>
        <v>0</v>
      </c>
      <c r="CR12" s="133">
        <f t="shared" si="26"/>
        <v>0</v>
      </c>
      <c r="CS12" s="40">
        <f t="shared" si="43"/>
        <v>0</v>
      </c>
      <c r="CT12" s="133" t="e">
        <f t="shared" si="27"/>
        <v>#N/A</v>
      </c>
      <c r="CU12" s="11" t="b">
        <v>0</v>
      </c>
      <c r="CV12" s="11" t="b">
        <v>0</v>
      </c>
      <c r="CW12" s="11" t="b">
        <v>0</v>
      </c>
      <c r="CX12" s="11" t="b">
        <v>0</v>
      </c>
      <c r="CY12" s="40" t="e">
        <f>IF(OR(AND(#REF!&gt;0,#REF!="")), "Error","OK")</f>
        <v>#REF!</v>
      </c>
      <c r="CZ12" s="11" t="e">
        <v>#REF!</v>
      </c>
      <c r="DA12" s="6" t="str">
        <f t="shared" si="28"/>
        <v/>
      </c>
      <c r="DD12" s="6" t="s">
        <v>84</v>
      </c>
      <c r="DE12" s="6" t="b">
        <f>IF(M12='Designer Shutter Data'!$F$3,'Designer Shutter Data'!$FY$7,IF(M12='Designer Shutter Data'!$F$4,'Designer Shutter Data'!$FZ$2,IF(M12='Designer Shutter Data'!$F$5,FJ12, IF(M12='Designer Shutter Data'!$F$6,'Designer Shutter Data'!$GA$2,IF(M12='Designer Shutter Data'!$F$7,'Designer Shutter Data'!$FY$2, IF(M12='Designer Shutter Data'!$F$8,'Designer Shutter Data'!$FZ$7, IF(M12='Designer Shutter Data'!$F$14,'Designer Shutter Data'!$FZ$14)))))))</f>
        <v>0</v>
      </c>
      <c r="DF12" s="6" t="e">
        <f>VLOOKUP(M12,'Designer Shutter Data'!$M$2:$N$8,2,FALSE)</f>
        <v>#N/A</v>
      </c>
      <c r="DH12" s="123" t="e">
        <f>VLOOKUP(O12,'Designer Shutter Data'!$IN$2:$IO$169,2,FALSE)</f>
        <v>#N/A</v>
      </c>
      <c r="DI12" s="103" t="e">
        <f t="shared" si="29"/>
        <v>#N/A</v>
      </c>
      <c r="DJ12" s="103" t="e">
        <f t="shared" si="44"/>
        <v>#N/A</v>
      </c>
      <c r="DK12" s="7" t="b">
        <f>IF(P12='Designer Shutter Data'!$GC$2,'Designer Shutter Data'!$GD$2,IF(P12='Designer Shutter Data'!$GC$3,'Designer Shutter Data'!$GE$2,IF(P12='Designer Shutter Data'!$GC$4,'Designer Shutter Data'!$GF$2,IF(P12='Designer Shutter Data'!$GC$5,'Designer Shutter Data'!$GG$2,IF(P12='Designer Shutter Data'!$GC$6,'Designer Shutter Data'!$GH$2,IF(P12='Designer Shutter Data'!$GC$7,'Designer Shutter Data'!$GI$2,IF(P12='Designer Shutter Data'!$GC$8,'Designer Shutter Data'!$GJ$2,IF(P12='Designer Shutter Data'!$GC$9,'Designer Shutter Data'!$GK$2,IF(P12='Designer Shutter Data'!$GC$10,'Designer Shutter Data'!$GL$2,IF(P12='Designer Shutter Data'!$GC$11,'Designer Shutter Data'!$GM$2,IF(P12='Designer Shutter Data'!$GC$12,'Designer Shutter Data'!$GN$2,IF(P12='Designer Shutter Data'!$GC$13,'Designer Shutter Data'!$GO$2,IF(P12='Designer Shutter Data'!$GC$14,'Designer Shutter Data'!$GP$2,IF(P12='Designer Shutter Data'!$GC$15,'Designer Shutter Data'!$GD$15,IF(P12='Designer Shutter Data'!$GC$16,'Designer Shutter Data'!$GE$15,IF(P12='Designer Shutter Data'!$GC$17,'Designer Shutter Data'!$GF$15,IF(P12='Designer Shutter Data'!$GC$18,'Designer Shutter Data'!$GG$15,IF(P12='Designer Shutter Data'!$GC$19,'Designer Shutter Data'!$GD$73,IF(P12='Designer Shutter Data'!$GC$20,'Designer Shutter Data'!$GD$88, IF(P12='Designer Shutter Data'!$GC$21,'Designer Shutter Data'!$GH$15, IF(P12='Designer Shutter Data'!$GC$22,'Designer Shutter Data'!$GJ$2, IF(P12='Designer Shutter Data'!$GC$23,'Designer Shutter Data'!$GL$2))))))))))))))))))))))</f>
        <v>0</v>
      </c>
      <c r="DL12" s="7" t="b">
        <f>IF(P12='Designer Shutter Data'!$GC$2,'Designer Shutter Data'!$GD$25,IF(P12='Designer Shutter Data'!$GC$3,'Designer Shutter Data'!$GE$25,IF(P12='Designer Shutter Data'!$GC$4,'Designer Shutter Data'!$GF$25,IF(P12='Designer Shutter Data'!$GC$5,'Designer Shutter Data'!$GG$25,IF(P12='Designer Shutter Data'!$GC$6,'Designer Shutter Data'!$GH$25,IF(P12='Designer Shutter Data'!$GC$7,'Designer Shutter Data'!$GI$25,IF(P12='Designer Shutter Data'!$GC$8,'Designer Shutter Data'!$GJ$25,IF(P12='Designer Shutter Data'!$GC$9,'Designer Shutter Data'!$GK$25,IF(P12='Designer Shutter Data'!$GC$10,'Designer Shutter Data'!$GL$25,IF(P12='Designer Shutter Data'!$GC$11,'Designer Shutter Data'!$GM$25,IF(P12='Designer Shutter Data'!$GC$12,'Designer Shutter Data'!$GN$25,IF(P12='Designer Shutter Data'!$GC$13,'Designer Shutter Data'!$GO$25,IF(P12='Designer Shutter Data'!$GC$14,'Designer Shutter Data'!$GP$25,IF(P12='Designer Shutter Data'!$GC$15,'Designer Shutter Data'!$GD$37,IF(P12='Designer Shutter Data'!$GC$15,'Designer Shutter Data'!$GD$37,IF(P12='Designer Shutter Data'!$GC$16,'Designer Shutter Data'!$GE$37,IF(P12='Designer Shutter Data'!$GC$17,'Designer Shutter Data'!$GF$37,IF(P12='Designer Shutter Data'!$GC$18,'Designer Shutter Data'!$GG$37, IF(P12='Designer Shutter Data'!$GC$19,'Designer Shutter Data'!$GD$73, IF(P12='Designer Shutter Data'!$GC$20,'Designer Shutter Data'!$GE$88, IF(P12='Designer Shutter Data'!$GC$21,'Designer Shutter Data'!$GH$37,IF(P12='Designer Shutter Data'!$GC$22,'Designer Shutter Data'!$GJ$25,IF(P12='Designer Shutter Data'!$GC$23,'Designer Shutter Data'!$GL$25)))))))))))))))))))))))</f>
        <v>0</v>
      </c>
      <c r="DM12" s="118" t="b">
        <f>IF(P12='Designer Shutter Data'!$GC$2,'Designer Shutter Data'!$GD$47,IF(P12='Designer Shutter Data'!$GC$3,'Designer Shutter Data'!$GE$47,IF(P12='Designer Shutter Data'!$GC$4,'Designer Shutter Data'!$GF$47,IF(P12='Designer Shutter Data'!$GC$5,'Designer Shutter Data'!$GG$47,IF(P12='Designer Shutter Data'!$GC$6,'Designer Shutter Data'!$GH$47,IF(P12='Designer Shutter Data'!$GC$7,'Designer Shutter Data'!$GI$47,IF(P12='Designer Shutter Data'!$GC$8,'Designer Shutter Data'!$GJ$47,IF(P12='Designer Shutter Data'!$GC$9,'Designer Shutter Data'!$GK$47,IF(P12='Designer Shutter Data'!$GC$10,'Designer Shutter Data'!$GL$47,IF(P12='Designer Shutter Data'!$GC$11,'Designer Shutter Data'!$GM$47,IF(P12='Designer Shutter Data'!$GC$12,'Designer Shutter Data'!$GN$47,IF(P12='Designer Shutter Data'!$GC$13,'Designer Shutter Data'!$GO$47,IF(P12='Designer Shutter Data'!$GC$14,'Designer Shutter Data'!$GP$47, IF(P12='Designer Shutter Data'!$GC$19,'Designer Shutter Data'!$GD$73, IF(P12='Designer Shutter Data'!$GC$20,'Designer Shutter Data'!$GF$88, IF(M12='Designer Shutter Data'!$F$5,'Designer Shutter Data'!$GE$59, IF(M12='Designer Shutter Data'!$F$6,'Designer Shutter Data'!$GD$59, IF(P12='Designer Shutter Data'!$GC$21,'Designer Shutter Data'!$GF$59,IF(P12='Designer Shutter Data'!$GC$22,'Designer Shutter Data'!$GJ$47,IF(P12='Designer Shutter Data'!$GC$23,'Designer Shutter Data'!$GL$47))))))))))))))))))))</f>
        <v>0</v>
      </c>
      <c r="DN12" s="107" t="str">
        <f t="shared" si="45"/>
        <v/>
      </c>
      <c r="DO12" s="107" t="e">
        <f t="shared" si="46"/>
        <v>#N/A</v>
      </c>
      <c r="DP12" s="107" t="str">
        <f t="shared" si="30"/>
        <v>OK</v>
      </c>
      <c r="DQ12" s="107" t="str">
        <f t="shared" si="31"/>
        <v>OK</v>
      </c>
      <c r="DR12" s="107" t="str">
        <f t="shared" si="32"/>
        <v>OK</v>
      </c>
      <c r="DS12" s="107" t="str">
        <f t="shared" si="33"/>
        <v>OK</v>
      </c>
      <c r="DT12" s="7" t="b">
        <f>IF(E12='Designer Shutter Data'!$GV$2,'Designer Shutter Data'!$GW$2,IF(E12='Designer Shutter Data'!$GV$3,'Designer Shutter Data'!$GX$2,IF(E12='Designer Shutter Data'!$GV$4,'Designer Shutter Data'!$GY$2)))</f>
        <v>0</v>
      </c>
      <c r="DU12" s="40" t="e">
        <f>MATCH(E12,'Designer Shutter Data'!$HB$1:$HD$1,0)</f>
        <v>#N/A</v>
      </c>
      <c r="DV12" s="40" t="e">
        <f>MATCH(M12,'Designer Shutter Data'!$HA$2:$HA$8,0)</f>
        <v>#N/A</v>
      </c>
      <c r="DW12" s="11" t="e">
        <f>INDEX('Designer Shutter Data'!$HB$2:$HD$8,DV12,DU12)</f>
        <v>#N/A</v>
      </c>
      <c r="DX12" s="11" t="b">
        <f>IF(E12='Designer Shutter Data'!$IG$1,'Designer Shutter Data'!$IG$2,IF(E12='Designer Shutter Data'!$IH$1,'Designer Shutter Data'!$IH$2, IF(E12='Designer Shutter Data'!$II$1,'Designer Shutter Data'!$II$2)))</f>
        <v>0</v>
      </c>
      <c r="DY12" s="11" t="str">
        <f>IF(E12="MS",'Designer Shutter Data'!$BI$2,IF(G12='Designer Shutter Data'!$BJ$34,'Designer Shutter Data'!$BJ$35,'Designer Shutter Data'!$BJ$2))</f>
        <v>FauxwoodDesignerWindowType</v>
      </c>
      <c r="DZ12" s="118" t="b">
        <f>IF(M12='Designer Shutter Data'!$F$3,'Designer Shutter Data'!$GF$88, IF(M12='Designer Shutter Data'!$F$4,'Designer Shutter Data'!$GE$59, IF(M12='Designer Shutter Data'!$F$5,'Designer Shutter Data'!$GD$59, IF(M12='Designer Shutter Data'!$F$6,'Designer Shutter Data'!$GD$59, IF(M12='Designer Shutter Data'!$F$7,'Designer Shutter Data'!$GD$73)))))</f>
        <v>0</v>
      </c>
      <c r="EB12" s="6" t="b">
        <f>IF(M12='Designer Shutter Data'!$IT$2,'Designer Shutter Data'!$JA$2, IF(M12='Designer Shutter Data'!$IT$3,'Designer Shutter Data'!$JC$2, IF(M12='Designer Shutter Data'!$IT$4,'Designer Shutter Data'!$JE$2, IF(M12='Designer Shutter Data'!$IT$5,'Designer Shutter Data'!$JG$2, IF(M12='Designer Shutter Data'!$IT$6,'Designer Shutter Data'!$JI$2, IF(M12='Designer Shutter Data'!$IT$7,'Designer Shutter Data'!$JZ$2, IF(M12='Designer Shutter Data'!$IT$8,'Designer Shutter Data'!$JI$16)))))))</f>
        <v>0</v>
      </c>
      <c r="EC12" s="6" t="str">
        <f t="shared" si="34"/>
        <v>NoHighlight</v>
      </c>
      <c r="ED12" s="7" t="e">
        <f>VLOOKUP(M12,'Designer Shutter Data'!$JW$5:$JX$10,2,FALSE)</f>
        <v>#N/A</v>
      </c>
      <c r="EE12" s="7" t="e">
        <f t="shared" si="35"/>
        <v>#N/A</v>
      </c>
      <c r="EF12" s="118" t="e">
        <f>VLOOKUP(O12,'Designer Shutter Data'!$AO$3:$AQ$171,1,FALSE)</f>
        <v>#N/A</v>
      </c>
      <c r="EG12" s="7" t="e">
        <f t="shared" si="36"/>
        <v>#N/A</v>
      </c>
      <c r="EH12" s="6" t="str">
        <f t="shared" si="37"/>
        <v/>
      </c>
      <c r="EJ12" s="40" t="e">
        <f>MATCH(M12,'Designer Shutter Data'!$KD$1:$KI$1,0)</f>
        <v>#N/A</v>
      </c>
      <c r="EK12" s="40" t="e">
        <f>MATCH(P12,'Designer Shutter Data'!$KC$2:$KC$21,0)</f>
        <v>#N/A</v>
      </c>
      <c r="EL12" s="136" t="e">
        <f>INDEX('Designer Shutter Data'!$KD$2:$KI$21,EK12,EJ12)</f>
        <v>#N/A</v>
      </c>
      <c r="EM12" s="73">
        <f>MAX(EM9:EM11)</f>
        <v>0</v>
      </c>
      <c r="EN12" s="73"/>
      <c r="EP12" s="6" t="str">
        <f>IF(AC12&lt;&gt;$EO$4,'Designer Shutter Data'!$BR$2,'Designer Shutter Data'!$BR$9)</f>
        <v>Fluffy_Strip_Fauxwood</v>
      </c>
      <c r="ER12" s="6" t="str">
        <f>IF(G12='Designer Shutter Data'!$E$26,'Designer Shutter Data'!$E$27,IF(G12='Designer Shutter Data'!$E$37,'Designer Shutter Data'!$E$38,'Designer Shutter Data'!$E$2))</f>
        <v>FauxwoodDesignerBladeSize</v>
      </c>
      <c r="ET12" s="6" t="str">
        <f t="shared" si="47"/>
        <v>Stile T Post</v>
      </c>
      <c r="EW12" s="40" t="e">
        <f>MATCH(G12,'Designer Shutter Data'!$AV$27:$AV$30,0)</f>
        <v>#N/A</v>
      </c>
      <c r="EX12" s="40" t="e">
        <f>MATCH(AC12,'Designer Shutter Data'!$AW$26:$AX$26,0)</f>
        <v>#N/A</v>
      </c>
      <c r="EY12" s="136" t="e">
        <f>INDEX('Designer Shutter Data'!$AW$27:$AX$30,EW12,EX12)</f>
        <v>#N/A</v>
      </c>
      <c r="EZ12" s="6" t="str">
        <f>IF(G12='Designer Shutter Data'!$S$15,'Designer Shutter Data'!$S$16, IF(G12=$FB$7,'Designer Shutter Data'!$T$15,'Designer Shutter Data'!$S$2))</f>
        <v>FauxwoodDesignerTiltrod</v>
      </c>
      <c r="FA12" s="6" t="e">
        <f>IF(G12=$FB$7,"No",VLOOKUP(L12,'Designer Shutter Data'!$BJ$62:$BK$75,2,FALSE))</f>
        <v>#N/A</v>
      </c>
      <c r="FB12" s="6" t="e">
        <f>IF(FA12="Yes", 'Designer Shutter Data'!$T$2,IF(G12=$FB$7,'Designer Shutter Data'!$T$15,'Designer Shutters Page 3'!EZ12))</f>
        <v>#N/A</v>
      </c>
      <c r="FC12" s="6" t="e">
        <f>MATCH(G12,'Designer Shutter Data'!$IG$15:$IJ$15,0)</f>
        <v>#N/A</v>
      </c>
      <c r="FD12" s="6" t="e">
        <f>MATCH(E12,'Designer Shutter Data'!$IF$16:$IF$18,0)</f>
        <v>#N/A</v>
      </c>
      <c r="FE12" s="6" t="e">
        <f>INDEX('Designer Shutter Data'!$IG$16:$IJ$18, 'Designer Shutters Page 3'!FD12, 'Designer Shutters Page 3'!FC12)</f>
        <v>#N/A</v>
      </c>
      <c r="FH12" s="6" t="str">
        <f t="shared" si="48"/>
        <v>SlidingSystemNA</v>
      </c>
      <c r="FJ12" s="6" t="e">
        <f>VLOOKUP(O12,'Designer Shutter Data'!$KP$2:$KR$44,3,FALSE)</f>
        <v>#N/A</v>
      </c>
      <c r="FL12" s="11" t="b">
        <f>IF(N12=$FL$7,'Designer Shutter Data'!$GH$98,DM12)</f>
        <v>0</v>
      </c>
    </row>
    <row r="13" spans="1:168" ht="36.75" customHeight="1" x14ac:dyDescent="0.2">
      <c r="A13" s="50">
        <v>5</v>
      </c>
      <c r="B13" s="51"/>
      <c r="C13" s="44"/>
      <c r="D13" s="31"/>
      <c r="E13" s="44"/>
      <c r="F13" s="31"/>
      <c r="G13" s="43"/>
      <c r="H13" s="234"/>
      <c r="I13" s="235"/>
      <c r="J13" s="44"/>
      <c r="K13" s="45"/>
      <c r="L13" s="45"/>
      <c r="M13" s="45"/>
      <c r="N13" s="45"/>
      <c r="O13" s="45"/>
      <c r="P13" s="236"/>
      <c r="Q13" s="236"/>
      <c r="R13" s="43"/>
      <c r="S13" s="43"/>
      <c r="T13" s="43"/>
      <c r="U13" s="43"/>
      <c r="V13" s="45"/>
      <c r="W13" s="45"/>
      <c r="X13" s="43"/>
      <c r="Y13" s="46"/>
      <c r="Z13" s="47"/>
      <c r="AA13" s="47"/>
      <c r="AB13" s="47"/>
      <c r="AC13" s="44"/>
      <c r="AD13" s="44"/>
      <c r="AE13" s="48" t="str">
        <f t="shared" si="0"/>
        <v/>
      </c>
      <c r="AI13" s="6">
        <f t="shared" si="38"/>
        <v>0</v>
      </c>
      <c r="AJ13" s="6">
        <f t="shared" si="39"/>
        <v>0</v>
      </c>
      <c r="AK13" s="6">
        <f>IF(O13&lt;&gt;"",VLOOKUP(O13,'Designer Shutter Data'!$KP$2:$KQ$44,2,FALSE),0)</f>
        <v>0</v>
      </c>
      <c r="AT13" s="49" t="str">
        <f t="shared" si="1"/>
        <v/>
      </c>
      <c r="AV13" s="6" t="str">
        <f>IF(G13=$AV$7,'Designer Shutter Data'!$D$38,'Designer Shutter Data'!$D$2)</f>
        <v>FauxwoodDesignerColour</v>
      </c>
      <c r="AW13" s="130" t="e">
        <f t="shared" si="40"/>
        <v>#N/A</v>
      </c>
      <c r="AX13" s="130" t="e">
        <f>VLOOKUP(M13,'Designer Shutter Data'!$JK$2:$JL$7,2,FALSE)</f>
        <v>#N/A</v>
      </c>
      <c r="AY13" s="38" t="b">
        <v>0</v>
      </c>
      <c r="AZ13" s="38" t="str">
        <f t="shared" si="2"/>
        <v>No</v>
      </c>
      <c r="BA13" s="38" t="e">
        <f t="shared" si="3"/>
        <v>#DIV/0!</v>
      </c>
      <c r="BB13" s="38" t="e">
        <f t="shared" si="4"/>
        <v>#DIV/0!</v>
      </c>
      <c r="BC13" s="38" t="e">
        <f t="shared" si="5"/>
        <v>#DIV/0!</v>
      </c>
      <c r="BD13" s="38" t="str">
        <f t="shared" si="6"/>
        <v>No</v>
      </c>
      <c r="BE13" s="38" t="e">
        <f>IF(OR(AND(C13&gt;0,#REF!="")), "Required","NotRequired")</f>
        <v>#REF!</v>
      </c>
      <c r="BF13" s="38" t="b">
        <v>0</v>
      </c>
      <c r="BG13" s="38" t="e">
        <f t="shared" si="41"/>
        <v>#DIV/0!</v>
      </c>
      <c r="BH13" s="39" t="str">
        <f t="shared" si="7"/>
        <v>NoHighlight</v>
      </c>
      <c r="BI13" s="38" t="str">
        <f t="shared" si="8"/>
        <v>FauxwoodRPNo</v>
      </c>
      <c r="BJ13" s="110" t="str">
        <f>IF(SUM(--ISNUMBER(SEARCH({"t","T"}, O13))),"Yes","No")</f>
        <v>No</v>
      </c>
      <c r="BK13" s="127" t="str">
        <f t="shared" si="9"/>
        <v>OK</v>
      </c>
      <c r="BL13" s="127" t="str">
        <f t="shared" si="10"/>
        <v>OK</v>
      </c>
      <c r="BM13" s="127" t="str">
        <f t="shared" si="11"/>
        <v>OK</v>
      </c>
      <c r="BN13" s="39" t="str">
        <f t="shared" si="12"/>
        <v>OK</v>
      </c>
      <c r="BO13" s="39" t="str">
        <f t="shared" si="13"/>
        <v>FauxwoodAINo</v>
      </c>
      <c r="BP13" s="39" t="str">
        <f>IF(SUM(--ISNUMBER(SEARCH({"combo","Combo","COMBO"}, B30))),"Yes","No")</f>
        <v>No</v>
      </c>
      <c r="BQ13" s="39" t="str">
        <f t="shared" si="42"/>
        <v>No</v>
      </c>
      <c r="BR13" s="39" t="str">
        <f>IF(SUM(--ISNUMBER(SEARCH({"c","C","b","B"}, L13))),"Yes","No")</f>
        <v>No</v>
      </c>
      <c r="BS13" s="11">
        <f t="shared" si="14"/>
        <v>0</v>
      </c>
      <c r="BT13" s="11" t="s">
        <v>820</v>
      </c>
      <c r="BU13" s="11" t="s">
        <v>820</v>
      </c>
      <c r="BV13" s="40">
        <f t="shared" si="15"/>
        <v>0</v>
      </c>
      <c r="BW13" s="40">
        <f t="shared" si="16"/>
        <v>0</v>
      </c>
      <c r="BX13" s="11" t="e">
        <f t="shared" si="17"/>
        <v>#DIV/0!</v>
      </c>
      <c r="BY13" s="11" t="b">
        <v>0</v>
      </c>
      <c r="BZ13" s="11" t="b">
        <v>0</v>
      </c>
      <c r="CA13" s="11" t="e">
        <v>#REF!</v>
      </c>
      <c r="CB13" s="11" t="s">
        <v>82</v>
      </c>
      <c r="CC13" s="11" t="e">
        <f t="shared" si="18"/>
        <v>#DIV/0!</v>
      </c>
      <c r="CD13" s="11" t="e">
        <f>VLOOKUP(P13,'Designer Shutter Data'!$H$3:$I$19,2,FALSE)</f>
        <v>#N/A</v>
      </c>
      <c r="CE13" s="11" t="s">
        <v>820</v>
      </c>
      <c r="CF13" s="11" t="str">
        <f>IF(SUM(--ISNUMBER(SEARCH({"z","Z"}, P13))),"Yes","No")</f>
        <v>No</v>
      </c>
      <c r="CG13" s="11" t="str">
        <f t="shared" si="19"/>
        <v>OK</v>
      </c>
      <c r="CH13" s="11">
        <f t="shared" si="20"/>
        <v>0</v>
      </c>
      <c r="CI13" s="120" t="e">
        <f>IF(O13="N/A","N/A",VLOOKUP(O13,'Designer Shutter Data'!$AO$3:$AP$171,2,FALSE))</f>
        <v>#N/A</v>
      </c>
      <c r="CJ13" s="120" t="e">
        <f t="shared" si="21"/>
        <v>#N/A</v>
      </c>
      <c r="CK13" s="40"/>
      <c r="CL13" s="40"/>
      <c r="CM13" s="40" t="str">
        <f>CM9&amp;"       "&amp;CM10&amp;"   "&amp;CM11&amp;"   "&amp;CM12</f>
        <v xml:space="preserve">             </v>
      </c>
      <c r="CN13" s="41" t="str">
        <f t="shared" si="22"/>
        <v>OK</v>
      </c>
      <c r="CO13" s="129" t="b">
        <f t="shared" si="23"/>
        <v>0</v>
      </c>
      <c r="CP13" s="129" t="b">
        <f t="shared" si="24"/>
        <v>0</v>
      </c>
      <c r="CQ13" s="40">
        <f t="shared" si="25"/>
        <v>0</v>
      </c>
      <c r="CR13" s="133">
        <f t="shared" si="26"/>
        <v>0</v>
      </c>
      <c r="CS13" s="40">
        <f t="shared" si="43"/>
        <v>0</v>
      </c>
      <c r="CT13" s="133" t="e">
        <f t="shared" si="27"/>
        <v>#N/A</v>
      </c>
      <c r="CU13" s="11" t="b">
        <v>0</v>
      </c>
      <c r="CV13" s="11" t="b">
        <v>0</v>
      </c>
      <c r="CW13" s="11" t="b">
        <v>0</v>
      </c>
      <c r="CX13" s="11" t="b">
        <v>0</v>
      </c>
      <c r="CY13" s="40" t="e">
        <f>IF(OR(AND(#REF!&gt;0,#REF!="")), "Error","OK")</f>
        <v>#REF!</v>
      </c>
      <c r="CZ13" s="11" t="e">
        <v>#REF!</v>
      </c>
      <c r="DA13" s="6" t="str">
        <f t="shared" si="28"/>
        <v/>
      </c>
      <c r="DD13" s="6" t="s">
        <v>84</v>
      </c>
      <c r="DE13" s="6" t="b">
        <f>IF(M13='Designer Shutter Data'!$F$3,'Designer Shutter Data'!$FY$7,IF(M13='Designer Shutter Data'!$F$4,'Designer Shutter Data'!$FZ$2,IF(M13='Designer Shutter Data'!$F$5,FJ13, IF(M13='Designer Shutter Data'!$F$6,'Designer Shutter Data'!$GA$2,IF(M13='Designer Shutter Data'!$F$7,'Designer Shutter Data'!$FY$2, IF(M13='Designer Shutter Data'!$F$8,'Designer Shutter Data'!$FZ$7, IF(M13='Designer Shutter Data'!$F$14,'Designer Shutter Data'!$FZ$14)))))))</f>
        <v>0</v>
      </c>
      <c r="DF13" s="6" t="e">
        <f>VLOOKUP(M13,'Designer Shutter Data'!$M$2:$N$8,2,FALSE)</f>
        <v>#N/A</v>
      </c>
      <c r="DH13" s="123" t="e">
        <f>VLOOKUP(O13,'Designer Shutter Data'!$IN$2:$IO$169,2,FALSE)</f>
        <v>#N/A</v>
      </c>
      <c r="DI13" s="103" t="e">
        <f t="shared" si="29"/>
        <v>#N/A</v>
      </c>
      <c r="DJ13" s="103" t="e">
        <f t="shared" si="44"/>
        <v>#N/A</v>
      </c>
      <c r="DK13" s="7" t="b">
        <f>IF(P13='Designer Shutter Data'!$GC$2,'Designer Shutter Data'!$GD$2,IF(P13='Designer Shutter Data'!$GC$3,'Designer Shutter Data'!$GE$2,IF(P13='Designer Shutter Data'!$GC$4,'Designer Shutter Data'!$GF$2,IF(P13='Designer Shutter Data'!$GC$5,'Designer Shutter Data'!$GG$2,IF(P13='Designer Shutter Data'!$GC$6,'Designer Shutter Data'!$GH$2,IF(P13='Designer Shutter Data'!$GC$7,'Designer Shutter Data'!$GI$2,IF(P13='Designer Shutter Data'!$GC$8,'Designer Shutter Data'!$GJ$2,IF(P13='Designer Shutter Data'!$GC$9,'Designer Shutter Data'!$GK$2,IF(P13='Designer Shutter Data'!$GC$10,'Designer Shutter Data'!$GL$2,IF(P13='Designer Shutter Data'!$GC$11,'Designer Shutter Data'!$GM$2,IF(P13='Designer Shutter Data'!$GC$12,'Designer Shutter Data'!$GN$2,IF(P13='Designer Shutter Data'!$GC$13,'Designer Shutter Data'!$GO$2,IF(P13='Designer Shutter Data'!$GC$14,'Designer Shutter Data'!$GP$2,IF(P13='Designer Shutter Data'!$GC$15,'Designer Shutter Data'!$GD$15,IF(P13='Designer Shutter Data'!$GC$16,'Designer Shutter Data'!$GE$15,IF(P13='Designer Shutter Data'!$GC$17,'Designer Shutter Data'!$GF$15,IF(P13='Designer Shutter Data'!$GC$18,'Designer Shutter Data'!$GG$15,IF(P13='Designer Shutter Data'!$GC$19,'Designer Shutter Data'!$GD$73,IF(P13='Designer Shutter Data'!$GC$20,'Designer Shutter Data'!$GD$88, IF(P13='Designer Shutter Data'!$GC$21,'Designer Shutter Data'!$GH$15, IF(P13='Designer Shutter Data'!$GC$22,'Designer Shutter Data'!$GJ$2, IF(P13='Designer Shutter Data'!$GC$23,'Designer Shutter Data'!$GL$2))))))))))))))))))))))</f>
        <v>0</v>
      </c>
      <c r="DL13" s="7" t="b">
        <f>IF(P13='Designer Shutter Data'!$GC$2,'Designer Shutter Data'!$GD$25,IF(P13='Designer Shutter Data'!$GC$3,'Designer Shutter Data'!$GE$25,IF(P13='Designer Shutter Data'!$GC$4,'Designer Shutter Data'!$GF$25,IF(P13='Designer Shutter Data'!$GC$5,'Designer Shutter Data'!$GG$25,IF(P13='Designer Shutter Data'!$GC$6,'Designer Shutter Data'!$GH$25,IF(P13='Designer Shutter Data'!$GC$7,'Designer Shutter Data'!$GI$25,IF(P13='Designer Shutter Data'!$GC$8,'Designer Shutter Data'!$GJ$25,IF(P13='Designer Shutter Data'!$GC$9,'Designer Shutter Data'!$GK$25,IF(P13='Designer Shutter Data'!$GC$10,'Designer Shutter Data'!$GL$25,IF(P13='Designer Shutter Data'!$GC$11,'Designer Shutter Data'!$GM$25,IF(P13='Designer Shutter Data'!$GC$12,'Designer Shutter Data'!$GN$25,IF(P13='Designer Shutter Data'!$GC$13,'Designer Shutter Data'!$GO$25,IF(P13='Designer Shutter Data'!$GC$14,'Designer Shutter Data'!$GP$25,IF(P13='Designer Shutter Data'!$GC$15,'Designer Shutter Data'!$GD$37,IF(P13='Designer Shutter Data'!$GC$15,'Designer Shutter Data'!$GD$37,IF(P13='Designer Shutter Data'!$GC$16,'Designer Shutter Data'!$GE$37,IF(P13='Designer Shutter Data'!$GC$17,'Designer Shutter Data'!$GF$37,IF(P13='Designer Shutter Data'!$GC$18,'Designer Shutter Data'!$GG$37, IF(P13='Designer Shutter Data'!$GC$19,'Designer Shutter Data'!$GD$73, IF(P13='Designer Shutter Data'!$GC$20,'Designer Shutter Data'!$GE$88, IF(P13='Designer Shutter Data'!$GC$21,'Designer Shutter Data'!$GH$37,IF(P13='Designer Shutter Data'!$GC$22,'Designer Shutter Data'!$GJ$25,IF(P13='Designer Shutter Data'!$GC$23,'Designer Shutter Data'!$GL$25)))))))))))))))))))))))</f>
        <v>0</v>
      </c>
      <c r="DM13" s="118" t="b">
        <f>IF(P13='Designer Shutter Data'!$GC$2,'Designer Shutter Data'!$GD$47,IF(P13='Designer Shutter Data'!$GC$3,'Designer Shutter Data'!$GE$47,IF(P13='Designer Shutter Data'!$GC$4,'Designer Shutter Data'!$GF$47,IF(P13='Designer Shutter Data'!$GC$5,'Designer Shutter Data'!$GG$47,IF(P13='Designer Shutter Data'!$GC$6,'Designer Shutter Data'!$GH$47,IF(P13='Designer Shutter Data'!$GC$7,'Designer Shutter Data'!$GI$47,IF(P13='Designer Shutter Data'!$GC$8,'Designer Shutter Data'!$GJ$47,IF(P13='Designer Shutter Data'!$GC$9,'Designer Shutter Data'!$GK$47,IF(P13='Designer Shutter Data'!$GC$10,'Designer Shutter Data'!$GL$47,IF(P13='Designer Shutter Data'!$GC$11,'Designer Shutter Data'!$GM$47,IF(P13='Designer Shutter Data'!$GC$12,'Designer Shutter Data'!$GN$47,IF(P13='Designer Shutter Data'!$GC$13,'Designer Shutter Data'!$GO$47,IF(P13='Designer Shutter Data'!$GC$14,'Designer Shutter Data'!$GP$47, IF(P13='Designer Shutter Data'!$GC$19,'Designer Shutter Data'!$GD$73, IF(P13='Designer Shutter Data'!$GC$20,'Designer Shutter Data'!$GF$88, IF(M13='Designer Shutter Data'!$F$5,'Designer Shutter Data'!$GE$59, IF(M13='Designer Shutter Data'!$F$6,'Designer Shutter Data'!$GD$59, IF(P13='Designer Shutter Data'!$GC$21,'Designer Shutter Data'!$GF$59,IF(P13='Designer Shutter Data'!$GC$22,'Designer Shutter Data'!$GJ$47,IF(P13='Designer Shutter Data'!$GC$23,'Designer Shutter Data'!$GL$47))))))))))))))))))))</f>
        <v>0</v>
      </c>
      <c r="DN13" s="107" t="str">
        <f t="shared" si="45"/>
        <v/>
      </c>
      <c r="DO13" s="107" t="e">
        <f t="shared" si="46"/>
        <v>#N/A</v>
      </c>
      <c r="DP13" s="107" t="str">
        <f t="shared" si="30"/>
        <v>OK</v>
      </c>
      <c r="DQ13" s="107" t="str">
        <f t="shared" si="31"/>
        <v>OK</v>
      </c>
      <c r="DR13" s="107" t="str">
        <f t="shared" si="32"/>
        <v>OK</v>
      </c>
      <c r="DS13" s="107" t="str">
        <f t="shared" si="33"/>
        <v>OK</v>
      </c>
      <c r="DT13" s="7" t="b">
        <f>IF(E13='Designer Shutter Data'!$GV$2,'Designer Shutter Data'!$GW$2,IF(E13='Designer Shutter Data'!$GV$3,'Designer Shutter Data'!$GX$2,IF(E13='Designer Shutter Data'!$GV$4,'Designer Shutter Data'!$GY$2)))</f>
        <v>0</v>
      </c>
      <c r="DU13" s="40" t="e">
        <f>MATCH(E13,'Designer Shutter Data'!$HB$1:$HD$1,0)</f>
        <v>#N/A</v>
      </c>
      <c r="DV13" s="40" t="e">
        <f>MATCH(M13,'Designer Shutter Data'!$HA$2:$HA$8,0)</f>
        <v>#N/A</v>
      </c>
      <c r="DW13" s="11" t="e">
        <f>INDEX('Designer Shutter Data'!$HB$2:$HD$8,DV13,DU13)</f>
        <v>#N/A</v>
      </c>
      <c r="DX13" s="11" t="b">
        <f>IF(E13='Designer Shutter Data'!$IG$1,'Designer Shutter Data'!$IG$2,IF(E13='Designer Shutter Data'!$IH$1,'Designer Shutter Data'!$IH$2, IF(E13='Designer Shutter Data'!$II$1,'Designer Shutter Data'!$II$2)))</f>
        <v>0</v>
      </c>
      <c r="DY13" s="11" t="str">
        <f>IF(E13="MS",'Designer Shutter Data'!$BI$2,IF(G13='Designer Shutter Data'!$BJ$34,'Designer Shutter Data'!$BJ$35,'Designer Shutter Data'!$BJ$2))</f>
        <v>FauxwoodDesignerWindowType</v>
      </c>
      <c r="DZ13" s="118" t="b">
        <f>IF(M13='Designer Shutter Data'!$F$3,'Designer Shutter Data'!$GF$88, IF(M13='Designer Shutter Data'!$F$4,'Designer Shutter Data'!$GE$59, IF(M13='Designer Shutter Data'!$F$5,'Designer Shutter Data'!$GD$59, IF(M13='Designer Shutter Data'!$F$6,'Designer Shutter Data'!$GD$59, IF(M13='Designer Shutter Data'!$F$7,'Designer Shutter Data'!$GD$73)))))</f>
        <v>0</v>
      </c>
      <c r="EB13" s="6" t="b">
        <f>IF(M13='Designer Shutter Data'!$IT$2,'Designer Shutter Data'!$JA$2, IF(M13='Designer Shutter Data'!$IT$3,'Designer Shutter Data'!$JC$2, IF(M13='Designer Shutter Data'!$IT$4,'Designer Shutter Data'!$JE$2, IF(M13='Designer Shutter Data'!$IT$5,'Designer Shutter Data'!$JG$2, IF(M13='Designer Shutter Data'!$IT$6,'Designer Shutter Data'!$JI$2, IF(M13='Designer Shutter Data'!$IT$7,'Designer Shutter Data'!$JZ$2, IF(M13='Designer Shutter Data'!$IT$8,'Designer Shutter Data'!$JI$16)))))))</f>
        <v>0</v>
      </c>
      <c r="EC13" s="6" t="str">
        <f t="shared" si="34"/>
        <v>NoHighlight</v>
      </c>
      <c r="ED13" s="7" t="e">
        <f>VLOOKUP(M13,'Designer Shutter Data'!$JW$5:$JX$10,2,FALSE)</f>
        <v>#N/A</v>
      </c>
      <c r="EE13" s="7" t="e">
        <f t="shared" si="35"/>
        <v>#N/A</v>
      </c>
      <c r="EF13" s="118" t="e">
        <f>VLOOKUP(O13,'Designer Shutter Data'!$AO$3:$AQ$171,1,FALSE)</f>
        <v>#N/A</v>
      </c>
      <c r="EG13" s="7" t="e">
        <f t="shared" si="36"/>
        <v>#N/A</v>
      </c>
      <c r="EH13" s="6" t="str">
        <f t="shared" si="37"/>
        <v/>
      </c>
      <c r="EJ13" s="40" t="e">
        <f>MATCH(M13,'Designer Shutter Data'!$KD$1:$KI$1,0)</f>
        <v>#N/A</v>
      </c>
      <c r="EK13" s="40" t="e">
        <f>MATCH(P13,'Designer Shutter Data'!$KC$2:$KC$21,0)</f>
        <v>#N/A</v>
      </c>
      <c r="EL13" s="136" t="e">
        <f>INDEX('Designer Shutter Data'!$KD$2:$KI$21,EK13,EJ13)</f>
        <v>#N/A</v>
      </c>
      <c r="EP13" s="6" t="str">
        <f>IF(AC13&lt;&gt;$EO$4,'Designer Shutter Data'!$BR$2,'Designer Shutter Data'!$BR$9)</f>
        <v>Fluffy_Strip_Fauxwood</v>
      </c>
      <c r="ER13" s="6" t="str">
        <f>IF(G13='Designer Shutter Data'!$E$26,'Designer Shutter Data'!$E$27,IF(G13='Designer Shutter Data'!$E$37,'Designer Shutter Data'!$E$38,'Designer Shutter Data'!$E$2))</f>
        <v>FauxwoodDesignerBladeSize</v>
      </c>
      <c r="ET13" s="6" t="str">
        <f t="shared" si="47"/>
        <v>Stile T Post</v>
      </c>
      <c r="EW13" s="40" t="e">
        <f>MATCH(G13,'Designer Shutter Data'!$AV$27:$AV$30,0)</f>
        <v>#N/A</v>
      </c>
      <c r="EX13" s="40" t="e">
        <f>MATCH(AC13,'Designer Shutter Data'!$AW$26:$AX$26,0)</f>
        <v>#N/A</v>
      </c>
      <c r="EY13" s="136" t="e">
        <f>INDEX('Designer Shutter Data'!$AW$27:$AX$30,EW13,EX13)</f>
        <v>#N/A</v>
      </c>
      <c r="EZ13" s="6" t="str">
        <f>IF(G13='Designer Shutter Data'!$S$15,'Designer Shutter Data'!$S$16, IF(G13=$FB$7,'Designer Shutter Data'!$T$15,'Designer Shutter Data'!$S$2))</f>
        <v>FauxwoodDesignerTiltrod</v>
      </c>
      <c r="FA13" s="6" t="e">
        <f>IF(G13=$FB$7,"No",VLOOKUP(L13,'Designer Shutter Data'!$BJ$62:$BK$75,2,FALSE))</f>
        <v>#N/A</v>
      </c>
      <c r="FB13" s="6" t="e">
        <f>IF(FA13="Yes", 'Designer Shutter Data'!$T$2,IF(G13=$FB$7,'Designer Shutter Data'!$T$15,'Designer Shutters Page 3'!EZ13))</f>
        <v>#N/A</v>
      </c>
      <c r="FC13" s="6" t="e">
        <f>MATCH(G13,'Designer Shutter Data'!$IG$15:$IJ$15,0)</f>
        <v>#N/A</v>
      </c>
      <c r="FD13" s="6" t="e">
        <f>MATCH(E13,'Designer Shutter Data'!$IF$16:$IF$18,0)</f>
        <v>#N/A</v>
      </c>
      <c r="FE13" s="6" t="e">
        <f>INDEX('Designer Shutter Data'!$IG$16:$IJ$18, 'Designer Shutters Page 3'!FD13, 'Designer Shutters Page 3'!FC13)</f>
        <v>#N/A</v>
      </c>
      <c r="FH13" s="6" t="str">
        <f t="shared" si="48"/>
        <v>SlidingSystemNA</v>
      </c>
      <c r="FJ13" s="6" t="e">
        <f>VLOOKUP(O13,'Designer Shutter Data'!$KP$2:$KR$44,3,FALSE)</f>
        <v>#N/A</v>
      </c>
      <c r="FL13" s="11" t="b">
        <f>IF(N13=$FL$7,'Designer Shutter Data'!$GH$98,DM13)</f>
        <v>0</v>
      </c>
    </row>
    <row r="14" spans="1:168" ht="36.75" customHeight="1" x14ac:dyDescent="0.2">
      <c r="A14" s="50">
        <v>6</v>
      </c>
      <c r="B14" s="51"/>
      <c r="C14" s="44"/>
      <c r="D14" s="31"/>
      <c r="E14" s="44"/>
      <c r="F14" s="31"/>
      <c r="G14" s="43"/>
      <c r="H14" s="234"/>
      <c r="I14" s="235"/>
      <c r="J14" s="44"/>
      <c r="K14" s="45"/>
      <c r="L14" s="45"/>
      <c r="M14" s="45"/>
      <c r="N14" s="45"/>
      <c r="O14" s="45"/>
      <c r="P14" s="236"/>
      <c r="Q14" s="236"/>
      <c r="R14" s="43"/>
      <c r="S14" s="43"/>
      <c r="T14" s="43"/>
      <c r="U14" s="43"/>
      <c r="V14" s="45"/>
      <c r="W14" s="45"/>
      <c r="X14" s="43"/>
      <c r="Y14" s="46"/>
      <c r="Z14" s="47"/>
      <c r="AA14" s="47"/>
      <c r="AB14" s="47"/>
      <c r="AC14" s="44"/>
      <c r="AD14" s="44"/>
      <c r="AE14" s="48" t="str">
        <f t="shared" si="0"/>
        <v/>
      </c>
      <c r="AI14" s="6">
        <f t="shared" si="38"/>
        <v>0</v>
      </c>
      <c r="AJ14" s="6">
        <f t="shared" si="39"/>
        <v>0</v>
      </c>
      <c r="AK14" s="6">
        <f>IF(O14&lt;&gt;"",VLOOKUP(O14,'Designer Shutter Data'!$KP$2:$KQ$44,2,FALSE),0)</f>
        <v>0</v>
      </c>
      <c r="AT14" s="49" t="str">
        <f t="shared" si="1"/>
        <v/>
      </c>
      <c r="AV14" s="6" t="str">
        <f>IF(G14=$AV$7,'Designer Shutter Data'!$D$38,'Designer Shutter Data'!$D$2)</f>
        <v>FauxwoodDesignerColour</v>
      </c>
      <c r="AW14" s="130" t="e">
        <f t="shared" si="40"/>
        <v>#N/A</v>
      </c>
      <c r="AX14" s="130" t="e">
        <f>VLOOKUP(M14,'Designer Shutter Data'!$JK$2:$JL$7,2,FALSE)</f>
        <v>#N/A</v>
      </c>
      <c r="AY14" s="38" t="b">
        <v>0</v>
      </c>
      <c r="AZ14" s="38" t="str">
        <f t="shared" si="2"/>
        <v>No</v>
      </c>
      <c r="BA14" s="38" t="e">
        <f t="shared" si="3"/>
        <v>#DIV/0!</v>
      </c>
      <c r="BB14" s="38" t="e">
        <f t="shared" si="4"/>
        <v>#DIV/0!</v>
      </c>
      <c r="BC14" s="38" t="e">
        <f t="shared" si="5"/>
        <v>#DIV/0!</v>
      </c>
      <c r="BD14" s="38" t="str">
        <f t="shared" si="6"/>
        <v>No</v>
      </c>
      <c r="BE14" s="38" t="e">
        <f>IF(OR(AND(C14&gt;0,#REF!="")), "Required","NotRequired")</f>
        <v>#REF!</v>
      </c>
      <c r="BF14" s="38" t="b">
        <v>0</v>
      </c>
      <c r="BG14" s="38" t="e">
        <f t="shared" si="41"/>
        <v>#DIV/0!</v>
      </c>
      <c r="BH14" s="39" t="str">
        <f t="shared" si="7"/>
        <v>NoHighlight</v>
      </c>
      <c r="BI14" s="38" t="str">
        <f t="shared" si="8"/>
        <v>FauxwoodRPNo</v>
      </c>
      <c r="BJ14" s="110" t="str">
        <f>IF(SUM(--ISNUMBER(SEARCH({"t","T"}, O14))),"Yes","No")</f>
        <v>No</v>
      </c>
      <c r="BK14" s="127" t="str">
        <f t="shared" si="9"/>
        <v>OK</v>
      </c>
      <c r="BL14" s="127" t="str">
        <f t="shared" si="10"/>
        <v>OK</v>
      </c>
      <c r="BM14" s="127" t="str">
        <f t="shared" si="11"/>
        <v>OK</v>
      </c>
      <c r="BN14" s="39" t="str">
        <f t="shared" si="12"/>
        <v>OK</v>
      </c>
      <c r="BO14" s="39" t="str">
        <f t="shared" si="13"/>
        <v>FauxwoodAINo</v>
      </c>
      <c r="BP14" s="39" t="str">
        <f>IF(SUM(--ISNUMBER(SEARCH({"combo","Combo","COMBO"}, B31))),"Yes","No")</f>
        <v>No</v>
      </c>
      <c r="BQ14" s="39" t="str">
        <f t="shared" si="42"/>
        <v>No</v>
      </c>
      <c r="BR14" s="39" t="str">
        <f>IF(SUM(--ISNUMBER(SEARCH({"c","C","b","B"}, L14))),"Yes","No")</f>
        <v>No</v>
      </c>
      <c r="BS14" s="11">
        <f t="shared" si="14"/>
        <v>0</v>
      </c>
      <c r="BT14" s="11" t="s">
        <v>820</v>
      </c>
      <c r="BU14" s="11" t="s">
        <v>820</v>
      </c>
      <c r="BV14" s="40">
        <f t="shared" si="15"/>
        <v>0</v>
      </c>
      <c r="BW14" s="40">
        <f t="shared" si="16"/>
        <v>0</v>
      </c>
      <c r="BX14" s="11" t="e">
        <f t="shared" si="17"/>
        <v>#DIV/0!</v>
      </c>
      <c r="BY14" s="11" t="b">
        <v>0</v>
      </c>
      <c r="BZ14" s="11" t="b">
        <v>0</v>
      </c>
      <c r="CA14" s="11" t="e">
        <v>#REF!</v>
      </c>
      <c r="CB14" s="11" t="s">
        <v>82</v>
      </c>
      <c r="CC14" s="11" t="e">
        <f t="shared" si="18"/>
        <v>#DIV/0!</v>
      </c>
      <c r="CD14" s="11" t="e">
        <f>VLOOKUP(P14,'Designer Shutter Data'!$H$3:$I$19,2,FALSE)</f>
        <v>#N/A</v>
      </c>
      <c r="CE14" s="11" t="s">
        <v>820</v>
      </c>
      <c r="CF14" s="11" t="str">
        <f>IF(SUM(--ISNUMBER(SEARCH({"z","Z"}, P14))),"Yes","No")</f>
        <v>No</v>
      </c>
      <c r="CG14" s="11" t="str">
        <f t="shared" si="19"/>
        <v>OK</v>
      </c>
      <c r="CH14" s="11">
        <f t="shared" si="20"/>
        <v>0</v>
      </c>
      <c r="CI14" s="120" t="e">
        <f>IF(O14="N/A","N/A",VLOOKUP(O14,'Designer Shutter Data'!$AO$3:$AP$171,2,FALSE))</f>
        <v>#N/A</v>
      </c>
      <c r="CJ14" s="120" t="e">
        <f t="shared" si="21"/>
        <v>#N/A</v>
      </c>
      <c r="CK14" s="40"/>
      <c r="CL14" s="40"/>
      <c r="CM14" s="40"/>
      <c r="CN14" s="41" t="str">
        <f t="shared" si="22"/>
        <v>OK</v>
      </c>
      <c r="CO14" s="129" t="b">
        <f t="shared" si="23"/>
        <v>0</v>
      </c>
      <c r="CP14" s="129" t="b">
        <f t="shared" si="24"/>
        <v>0</v>
      </c>
      <c r="CQ14" s="40">
        <f t="shared" si="25"/>
        <v>0</v>
      </c>
      <c r="CR14" s="133">
        <f t="shared" si="26"/>
        <v>0</v>
      </c>
      <c r="CS14" s="40">
        <f t="shared" si="43"/>
        <v>0</v>
      </c>
      <c r="CT14" s="133" t="e">
        <f t="shared" si="27"/>
        <v>#N/A</v>
      </c>
      <c r="CU14" s="11" t="b">
        <v>0</v>
      </c>
      <c r="CV14" s="11" t="b">
        <v>0</v>
      </c>
      <c r="CW14" s="11" t="b">
        <v>0</v>
      </c>
      <c r="CX14" s="11" t="b">
        <v>0</v>
      </c>
      <c r="CY14" s="40" t="e">
        <f>IF(OR(AND(#REF!&gt;0,#REF!="")), "Error","OK")</f>
        <v>#REF!</v>
      </c>
      <c r="CZ14" s="11" t="e">
        <v>#REF!</v>
      </c>
      <c r="DA14" s="6" t="str">
        <f t="shared" si="28"/>
        <v/>
      </c>
      <c r="DD14" s="6" t="s">
        <v>84</v>
      </c>
      <c r="DE14" s="6" t="b">
        <f>IF(M14='Designer Shutter Data'!$F$3,'Designer Shutter Data'!$FY$7,IF(M14='Designer Shutter Data'!$F$4,'Designer Shutter Data'!$FZ$2,IF(M14='Designer Shutter Data'!$F$5,FJ14, IF(M14='Designer Shutter Data'!$F$6,'Designer Shutter Data'!$GA$2,IF(M14='Designer Shutter Data'!$F$7,'Designer Shutter Data'!$FY$2, IF(M14='Designer Shutter Data'!$F$8,'Designer Shutter Data'!$FZ$7, IF(M14='Designer Shutter Data'!$F$14,'Designer Shutter Data'!$FZ$14)))))))</f>
        <v>0</v>
      </c>
      <c r="DF14" s="6" t="e">
        <f>VLOOKUP(M14,'Designer Shutter Data'!$M$2:$N$8,2,FALSE)</f>
        <v>#N/A</v>
      </c>
      <c r="DH14" s="123" t="e">
        <f>VLOOKUP(O14,'Designer Shutter Data'!$IN$2:$IO$169,2,FALSE)</f>
        <v>#N/A</v>
      </c>
      <c r="DI14" s="103" t="e">
        <f t="shared" si="29"/>
        <v>#N/A</v>
      </c>
      <c r="DJ14" s="103" t="e">
        <f t="shared" si="44"/>
        <v>#N/A</v>
      </c>
      <c r="DK14" s="7" t="b">
        <f>IF(P14='Designer Shutter Data'!$GC$2,'Designer Shutter Data'!$GD$2,IF(P14='Designer Shutter Data'!$GC$3,'Designer Shutter Data'!$GE$2,IF(P14='Designer Shutter Data'!$GC$4,'Designer Shutter Data'!$GF$2,IF(P14='Designer Shutter Data'!$GC$5,'Designer Shutter Data'!$GG$2,IF(P14='Designer Shutter Data'!$GC$6,'Designer Shutter Data'!$GH$2,IF(P14='Designer Shutter Data'!$GC$7,'Designer Shutter Data'!$GI$2,IF(P14='Designer Shutter Data'!$GC$8,'Designer Shutter Data'!$GJ$2,IF(P14='Designer Shutter Data'!$GC$9,'Designer Shutter Data'!$GK$2,IF(P14='Designer Shutter Data'!$GC$10,'Designer Shutter Data'!$GL$2,IF(P14='Designer Shutter Data'!$GC$11,'Designer Shutter Data'!$GM$2,IF(P14='Designer Shutter Data'!$GC$12,'Designer Shutter Data'!$GN$2,IF(P14='Designer Shutter Data'!$GC$13,'Designer Shutter Data'!$GO$2,IF(P14='Designer Shutter Data'!$GC$14,'Designer Shutter Data'!$GP$2,IF(P14='Designer Shutter Data'!$GC$15,'Designer Shutter Data'!$GD$15,IF(P14='Designer Shutter Data'!$GC$16,'Designer Shutter Data'!$GE$15,IF(P14='Designer Shutter Data'!$GC$17,'Designer Shutter Data'!$GF$15,IF(P14='Designer Shutter Data'!$GC$18,'Designer Shutter Data'!$GG$15,IF(P14='Designer Shutter Data'!$GC$19,'Designer Shutter Data'!$GD$73,IF(P14='Designer Shutter Data'!$GC$20,'Designer Shutter Data'!$GD$88, IF(P14='Designer Shutter Data'!$GC$21,'Designer Shutter Data'!$GH$15, IF(P14='Designer Shutter Data'!$GC$22,'Designer Shutter Data'!$GJ$2, IF(P14='Designer Shutter Data'!$GC$23,'Designer Shutter Data'!$GL$2))))))))))))))))))))))</f>
        <v>0</v>
      </c>
      <c r="DL14" s="7" t="b">
        <f>IF(P14='Designer Shutter Data'!$GC$2,'Designer Shutter Data'!$GD$25,IF(P14='Designer Shutter Data'!$GC$3,'Designer Shutter Data'!$GE$25,IF(P14='Designer Shutter Data'!$GC$4,'Designer Shutter Data'!$GF$25,IF(P14='Designer Shutter Data'!$GC$5,'Designer Shutter Data'!$GG$25,IF(P14='Designer Shutter Data'!$GC$6,'Designer Shutter Data'!$GH$25,IF(P14='Designer Shutter Data'!$GC$7,'Designer Shutter Data'!$GI$25,IF(P14='Designer Shutter Data'!$GC$8,'Designer Shutter Data'!$GJ$25,IF(P14='Designer Shutter Data'!$GC$9,'Designer Shutter Data'!$GK$25,IF(P14='Designer Shutter Data'!$GC$10,'Designer Shutter Data'!$GL$25,IF(P14='Designer Shutter Data'!$GC$11,'Designer Shutter Data'!$GM$25,IF(P14='Designer Shutter Data'!$GC$12,'Designer Shutter Data'!$GN$25,IF(P14='Designer Shutter Data'!$GC$13,'Designer Shutter Data'!$GO$25,IF(P14='Designer Shutter Data'!$GC$14,'Designer Shutter Data'!$GP$25,IF(P14='Designer Shutter Data'!$GC$15,'Designer Shutter Data'!$GD$37,IF(P14='Designer Shutter Data'!$GC$15,'Designer Shutter Data'!$GD$37,IF(P14='Designer Shutter Data'!$GC$16,'Designer Shutter Data'!$GE$37,IF(P14='Designer Shutter Data'!$GC$17,'Designer Shutter Data'!$GF$37,IF(P14='Designer Shutter Data'!$GC$18,'Designer Shutter Data'!$GG$37, IF(P14='Designer Shutter Data'!$GC$19,'Designer Shutter Data'!$GD$73, IF(P14='Designer Shutter Data'!$GC$20,'Designer Shutter Data'!$GE$88, IF(P14='Designer Shutter Data'!$GC$21,'Designer Shutter Data'!$GH$37,IF(P14='Designer Shutter Data'!$GC$22,'Designer Shutter Data'!$GJ$25,IF(P14='Designer Shutter Data'!$GC$23,'Designer Shutter Data'!$GL$25)))))))))))))))))))))))</f>
        <v>0</v>
      </c>
      <c r="DM14" s="118" t="b">
        <f>IF(P14='Designer Shutter Data'!$GC$2,'Designer Shutter Data'!$GD$47,IF(P14='Designer Shutter Data'!$GC$3,'Designer Shutter Data'!$GE$47,IF(P14='Designer Shutter Data'!$GC$4,'Designer Shutter Data'!$GF$47,IF(P14='Designer Shutter Data'!$GC$5,'Designer Shutter Data'!$GG$47,IF(P14='Designer Shutter Data'!$GC$6,'Designer Shutter Data'!$GH$47,IF(P14='Designer Shutter Data'!$GC$7,'Designer Shutter Data'!$GI$47,IF(P14='Designer Shutter Data'!$GC$8,'Designer Shutter Data'!$GJ$47,IF(P14='Designer Shutter Data'!$GC$9,'Designer Shutter Data'!$GK$47,IF(P14='Designer Shutter Data'!$GC$10,'Designer Shutter Data'!$GL$47,IF(P14='Designer Shutter Data'!$GC$11,'Designer Shutter Data'!$GM$47,IF(P14='Designer Shutter Data'!$GC$12,'Designer Shutter Data'!$GN$47,IF(P14='Designer Shutter Data'!$GC$13,'Designer Shutter Data'!$GO$47,IF(P14='Designer Shutter Data'!$GC$14,'Designer Shutter Data'!$GP$47, IF(P14='Designer Shutter Data'!$GC$19,'Designer Shutter Data'!$GD$73, IF(P14='Designer Shutter Data'!$GC$20,'Designer Shutter Data'!$GF$88, IF(M14='Designer Shutter Data'!$F$5,'Designer Shutter Data'!$GE$59, IF(M14='Designer Shutter Data'!$F$6,'Designer Shutter Data'!$GD$59, IF(P14='Designer Shutter Data'!$GC$21,'Designer Shutter Data'!$GF$59,IF(P14='Designer Shutter Data'!$GC$22,'Designer Shutter Data'!$GJ$47,IF(P14='Designer Shutter Data'!$GC$23,'Designer Shutter Data'!$GL$47))))))))))))))))))))</f>
        <v>0</v>
      </c>
      <c r="DN14" s="107" t="str">
        <f t="shared" si="45"/>
        <v/>
      </c>
      <c r="DO14" s="107" t="e">
        <f t="shared" si="46"/>
        <v>#N/A</v>
      </c>
      <c r="DP14" s="107" t="str">
        <f t="shared" si="30"/>
        <v>OK</v>
      </c>
      <c r="DQ14" s="107" t="str">
        <f t="shared" si="31"/>
        <v>OK</v>
      </c>
      <c r="DR14" s="107" t="str">
        <f t="shared" si="32"/>
        <v>OK</v>
      </c>
      <c r="DS14" s="107" t="str">
        <f t="shared" si="33"/>
        <v>OK</v>
      </c>
      <c r="DT14" s="7" t="b">
        <f>IF(E14='Designer Shutter Data'!$GV$2,'Designer Shutter Data'!$GW$2,IF(E14='Designer Shutter Data'!$GV$3,'Designer Shutter Data'!$GX$2,IF(E14='Designer Shutter Data'!$GV$4,'Designer Shutter Data'!$GY$2)))</f>
        <v>0</v>
      </c>
      <c r="DU14" s="40" t="e">
        <f>MATCH(E14,'Designer Shutter Data'!$HB$1:$HD$1,0)</f>
        <v>#N/A</v>
      </c>
      <c r="DV14" s="40" t="e">
        <f>MATCH(M14,'Designer Shutter Data'!$HA$2:$HA$8,0)</f>
        <v>#N/A</v>
      </c>
      <c r="DW14" s="11" t="e">
        <f>INDEX('Designer Shutter Data'!$HB$2:$HD$8,DV14,DU14)</f>
        <v>#N/A</v>
      </c>
      <c r="DX14" s="11" t="b">
        <f>IF(E14='Designer Shutter Data'!$IG$1,'Designer Shutter Data'!$IG$2,IF(E14='Designer Shutter Data'!$IH$1,'Designer Shutter Data'!$IH$2, IF(E14='Designer Shutter Data'!$II$1,'Designer Shutter Data'!$II$2)))</f>
        <v>0</v>
      </c>
      <c r="DY14" s="11" t="str">
        <f>IF(E14="MS",'Designer Shutter Data'!$BI$2,IF(G14='Designer Shutter Data'!$BJ$34,'Designer Shutter Data'!$BJ$35,'Designer Shutter Data'!$BJ$2))</f>
        <v>FauxwoodDesignerWindowType</v>
      </c>
      <c r="DZ14" s="118" t="b">
        <f>IF(M14='Designer Shutter Data'!$F$3,'Designer Shutter Data'!$GF$88, IF(M14='Designer Shutter Data'!$F$4,'Designer Shutter Data'!$GE$59, IF(M14='Designer Shutter Data'!$F$5,'Designer Shutter Data'!$GD$59, IF(M14='Designer Shutter Data'!$F$6,'Designer Shutter Data'!$GD$59, IF(M14='Designer Shutter Data'!$F$7,'Designer Shutter Data'!$GD$73)))))</f>
        <v>0</v>
      </c>
      <c r="EB14" s="6" t="b">
        <f>IF(M14='Designer Shutter Data'!$IT$2,'Designer Shutter Data'!$JA$2, IF(M14='Designer Shutter Data'!$IT$3,'Designer Shutter Data'!$JC$2, IF(M14='Designer Shutter Data'!$IT$4,'Designer Shutter Data'!$JE$2, IF(M14='Designer Shutter Data'!$IT$5,'Designer Shutter Data'!$JG$2, IF(M14='Designer Shutter Data'!$IT$6,'Designer Shutter Data'!$JI$2, IF(M14='Designer Shutter Data'!$IT$7,'Designer Shutter Data'!$JZ$2, IF(M14='Designer Shutter Data'!$IT$8,'Designer Shutter Data'!$JI$16)))))))</f>
        <v>0</v>
      </c>
      <c r="EC14" s="6" t="str">
        <f t="shared" si="34"/>
        <v>NoHighlight</v>
      </c>
      <c r="ED14" s="7" t="e">
        <f>VLOOKUP(M14,'Designer Shutter Data'!$JW$5:$JX$10,2,FALSE)</f>
        <v>#N/A</v>
      </c>
      <c r="EE14" s="7" t="e">
        <f t="shared" si="35"/>
        <v>#N/A</v>
      </c>
      <c r="EF14" s="118" t="e">
        <f>VLOOKUP(O14,'Designer Shutter Data'!$AO$3:$AQ$171,1,FALSE)</f>
        <v>#N/A</v>
      </c>
      <c r="EG14" s="7" t="e">
        <f t="shared" si="36"/>
        <v>#N/A</v>
      </c>
      <c r="EH14" s="6" t="str">
        <f t="shared" si="37"/>
        <v/>
      </c>
      <c r="EJ14" s="40" t="e">
        <f>MATCH(M14,'Designer Shutter Data'!$KD$1:$KI$1,0)</f>
        <v>#N/A</v>
      </c>
      <c r="EK14" s="40" t="e">
        <f>MATCH(P14,'Designer Shutter Data'!$KC$2:$KC$21,0)</f>
        <v>#N/A</v>
      </c>
      <c r="EL14" s="136" t="e">
        <f>INDEX('Designer Shutter Data'!$KD$2:$KI$21,EK14,EJ14)</f>
        <v>#N/A</v>
      </c>
      <c r="EP14" s="6" t="str">
        <f>IF(AC14&lt;&gt;$EO$4,'Designer Shutter Data'!$BR$2,'Designer Shutter Data'!$BR$9)</f>
        <v>Fluffy_Strip_Fauxwood</v>
      </c>
      <c r="ER14" s="6" t="str">
        <f>IF(G14='Designer Shutter Data'!$E$26,'Designer Shutter Data'!$E$27,IF(G14='Designer Shutter Data'!$E$37,'Designer Shutter Data'!$E$38,'Designer Shutter Data'!$E$2))</f>
        <v>FauxwoodDesignerBladeSize</v>
      </c>
      <c r="ET14" s="6" t="str">
        <f t="shared" si="47"/>
        <v>Stile T Post</v>
      </c>
      <c r="EW14" s="40" t="e">
        <f>MATCH(G14,'Designer Shutter Data'!$AV$27:$AV$30,0)</f>
        <v>#N/A</v>
      </c>
      <c r="EX14" s="40" t="e">
        <f>MATCH(AC14,'Designer Shutter Data'!$AW$26:$AX$26,0)</f>
        <v>#N/A</v>
      </c>
      <c r="EY14" s="136" t="e">
        <f>INDEX('Designer Shutter Data'!$AW$27:$AX$30,EW14,EX14)</f>
        <v>#N/A</v>
      </c>
      <c r="EZ14" s="6" t="str">
        <f>IF(G14='Designer Shutter Data'!$S$15,'Designer Shutter Data'!$S$16, IF(G14=$FB$7,'Designer Shutter Data'!$T$15,'Designer Shutter Data'!$S$2))</f>
        <v>FauxwoodDesignerTiltrod</v>
      </c>
      <c r="FA14" s="6" t="e">
        <f>IF(G14=$FB$7,"No",VLOOKUP(L14,'Designer Shutter Data'!$BJ$62:$BK$75,2,FALSE))</f>
        <v>#N/A</v>
      </c>
      <c r="FB14" s="6" t="e">
        <f>IF(FA14="Yes", 'Designer Shutter Data'!$T$2,IF(G14=$FB$7,'Designer Shutter Data'!$T$15,'Designer Shutters Page 3'!EZ14))</f>
        <v>#N/A</v>
      </c>
      <c r="FC14" s="6" t="e">
        <f>MATCH(G14,'Designer Shutter Data'!$IG$15:$IJ$15,0)</f>
        <v>#N/A</v>
      </c>
      <c r="FD14" s="6" t="e">
        <f>MATCH(E14,'Designer Shutter Data'!$IF$16:$IF$18,0)</f>
        <v>#N/A</v>
      </c>
      <c r="FE14" s="6" t="e">
        <f>INDEX('Designer Shutter Data'!$IG$16:$IJ$18, 'Designer Shutters Page 3'!FD14, 'Designer Shutters Page 3'!FC14)</f>
        <v>#N/A</v>
      </c>
      <c r="FH14" s="6" t="str">
        <f t="shared" si="48"/>
        <v>SlidingSystemNA</v>
      </c>
      <c r="FJ14" s="6" t="e">
        <f>VLOOKUP(O14,'Designer Shutter Data'!$KP$2:$KR$44,3,FALSE)</f>
        <v>#N/A</v>
      </c>
      <c r="FL14" s="11" t="b">
        <f>IF(N14=$FL$7,'Designer Shutter Data'!$GH$98,DM14)</f>
        <v>0</v>
      </c>
    </row>
    <row r="15" spans="1:168" ht="36.75" customHeight="1" x14ac:dyDescent="0.2">
      <c r="A15" s="50">
        <v>7</v>
      </c>
      <c r="B15" s="51"/>
      <c r="C15" s="44"/>
      <c r="D15" s="31"/>
      <c r="E15" s="44"/>
      <c r="F15" s="31"/>
      <c r="G15" s="43"/>
      <c r="H15" s="234"/>
      <c r="I15" s="235"/>
      <c r="J15" s="44"/>
      <c r="K15" s="45"/>
      <c r="L15" s="45"/>
      <c r="M15" s="45"/>
      <c r="N15" s="45"/>
      <c r="O15" s="45"/>
      <c r="P15" s="236"/>
      <c r="Q15" s="236"/>
      <c r="R15" s="43"/>
      <c r="S15" s="43"/>
      <c r="T15" s="43"/>
      <c r="U15" s="43"/>
      <c r="V15" s="45"/>
      <c r="W15" s="45"/>
      <c r="X15" s="43"/>
      <c r="Y15" s="46"/>
      <c r="Z15" s="47"/>
      <c r="AA15" s="47"/>
      <c r="AB15" s="47"/>
      <c r="AC15" s="44"/>
      <c r="AD15" s="44"/>
      <c r="AE15" s="48" t="str">
        <f t="shared" si="0"/>
        <v/>
      </c>
      <c r="AI15" s="6">
        <f t="shared" si="38"/>
        <v>0</v>
      </c>
      <c r="AJ15" s="6">
        <f t="shared" si="39"/>
        <v>0</v>
      </c>
      <c r="AK15" s="6">
        <f>IF(O15&lt;&gt;"",VLOOKUP(O15,'Designer Shutter Data'!$KP$2:$KQ$44,2,FALSE),0)</f>
        <v>0</v>
      </c>
      <c r="AT15" s="49" t="str">
        <f t="shared" si="1"/>
        <v/>
      </c>
      <c r="AV15" s="6" t="str">
        <f>IF(G15=$AV$7,'Designer Shutter Data'!$D$38,'Designer Shutter Data'!$D$2)</f>
        <v>FauxwoodDesignerColour</v>
      </c>
      <c r="AW15" s="130" t="e">
        <f t="shared" si="40"/>
        <v>#N/A</v>
      </c>
      <c r="AX15" s="130" t="e">
        <f>VLOOKUP(M15,'Designer Shutter Data'!$JK$2:$JL$7,2,FALSE)</f>
        <v>#N/A</v>
      </c>
      <c r="AY15" s="38" t="b">
        <v>0</v>
      </c>
      <c r="AZ15" s="38" t="str">
        <f t="shared" si="2"/>
        <v>No</v>
      </c>
      <c r="BA15" s="38" t="e">
        <f t="shared" si="3"/>
        <v>#DIV/0!</v>
      </c>
      <c r="BB15" s="38" t="e">
        <f t="shared" si="4"/>
        <v>#DIV/0!</v>
      </c>
      <c r="BC15" s="38" t="e">
        <f t="shared" si="5"/>
        <v>#DIV/0!</v>
      </c>
      <c r="BD15" s="38" t="str">
        <f t="shared" si="6"/>
        <v>No</v>
      </c>
      <c r="BE15" s="38" t="e">
        <f>IF(OR(AND(C15&gt;0,#REF!="")), "Required","NotRequired")</f>
        <v>#REF!</v>
      </c>
      <c r="BF15" s="38" t="b">
        <v>0</v>
      </c>
      <c r="BG15" s="38" t="e">
        <f t="shared" si="41"/>
        <v>#DIV/0!</v>
      </c>
      <c r="BH15" s="39" t="str">
        <f t="shared" si="7"/>
        <v>NoHighlight</v>
      </c>
      <c r="BI15" s="38" t="str">
        <f t="shared" si="8"/>
        <v>FauxwoodRPNo</v>
      </c>
      <c r="BJ15" s="110" t="str">
        <f>IF(SUM(--ISNUMBER(SEARCH({"t","T"}, O15))),"Yes","No")</f>
        <v>No</v>
      </c>
      <c r="BK15" s="127" t="str">
        <f t="shared" si="9"/>
        <v>OK</v>
      </c>
      <c r="BL15" s="127" t="str">
        <f t="shared" si="10"/>
        <v>OK</v>
      </c>
      <c r="BM15" s="127" t="str">
        <f t="shared" si="11"/>
        <v>OK</v>
      </c>
      <c r="BN15" s="39" t="str">
        <f t="shared" si="12"/>
        <v>OK</v>
      </c>
      <c r="BO15" s="39" t="str">
        <f t="shared" si="13"/>
        <v>FauxwoodAINo</v>
      </c>
      <c r="BP15" s="39" t="str">
        <f>IF(SUM(--ISNUMBER(SEARCH({"combo","Combo","COMBO"}, B32))),"Yes","No")</f>
        <v>No</v>
      </c>
      <c r="BQ15" s="39" t="str">
        <f t="shared" si="42"/>
        <v>No</v>
      </c>
      <c r="BR15" s="39" t="str">
        <f>IF(SUM(--ISNUMBER(SEARCH({"c","C","b","B"}, L15))),"Yes","No")</f>
        <v>No</v>
      </c>
      <c r="BS15" s="11">
        <f t="shared" si="14"/>
        <v>0</v>
      </c>
      <c r="BT15" s="11" t="s">
        <v>820</v>
      </c>
      <c r="BU15" s="11" t="s">
        <v>820</v>
      </c>
      <c r="BV15" s="40">
        <f t="shared" si="15"/>
        <v>0</v>
      </c>
      <c r="BW15" s="40">
        <f t="shared" si="16"/>
        <v>0</v>
      </c>
      <c r="BX15" s="11" t="e">
        <f t="shared" si="17"/>
        <v>#DIV/0!</v>
      </c>
      <c r="BY15" s="11" t="b">
        <v>0</v>
      </c>
      <c r="BZ15" s="11" t="b">
        <v>0</v>
      </c>
      <c r="CA15" s="11" t="e">
        <v>#REF!</v>
      </c>
      <c r="CB15" s="11" t="s">
        <v>82</v>
      </c>
      <c r="CC15" s="11" t="e">
        <f t="shared" si="18"/>
        <v>#DIV/0!</v>
      </c>
      <c r="CD15" s="11" t="e">
        <f>VLOOKUP(P15,'Designer Shutter Data'!$H$3:$I$19,2,FALSE)</f>
        <v>#N/A</v>
      </c>
      <c r="CE15" s="11" t="s">
        <v>820</v>
      </c>
      <c r="CF15" s="11" t="str">
        <f>IF(SUM(--ISNUMBER(SEARCH({"z","Z"}, P15))),"Yes","No")</f>
        <v>No</v>
      </c>
      <c r="CG15" s="11" t="str">
        <f t="shared" si="19"/>
        <v>OK</v>
      </c>
      <c r="CH15" s="11">
        <f t="shared" si="20"/>
        <v>0</v>
      </c>
      <c r="CI15" s="120" t="e">
        <f>IF(O15="N/A","N/A",VLOOKUP(O15,'Designer Shutter Data'!$AO$3:$AP$171,2,FALSE))</f>
        <v>#N/A</v>
      </c>
      <c r="CJ15" s="120" t="e">
        <f t="shared" si="21"/>
        <v>#N/A</v>
      </c>
      <c r="CK15" s="40"/>
      <c r="CL15" s="40"/>
      <c r="CM15" s="40"/>
      <c r="CN15" s="41" t="str">
        <f t="shared" si="22"/>
        <v>OK</v>
      </c>
      <c r="CO15" s="129" t="b">
        <f t="shared" si="23"/>
        <v>0</v>
      </c>
      <c r="CP15" s="129" t="b">
        <f t="shared" si="24"/>
        <v>0</v>
      </c>
      <c r="CQ15" s="40">
        <f t="shared" si="25"/>
        <v>0</v>
      </c>
      <c r="CR15" s="133">
        <f t="shared" si="26"/>
        <v>0</v>
      </c>
      <c r="CS15" s="40">
        <f t="shared" si="43"/>
        <v>0</v>
      </c>
      <c r="CT15" s="133" t="e">
        <f t="shared" si="27"/>
        <v>#N/A</v>
      </c>
      <c r="CU15" s="11" t="b">
        <v>0</v>
      </c>
      <c r="CV15" s="11" t="b">
        <v>0</v>
      </c>
      <c r="CW15" s="11" t="b">
        <v>0</v>
      </c>
      <c r="CX15" s="11" t="b">
        <v>0</v>
      </c>
      <c r="CY15" s="40" t="e">
        <f>IF(OR(AND(#REF!&gt;0,#REF!="")), "Error","OK")</f>
        <v>#REF!</v>
      </c>
      <c r="CZ15" s="11" t="e">
        <v>#REF!</v>
      </c>
      <c r="DA15" s="6" t="str">
        <f t="shared" si="28"/>
        <v/>
      </c>
      <c r="DD15" s="6" t="s">
        <v>84</v>
      </c>
      <c r="DE15" s="6" t="b">
        <f>IF(M15='Designer Shutter Data'!$F$3,'Designer Shutter Data'!$FY$7,IF(M15='Designer Shutter Data'!$F$4,'Designer Shutter Data'!$FZ$2,IF(M15='Designer Shutter Data'!$F$5,FJ15, IF(M15='Designer Shutter Data'!$F$6,'Designer Shutter Data'!$GA$2,IF(M15='Designer Shutter Data'!$F$7,'Designer Shutter Data'!$FY$2, IF(M15='Designer Shutter Data'!$F$8,'Designer Shutter Data'!$FZ$7, IF(M15='Designer Shutter Data'!$F$14,'Designer Shutter Data'!$FZ$14)))))))</f>
        <v>0</v>
      </c>
      <c r="DF15" s="6" t="e">
        <f>VLOOKUP(M15,'Designer Shutter Data'!$M$2:$N$8,2,FALSE)</f>
        <v>#N/A</v>
      </c>
      <c r="DH15" s="123" t="e">
        <f>VLOOKUP(O15,'Designer Shutter Data'!$IN$2:$IO$169,2,FALSE)</f>
        <v>#N/A</v>
      </c>
      <c r="DI15" s="103" t="e">
        <f t="shared" si="29"/>
        <v>#N/A</v>
      </c>
      <c r="DJ15" s="103" t="e">
        <f t="shared" si="44"/>
        <v>#N/A</v>
      </c>
      <c r="DK15" s="7" t="b">
        <f>IF(P15='Designer Shutter Data'!$GC$2,'Designer Shutter Data'!$GD$2,IF(P15='Designer Shutter Data'!$GC$3,'Designer Shutter Data'!$GE$2,IF(P15='Designer Shutter Data'!$GC$4,'Designer Shutter Data'!$GF$2,IF(P15='Designer Shutter Data'!$GC$5,'Designer Shutter Data'!$GG$2,IF(P15='Designer Shutter Data'!$GC$6,'Designer Shutter Data'!$GH$2,IF(P15='Designer Shutter Data'!$GC$7,'Designer Shutter Data'!$GI$2,IF(P15='Designer Shutter Data'!$GC$8,'Designer Shutter Data'!$GJ$2,IF(P15='Designer Shutter Data'!$GC$9,'Designer Shutter Data'!$GK$2,IF(P15='Designer Shutter Data'!$GC$10,'Designer Shutter Data'!$GL$2,IF(P15='Designer Shutter Data'!$GC$11,'Designer Shutter Data'!$GM$2,IF(P15='Designer Shutter Data'!$GC$12,'Designer Shutter Data'!$GN$2,IF(P15='Designer Shutter Data'!$GC$13,'Designer Shutter Data'!$GO$2,IF(P15='Designer Shutter Data'!$GC$14,'Designer Shutter Data'!$GP$2,IF(P15='Designer Shutter Data'!$GC$15,'Designer Shutter Data'!$GD$15,IF(P15='Designer Shutter Data'!$GC$16,'Designer Shutter Data'!$GE$15,IF(P15='Designer Shutter Data'!$GC$17,'Designer Shutter Data'!$GF$15,IF(P15='Designer Shutter Data'!$GC$18,'Designer Shutter Data'!$GG$15,IF(P15='Designer Shutter Data'!$GC$19,'Designer Shutter Data'!$GD$73,IF(P15='Designer Shutter Data'!$GC$20,'Designer Shutter Data'!$GD$88, IF(P15='Designer Shutter Data'!$GC$21,'Designer Shutter Data'!$GH$15, IF(P15='Designer Shutter Data'!$GC$22,'Designer Shutter Data'!$GJ$2, IF(P15='Designer Shutter Data'!$GC$23,'Designer Shutter Data'!$GL$2))))))))))))))))))))))</f>
        <v>0</v>
      </c>
      <c r="DL15" s="7" t="b">
        <f>IF(P15='Designer Shutter Data'!$GC$2,'Designer Shutter Data'!$GD$25,IF(P15='Designer Shutter Data'!$GC$3,'Designer Shutter Data'!$GE$25,IF(P15='Designer Shutter Data'!$GC$4,'Designer Shutter Data'!$GF$25,IF(P15='Designer Shutter Data'!$GC$5,'Designer Shutter Data'!$GG$25,IF(P15='Designer Shutter Data'!$GC$6,'Designer Shutter Data'!$GH$25,IF(P15='Designer Shutter Data'!$GC$7,'Designer Shutter Data'!$GI$25,IF(P15='Designer Shutter Data'!$GC$8,'Designer Shutter Data'!$GJ$25,IF(P15='Designer Shutter Data'!$GC$9,'Designer Shutter Data'!$GK$25,IF(P15='Designer Shutter Data'!$GC$10,'Designer Shutter Data'!$GL$25,IF(P15='Designer Shutter Data'!$GC$11,'Designer Shutter Data'!$GM$25,IF(P15='Designer Shutter Data'!$GC$12,'Designer Shutter Data'!$GN$25,IF(P15='Designer Shutter Data'!$GC$13,'Designer Shutter Data'!$GO$25,IF(P15='Designer Shutter Data'!$GC$14,'Designer Shutter Data'!$GP$25,IF(P15='Designer Shutter Data'!$GC$15,'Designer Shutter Data'!$GD$37,IF(P15='Designer Shutter Data'!$GC$15,'Designer Shutter Data'!$GD$37,IF(P15='Designer Shutter Data'!$GC$16,'Designer Shutter Data'!$GE$37,IF(P15='Designer Shutter Data'!$GC$17,'Designer Shutter Data'!$GF$37,IF(P15='Designer Shutter Data'!$GC$18,'Designer Shutter Data'!$GG$37, IF(P15='Designer Shutter Data'!$GC$19,'Designer Shutter Data'!$GD$73, IF(P15='Designer Shutter Data'!$GC$20,'Designer Shutter Data'!$GE$88, IF(P15='Designer Shutter Data'!$GC$21,'Designer Shutter Data'!$GH$37,IF(P15='Designer Shutter Data'!$GC$22,'Designer Shutter Data'!$GJ$25,IF(P15='Designer Shutter Data'!$GC$23,'Designer Shutter Data'!$GL$25)))))))))))))))))))))))</f>
        <v>0</v>
      </c>
      <c r="DM15" s="118" t="b">
        <f>IF(P15='Designer Shutter Data'!$GC$2,'Designer Shutter Data'!$GD$47,IF(P15='Designer Shutter Data'!$GC$3,'Designer Shutter Data'!$GE$47,IF(P15='Designer Shutter Data'!$GC$4,'Designer Shutter Data'!$GF$47,IF(P15='Designer Shutter Data'!$GC$5,'Designer Shutter Data'!$GG$47,IF(P15='Designer Shutter Data'!$GC$6,'Designer Shutter Data'!$GH$47,IF(P15='Designer Shutter Data'!$GC$7,'Designer Shutter Data'!$GI$47,IF(P15='Designer Shutter Data'!$GC$8,'Designer Shutter Data'!$GJ$47,IF(P15='Designer Shutter Data'!$GC$9,'Designer Shutter Data'!$GK$47,IF(P15='Designer Shutter Data'!$GC$10,'Designer Shutter Data'!$GL$47,IF(P15='Designer Shutter Data'!$GC$11,'Designer Shutter Data'!$GM$47,IF(P15='Designer Shutter Data'!$GC$12,'Designer Shutter Data'!$GN$47,IF(P15='Designer Shutter Data'!$GC$13,'Designer Shutter Data'!$GO$47,IF(P15='Designer Shutter Data'!$GC$14,'Designer Shutter Data'!$GP$47, IF(P15='Designer Shutter Data'!$GC$19,'Designer Shutter Data'!$GD$73, IF(P15='Designer Shutter Data'!$GC$20,'Designer Shutter Data'!$GF$88, IF(M15='Designer Shutter Data'!$F$5,'Designer Shutter Data'!$GE$59, IF(M15='Designer Shutter Data'!$F$6,'Designer Shutter Data'!$GD$59, IF(P15='Designer Shutter Data'!$GC$21,'Designer Shutter Data'!$GF$59,IF(P15='Designer Shutter Data'!$GC$22,'Designer Shutter Data'!$GJ$47,IF(P15='Designer Shutter Data'!$GC$23,'Designer Shutter Data'!$GL$47))))))))))))))))))))</f>
        <v>0</v>
      </c>
      <c r="DN15" s="107" t="str">
        <f t="shared" si="45"/>
        <v/>
      </c>
      <c r="DO15" s="107" t="e">
        <f t="shared" si="46"/>
        <v>#N/A</v>
      </c>
      <c r="DP15" s="107" t="str">
        <f t="shared" si="30"/>
        <v>OK</v>
      </c>
      <c r="DQ15" s="107" t="str">
        <f t="shared" si="31"/>
        <v>OK</v>
      </c>
      <c r="DR15" s="107" t="str">
        <f t="shared" si="32"/>
        <v>OK</v>
      </c>
      <c r="DS15" s="107" t="str">
        <f t="shared" si="33"/>
        <v>OK</v>
      </c>
      <c r="DT15" s="7" t="b">
        <f>IF(E15='Designer Shutter Data'!$GV$2,'Designer Shutter Data'!$GW$2,IF(E15='Designer Shutter Data'!$GV$3,'Designer Shutter Data'!$GX$2,IF(E15='Designer Shutter Data'!$GV$4,'Designer Shutter Data'!$GY$2)))</f>
        <v>0</v>
      </c>
      <c r="DU15" s="40" t="e">
        <f>MATCH(E15,'Designer Shutter Data'!$HB$1:$HD$1,0)</f>
        <v>#N/A</v>
      </c>
      <c r="DV15" s="40" t="e">
        <f>MATCH(M15,'Designer Shutter Data'!$HA$2:$HA$8,0)</f>
        <v>#N/A</v>
      </c>
      <c r="DW15" s="11" t="e">
        <f>INDEX('Designer Shutter Data'!$HB$2:$HD$8,DV15,DU15)</f>
        <v>#N/A</v>
      </c>
      <c r="DX15" s="11" t="b">
        <f>IF(E15='Designer Shutter Data'!$IG$1,'Designer Shutter Data'!$IG$2,IF(E15='Designer Shutter Data'!$IH$1,'Designer Shutter Data'!$IH$2, IF(E15='Designer Shutter Data'!$II$1,'Designer Shutter Data'!$II$2)))</f>
        <v>0</v>
      </c>
      <c r="DY15" s="11" t="str">
        <f>IF(E15="MS",'Designer Shutter Data'!$BI$2,IF(G15='Designer Shutter Data'!$BJ$34,'Designer Shutter Data'!$BJ$35,'Designer Shutter Data'!$BJ$2))</f>
        <v>FauxwoodDesignerWindowType</v>
      </c>
      <c r="DZ15" s="118" t="b">
        <f>IF(M15='Designer Shutter Data'!$F$3,'Designer Shutter Data'!$GF$88, IF(M15='Designer Shutter Data'!$F$4,'Designer Shutter Data'!$GE$59, IF(M15='Designer Shutter Data'!$F$5,'Designer Shutter Data'!$GD$59, IF(M15='Designer Shutter Data'!$F$6,'Designer Shutter Data'!$GD$59, IF(M15='Designer Shutter Data'!$F$7,'Designer Shutter Data'!$GD$73)))))</f>
        <v>0</v>
      </c>
      <c r="EB15" s="6" t="b">
        <f>IF(M15='Designer Shutter Data'!$IT$2,'Designer Shutter Data'!$JA$2, IF(M15='Designer Shutter Data'!$IT$3,'Designer Shutter Data'!$JC$2, IF(M15='Designer Shutter Data'!$IT$4,'Designer Shutter Data'!$JE$2, IF(M15='Designer Shutter Data'!$IT$5,'Designer Shutter Data'!$JG$2, IF(M15='Designer Shutter Data'!$IT$6,'Designer Shutter Data'!$JI$2, IF(M15='Designer Shutter Data'!$IT$7,'Designer Shutter Data'!$JZ$2, IF(M15='Designer Shutter Data'!$IT$8,'Designer Shutter Data'!$JI$16)))))))</f>
        <v>0</v>
      </c>
      <c r="EC15" s="6" t="str">
        <f t="shared" si="34"/>
        <v>NoHighlight</v>
      </c>
      <c r="ED15" s="7" t="e">
        <f>VLOOKUP(M15,'Designer Shutter Data'!$JW$5:$JX$10,2,FALSE)</f>
        <v>#N/A</v>
      </c>
      <c r="EE15" s="7" t="e">
        <f t="shared" si="35"/>
        <v>#N/A</v>
      </c>
      <c r="EF15" s="118" t="e">
        <f>VLOOKUP(O15,'Designer Shutter Data'!$AO$3:$AQ$171,1,FALSE)</f>
        <v>#N/A</v>
      </c>
      <c r="EG15" s="7" t="e">
        <f t="shared" si="36"/>
        <v>#N/A</v>
      </c>
      <c r="EH15" s="6" t="str">
        <f t="shared" si="37"/>
        <v/>
      </c>
      <c r="EJ15" s="40" t="e">
        <f>MATCH(M15,'Designer Shutter Data'!$KD$1:$KI$1,0)</f>
        <v>#N/A</v>
      </c>
      <c r="EK15" s="40" t="e">
        <f>MATCH(P15,'Designer Shutter Data'!$KC$2:$KC$21,0)</f>
        <v>#N/A</v>
      </c>
      <c r="EL15" s="136" t="e">
        <f>INDEX('Designer Shutter Data'!$KD$2:$KI$21,EK15,EJ15)</f>
        <v>#N/A</v>
      </c>
      <c r="EP15" s="6" t="str">
        <f>IF(AC15&lt;&gt;$EO$4,'Designer Shutter Data'!$BR$2,'Designer Shutter Data'!$BR$9)</f>
        <v>Fluffy_Strip_Fauxwood</v>
      </c>
      <c r="ER15" s="6" t="str">
        <f>IF(G15='Designer Shutter Data'!$E$26,'Designer Shutter Data'!$E$27,IF(G15='Designer Shutter Data'!$E$37,'Designer Shutter Data'!$E$38,'Designer Shutter Data'!$E$2))</f>
        <v>FauxwoodDesignerBladeSize</v>
      </c>
      <c r="ET15" s="6" t="str">
        <f t="shared" si="47"/>
        <v>Stile T Post</v>
      </c>
      <c r="EW15" s="40" t="e">
        <f>MATCH(G15,'Designer Shutter Data'!$AV$27:$AV$30,0)</f>
        <v>#N/A</v>
      </c>
      <c r="EX15" s="40" t="e">
        <f>MATCH(AC15,'Designer Shutter Data'!$AW$26:$AX$26,0)</f>
        <v>#N/A</v>
      </c>
      <c r="EY15" s="136" t="e">
        <f>INDEX('Designer Shutter Data'!$AW$27:$AX$30,EW15,EX15)</f>
        <v>#N/A</v>
      </c>
      <c r="EZ15" s="6" t="str">
        <f>IF(G15='Designer Shutter Data'!$S$15,'Designer Shutter Data'!$S$16, IF(G15=$FB$7,'Designer Shutter Data'!$T$15,'Designer Shutter Data'!$S$2))</f>
        <v>FauxwoodDesignerTiltrod</v>
      </c>
      <c r="FA15" s="6" t="e">
        <f>IF(G15=$FB$7,"No",VLOOKUP(L15,'Designer Shutter Data'!$BJ$62:$BK$75,2,FALSE))</f>
        <v>#N/A</v>
      </c>
      <c r="FB15" s="6" t="e">
        <f>IF(FA15="Yes", 'Designer Shutter Data'!$T$2,IF(G15=$FB$7,'Designer Shutter Data'!$T$15,'Designer Shutters Page 3'!EZ15))</f>
        <v>#N/A</v>
      </c>
      <c r="FC15" s="6" t="e">
        <f>MATCH(G15,'Designer Shutter Data'!$IG$15:$IJ$15,0)</f>
        <v>#N/A</v>
      </c>
      <c r="FD15" s="6" t="e">
        <f>MATCH(E15,'Designer Shutter Data'!$IF$16:$IF$18,0)</f>
        <v>#N/A</v>
      </c>
      <c r="FE15" s="6" t="e">
        <f>INDEX('Designer Shutter Data'!$IG$16:$IJ$18, 'Designer Shutters Page 3'!FD15, 'Designer Shutters Page 3'!FC15)</f>
        <v>#N/A</v>
      </c>
      <c r="FH15" s="6" t="str">
        <f t="shared" si="48"/>
        <v>SlidingSystemNA</v>
      </c>
      <c r="FJ15" s="6" t="e">
        <f>VLOOKUP(O15,'Designer Shutter Data'!$KP$2:$KR$44,3,FALSE)</f>
        <v>#N/A</v>
      </c>
      <c r="FL15" s="11" t="b">
        <f>IF(N15=$FL$7,'Designer Shutter Data'!$GH$98,DM15)</f>
        <v>0</v>
      </c>
    </row>
    <row r="16" spans="1:168" ht="36.75" customHeight="1" x14ac:dyDescent="0.2">
      <c r="A16" s="50">
        <v>8</v>
      </c>
      <c r="B16" s="51"/>
      <c r="C16" s="44"/>
      <c r="D16" s="31"/>
      <c r="E16" s="44"/>
      <c r="F16" s="31"/>
      <c r="G16" s="43"/>
      <c r="H16" s="234"/>
      <c r="I16" s="235"/>
      <c r="J16" s="44"/>
      <c r="K16" s="45"/>
      <c r="L16" s="45"/>
      <c r="M16" s="45"/>
      <c r="N16" s="45"/>
      <c r="O16" s="45"/>
      <c r="P16" s="236"/>
      <c r="Q16" s="236"/>
      <c r="R16" s="43"/>
      <c r="S16" s="43"/>
      <c r="T16" s="43"/>
      <c r="U16" s="43"/>
      <c r="V16" s="45"/>
      <c r="W16" s="45"/>
      <c r="X16" s="43"/>
      <c r="Y16" s="46"/>
      <c r="Z16" s="47"/>
      <c r="AA16" s="47"/>
      <c r="AB16" s="47"/>
      <c r="AC16" s="44"/>
      <c r="AD16" s="44"/>
      <c r="AE16" s="48" t="str">
        <f t="shared" si="0"/>
        <v/>
      </c>
      <c r="AI16" s="6">
        <f t="shared" si="38"/>
        <v>0</v>
      </c>
      <c r="AJ16" s="6">
        <f t="shared" si="39"/>
        <v>0</v>
      </c>
      <c r="AK16" s="6">
        <f>IF(O16&lt;&gt;"",VLOOKUP(O16,'Designer Shutter Data'!$KP$2:$KQ$44,2,FALSE),0)</f>
        <v>0</v>
      </c>
      <c r="AT16" s="49" t="str">
        <f t="shared" si="1"/>
        <v/>
      </c>
      <c r="AV16" s="6" t="str">
        <f>IF(G16=$AV$7,'Designer Shutter Data'!$D$38,'Designer Shutter Data'!$D$2)</f>
        <v>FauxwoodDesignerColour</v>
      </c>
      <c r="AW16" s="130" t="e">
        <f t="shared" si="40"/>
        <v>#N/A</v>
      </c>
      <c r="AX16" s="130" t="e">
        <f>VLOOKUP(M16,'Designer Shutter Data'!$JK$2:$JL$7,2,FALSE)</f>
        <v>#N/A</v>
      </c>
      <c r="AY16" s="38" t="b">
        <v>0</v>
      </c>
      <c r="AZ16" s="38" t="str">
        <f t="shared" si="2"/>
        <v>No</v>
      </c>
      <c r="BA16" s="38" t="e">
        <f t="shared" si="3"/>
        <v>#DIV/0!</v>
      </c>
      <c r="BB16" s="38" t="e">
        <f t="shared" si="4"/>
        <v>#DIV/0!</v>
      </c>
      <c r="BC16" s="38" t="e">
        <f t="shared" si="5"/>
        <v>#DIV/0!</v>
      </c>
      <c r="BD16" s="38" t="str">
        <f t="shared" si="6"/>
        <v>No</v>
      </c>
      <c r="BE16" s="38" t="e">
        <f>IF(OR(AND(C16&gt;0,#REF!="")), "Required","NotRequired")</f>
        <v>#REF!</v>
      </c>
      <c r="BF16" s="38" t="b">
        <v>0</v>
      </c>
      <c r="BG16" s="38" t="e">
        <f t="shared" si="41"/>
        <v>#DIV/0!</v>
      </c>
      <c r="BH16" s="39" t="str">
        <f t="shared" si="7"/>
        <v>NoHighlight</v>
      </c>
      <c r="BI16" s="38" t="str">
        <f t="shared" si="8"/>
        <v>FauxwoodRPNo</v>
      </c>
      <c r="BJ16" s="110" t="str">
        <f>IF(SUM(--ISNUMBER(SEARCH({"t","T"}, O16))),"Yes","No")</f>
        <v>No</v>
      </c>
      <c r="BK16" s="127" t="str">
        <f t="shared" si="9"/>
        <v>OK</v>
      </c>
      <c r="BL16" s="127" t="str">
        <f t="shared" si="10"/>
        <v>OK</v>
      </c>
      <c r="BM16" s="127" t="str">
        <f t="shared" si="11"/>
        <v>OK</v>
      </c>
      <c r="BN16" s="39" t="str">
        <f t="shared" si="12"/>
        <v>OK</v>
      </c>
      <c r="BO16" s="39" t="str">
        <f t="shared" si="13"/>
        <v>FauxwoodAINo</v>
      </c>
      <c r="BP16" s="39" t="str">
        <f>IF(SUM(--ISNUMBER(SEARCH({"combo","Combo","COMBO"}, B33))),"Yes","No")</f>
        <v>No</v>
      </c>
      <c r="BQ16" s="39" t="str">
        <f t="shared" si="42"/>
        <v>No</v>
      </c>
      <c r="BR16" s="39" t="str">
        <f>IF(SUM(--ISNUMBER(SEARCH({"c","C","b","B"}, L16))),"Yes","No")</f>
        <v>No</v>
      </c>
      <c r="BS16" s="11">
        <f t="shared" si="14"/>
        <v>0</v>
      </c>
      <c r="BT16" s="11" t="s">
        <v>820</v>
      </c>
      <c r="BU16" s="11" t="s">
        <v>820</v>
      </c>
      <c r="BV16" s="40">
        <f t="shared" si="15"/>
        <v>0</v>
      </c>
      <c r="BW16" s="40">
        <f t="shared" si="16"/>
        <v>0</v>
      </c>
      <c r="BX16" s="11" t="e">
        <f t="shared" si="17"/>
        <v>#DIV/0!</v>
      </c>
      <c r="BY16" s="11" t="b">
        <v>0</v>
      </c>
      <c r="BZ16" s="11" t="b">
        <v>0</v>
      </c>
      <c r="CA16" s="11" t="e">
        <v>#REF!</v>
      </c>
      <c r="CB16" s="11" t="s">
        <v>82</v>
      </c>
      <c r="CC16" s="11" t="e">
        <f t="shared" si="18"/>
        <v>#DIV/0!</v>
      </c>
      <c r="CD16" s="11" t="e">
        <f>VLOOKUP(P16,'Designer Shutter Data'!$H$3:$I$19,2,FALSE)</f>
        <v>#N/A</v>
      </c>
      <c r="CE16" s="11" t="s">
        <v>820</v>
      </c>
      <c r="CF16" s="11" t="str">
        <f>IF(SUM(--ISNUMBER(SEARCH({"z","Z"}, P16))),"Yes","No")</f>
        <v>No</v>
      </c>
      <c r="CG16" s="11" t="str">
        <f t="shared" si="19"/>
        <v>OK</v>
      </c>
      <c r="CH16" s="11">
        <f t="shared" si="20"/>
        <v>0</v>
      </c>
      <c r="CI16" s="120" t="e">
        <f>IF(O16="N/A","N/A",VLOOKUP(O16,'Designer Shutter Data'!$AO$3:$AP$171,2,FALSE))</f>
        <v>#N/A</v>
      </c>
      <c r="CJ16" s="120" t="e">
        <f t="shared" si="21"/>
        <v>#N/A</v>
      </c>
      <c r="CK16" s="40"/>
      <c r="CL16" s="40"/>
      <c r="CM16" s="40"/>
      <c r="CN16" s="41" t="str">
        <f t="shared" si="22"/>
        <v>OK</v>
      </c>
      <c r="CO16" s="129" t="b">
        <f t="shared" si="23"/>
        <v>0</v>
      </c>
      <c r="CP16" s="129" t="b">
        <f t="shared" si="24"/>
        <v>0</v>
      </c>
      <c r="CQ16" s="40">
        <f t="shared" si="25"/>
        <v>0</v>
      </c>
      <c r="CR16" s="133">
        <f t="shared" si="26"/>
        <v>0</v>
      </c>
      <c r="CS16" s="40">
        <f t="shared" si="43"/>
        <v>0</v>
      </c>
      <c r="CT16" s="133" t="e">
        <f t="shared" si="27"/>
        <v>#N/A</v>
      </c>
      <c r="CU16" s="11" t="b">
        <v>0</v>
      </c>
      <c r="CV16" s="11" t="b">
        <v>0</v>
      </c>
      <c r="CW16" s="11" t="b">
        <v>0</v>
      </c>
      <c r="CX16" s="11" t="b">
        <v>0</v>
      </c>
      <c r="CY16" s="40" t="e">
        <f>IF(OR(AND(#REF!&gt;0,#REF!="")), "Error","OK")</f>
        <v>#REF!</v>
      </c>
      <c r="CZ16" s="11" t="e">
        <v>#REF!</v>
      </c>
      <c r="DA16" s="6" t="str">
        <f t="shared" si="28"/>
        <v/>
      </c>
      <c r="DD16" s="6" t="s">
        <v>84</v>
      </c>
      <c r="DE16" s="6" t="b">
        <f>IF(M16='Designer Shutter Data'!$F$3,'Designer Shutter Data'!$FY$7,IF(M16='Designer Shutter Data'!$F$4,'Designer Shutter Data'!$FZ$2,IF(M16='Designer Shutter Data'!$F$5,FJ16, IF(M16='Designer Shutter Data'!$F$6,'Designer Shutter Data'!$GA$2,IF(M16='Designer Shutter Data'!$F$7,'Designer Shutter Data'!$FY$2, IF(M16='Designer Shutter Data'!$F$8,'Designer Shutter Data'!$FZ$7, IF(M16='Designer Shutter Data'!$F$14,'Designer Shutter Data'!$FZ$14)))))))</f>
        <v>0</v>
      </c>
      <c r="DF16" s="6" t="e">
        <f>VLOOKUP(M16,'Designer Shutter Data'!$M$2:$N$8,2,FALSE)</f>
        <v>#N/A</v>
      </c>
      <c r="DH16" s="123" t="e">
        <f>VLOOKUP(O16,'Designer Shutter Data'!$IN$2:$IO$169,2,FALSE)</f>
        <v>#N/A</v>
      </c>
      <c r="DI16" s="103" t="e">
        <f t="shared" si="29"/>
        <v>#N/A</v>
      </c>
      <c r="DJ16" s="103" t="e">
        <f t="shared" si="44"/>
        <v>#N/A</v>
      </c>
      <c r="DK16" s="7" t="b">
        <f>IF(P16='Designer Shutter Data'!$GC$2,'Designer Shutter Data'!$GD$2,IF(P16='Designer Shutter Data'!$GC$3,'Designer Shutter Data'!$GE$2,IF(P16='Designer Shutter Data'!$GC$4,'Designer Shutter Data'!$GF$2,IF(P16='Designer Shutter Data'!$GC$5,'Designer Shutter Data'!$GG$2,IF(P16='Designer Shutter Data'!$GC$6,'Designer Shutter Data'!$GH$2,IF(P16='Designer Shutter Data'!$GC$7,'Designer Shutter Data'!$GI$2,IF(P16='Designer Shutter Data'!$GC$8,'Designer Shutter Data'!$GJ$2,IF(P16='Designer Shutter Data'!$GC$9,'Designer Shutter Data'!$GK$2,IF(P16='Designer Shutter Data'!$GC$10,'Designer Shutter Data'!$GL$2,IF(P16='Designer Shutter Data'!$GC$11,'Designer Shutter Data'!$GM$2,IF(P16='Designer Shutter Data'!$GC$12,'Designer Shutter Data'!$GN$2,IF(P16='Designer Shutter Data'!$GC$13,'Designer Shutter Data'!$GO$2,IF(P16='Designer Shutter Data'!$GC$14,'Designer Shutter Data'!$GP$2,IF(P16='Designer Shutter Data'!$GC$15,'Designer Shutter Data'!$GD$15,IF(P16='Designer Shutter Data'!$GC$16,'Designer Shutter Data'!$GE$15,IF(P16='Designer Shutter Data'!$GC$17,'Designer Shutter Data'!$GF$15,IF(P16='Designer Shutter Data'!$GC$18,'Designer Shutter Data'!$GG$15,IF(P16='Designer Shutter Data'!$GC$19,'Designer Shutter Data'!$GD$73,IF(P16='Designer Shutter Data'!$GC$20,'Designer Shutter Data'!$GD$88, IF(P16='Designer Shutter Data'!$GC$21,'Designer Shutter Data'!$GH$15, IF(P16='Designer Shutter Data'!$GC$22,'Designer Shutter Data'!$GJ$2, IF(P16='Designer Shutter Data'!$GC$23,'Designer Shutter Data'!$GL$2))))))))))))))))))))))</f>
        <v>0</v>
      </c>
      <c r="DL16" s="7" t="b">
        <f>IF(P16='Designer Shutter Data'!$GC$2,'Designer Shutter Data'!$GD$25,IF(P16='Designer Shutter Data'!$GC$3,'Designer Shutter Data'!$GE$25,IF(P16='Designer Shutter Data'!$GC$4,'Designer Shutter Data'!$GF$25,IF(P16='Designer Shutter Data'!$GC$5,'Designer Shutter Data'!$GG$25,IF(P16='Designer Shutter Data'!$GC$6,'Designer Shutter Data'!$GH$25,IF(P16='Designer Shutter Data'!$GC$7,'Designer Shutter Data'!$GI$25,IF(P16='Designer Shutter Data'!$GC$8,'Designer Shutter Data'!$GJ$25,IF(P16='Designer Shutter Data'!$GC$9,'Designer Shutter Data'!$GK$25,IF(P16='Designer Shutter Data'!$GC$10,'Designer Shutter Data'!$GL$25,IF(P16='Designer Shutter Data'!$GC$11,'Designer Shutter Data'!$GM$25,IF(P16='Designer Shutter Data'!$GC$12,'Designer Shutter Data'!$GN$25,IF(P16='Designer Shutter Data'!$GC$13,'Designer Shutter Data'!$GO$25,IF(P16='Designer Shutter Data'!$GC$14,'Designer Shutter Data'!$GP$25,IF(P16='Designer Shutter Data'!$GC$15,'Designer Shutter Data'!$GD$37,IF(P16='Designer Shutter Data'!$GC$15,'Designer Shutter Data'!$GD$37,IF(P16='Designer Shutter Data'!$GC$16,'Designer Shutter Data'!$GE$37,IF(P16='Designer Shutter Data'!$GC$17,'Designer Shutter Data'!$GF$37,IF(P16='Designer Shutter Data'!$GC$18,'Designer Shutter Data'!$GG$37, IF(P16='Designer Shutter Data'!$GC$19,'Designer Shutter Data'!$GD$73, IF(P16='Designer Shutter Data'!$GC$20,'Designer Shutter Data'!$GE$88, IF(P16='Designer Shutter Data'!$GC$21,'Designer Shutter Data'!$GH$37,IF(P16='Designer Shutter Data'!$GC$22,'Designer Shutter Data'!$GJ$25,IF(P16='Designer Shutter Data'!$GC$23,'Designer Shutter Data'!$GL$25)))))))))))))))))))))))</f>
        <v>0</v>
      </c>
      <c r="DM16" s="118" t="b">
        <f>IF(P16='Designer Shutter Data'!$GC$2,'Designer Shutter Data'!$GD$47,IF(P16='Designer Shutter Data'!$GC$3,'Designer Shutter Data'!$GE$47,IF(P16='Designer Shutter Data'!$GC$4,'Designer Shutter Data'!$GF$47,IF(P16='Designer Shutter Data'!$GC$5,'Designer Shutter Data'!$GG$47,IF(P16='Designer Shutter Data'!$GC$6,'Designer Shutter Data'!$GH$47,IF(P16='Designer Shutter Data'!$GC$7,'Designer Shutter Data'!$GI$47,IF(P16='Designer Shutter Data'!$GC$8,'Designer Shutter Data'!$GJ$47,IF(P16='Designer Shutter Data'!$GC$9,'Designer Shutter Data'!$GK$47,IF(P16='Designer Shutter Data'!$GC$10,'Designer Shutter Data'!$GL$47,IF(P16='Designer Shutter Data'!$GC$11,'Designer Shutter Data'!$GM$47,IF(P16='Designer Shutter Data'!$GC$12,'Designer Shutter Data'!$GN$47,IF(P16='Designer Shutter Data'!$GC$13,'Designer Shutter Data'!$GO$47,IF(P16='Designer Shutter Data'!$GC$14,'Designer Shutter Data'!$GP$47, IF(P16='Designer Shutter Data'!$GC$19,'Designer Shutter Data'!$GD$73, IF(P16='Designer Shutter Data'!$GC$20,'Designer Shutter Data'!$GF$88, IF(M16='Designer Shutter Data'!$F$5,'Designer Shutter Data'!$GE$59, IF(M16='Designer Shutter Data'!$F$6,'Designer Shutter Data'!$GD$59, IF(P16='Designer Shutter Data'!$GC$21,'Designer Shutter Data'!$GF$59,IF(P16='Designer Shutter Data'!$GC$22,'Designer Shutter Data'!$GJ$47,IF(P16='Designer Shutter Data'!$GC$23,'Designer Shutter Data'!$GL$47))))))))))))))))))))</f>
        <v>0</v>
      </c>
      <c r="DN16" s="107" t="str">
        <f t="shared" si="45"/>
        <v/>
      </c>
      <c r="DO16" s="107" t="e">
        <f t="shared" si="46"/>
        <v>#N/A</v>
      </c>
      <c r="DP16" s="107" t="str">
        <f t="shared" si="30"/>
        <v>OK</v>
      </c>
      <c r="DQ16" s="107" t="str">
        <f t="shared" si="31"/>
        <v>OK</v>
      </c>
      <c r="DR16" s="107" t="str">
        <f t="shared" si="32"/>
        <v>OK</v>
      </c>
      <c r="DS16" s="107" t="str">
        <f t="shared" si="33"/>
        <v>OK</v>
      </c>
      <c r="DT16" s="7" t="b">
        <f>IF(E16='Designer Shutter Data'!$GV$2,'Designer Shutter Data'!$GW$2,IF(E16='Designer Shutter Data'!$GV$3,'Designer Shutter Data'!$GX$2,IF(E16='Designer Shutter Data'!$GV$4,'Designer Shutter Data'!$GY$2)))</f>
        <v>0</v>
      </c>
      <c r="DU16" s="40" t="e">
        <f>MATCH(E16,'Designer Shutter Data'!$HB$1:$HD$1,0)</f>
        <v>#N/A</v>
      </c>
      <c r="DV16" s="40" t="e">
        <f>MATCH(M16,'Designer Shutter Data'!$HA$2:$HA$8,0)</f>
        <v>#N/A</v>
      </c>
      <c r="DW16" s="11" t="e">
        <f>INDEX('Designer Shutter Data'!$HB$2:$HD$8,DV16,DU16)</f>
        <v>#N/A</v>
      </c>
      <c r="DX16" s="11" t="b">
        <f>IF(E16='Designer Shutter Data'!$IG$1,'Designer Shutter Data'!$IG$2,IF(E16='Designer Shutter Data'!$IH$1,'Designer Shutter Data'!$IH$2, IF(E16='Designer Shutter Data'!$II$1,'Designer Shutter Data'!$II$2)))</f>
        <v>0</v>
      </c>
      <c r="DY16" s="11" t="str">
        <f>IF(E16="MS",'Designer Shutter Data'!$BI$2,IF(G16='Designer Shutter Data'!$BJ$34,'Designer Shutter Data'!$BJ$35,'Designer Shutter Data'!$BJ$2))</f>
        <v>FauxwoodDesignerWindowType</v>
      </c>
      <c r="DZ16" s="118" t="b">
        <f>IF(M16='Designer Shutter Data'!$F$3,'Designer Shutter Data'!$GF$88, IF(M16='Designer Shutter Data'!$F$4,'Designer Shutter Data'!$GE$59, IF(M16='Designer Shutter Data'!$F$5,'Designer Shutter Data'!$GD$59, IF(M16='Designer Shutter Data'!$F$6,'Designer Shutter Data'!$GD$59, IF(M16='Designer Shutter Data'!$F$7,'Designer Shutter Data'!$GD$73)))))</f>
        <v>0</v>
      </c>
      <c r="EB16" s="6" t="b">
        <f>IF(M16='Designer Shutter Data'!$IT$2,'Designer Shutter Data'!$JA$2, IF(M16='Designer Shutter Data'!$IT$3,'Designer Shutter Data'!$JC$2, IF(M16='Designer Shutter Data'!$IT$4,'Designer Shutter Data'!$JE$2, IF(M16='Designer Shutter Data'!$IT$5,'Designer Shutter Data'!$JG$2, IF(M16='Designer Shutter Data'!$IT$6,'Designer Shutter Data'!$JI$2, IF(M16='Designer Shutter Data'!$IT$7,'Designer Shutter Data'!$JZ$2, IF(M16='Designer Shutter Data'!$IT$8,'Designer Shutter Data'!$JI$16)))))))</f>
        <v>0</v>
      </c>
      <c r="EC16" s="6" t="str">
        <f t="shared" si="34"/>
        <v>NoHighlight</v>
      </c>
      <c r="ED16" s="7" t="e">
        <f>VLOOKUP(M16,'Designer Shutter Data'!$JW$5:$JX$10,2,FALSE)</f>
        <v>#N/A</v>
      </c>
      <c r="EE16" s="7" t="e">
        <f t="shared" si="35"/>
        <v>#N/A</v>
      </c>
      <c r="EF16" s="118" t="e">
        <f>VLOOKUP(O16,'Designer Shutter Data'!$AO$3:$AQ$171,1,FALSE)</f>
        <v>#N/A</v>
      </c>
      <c r="EG16" s="7" t="e">
        <f t="shared" si="36"/>
        <v>#N/A</v>
      </c>
      <c r="EH16" s="6" t="str">
        <f t="shared" si="37"/>
        <v/>
      </c>
      <c r="EJ16" s="40" t="e">
        <f>MATCH(M16,'Designer Shutter Data'!$KD$1:$KI$1,0)</f>
        <v>#N/A</v>
      </c>
      <c r="EK16" s="40" t="e">
        <f>MATCH(P16,'Designer Shutter Data'!$KC$2:$KC$21,0)</f>
        <v>#N/A</v>
      </c>
      <c r="EL16" s="136" t="e">
        <f>INDEX('Designer Shutter Data'!$KD$2:$KI$21,EK16,EJ16)</f>
        <v>#N/A</v>
      </c>
      <c r="EP16" s="6" t="str">
        <f>IF(AC16&lt;&gt;$EO$4,'Designer Shutter Data'!$BR$2,'Designer Shutter Data'!$BR$9)</f>
        <v>Fluffy_Strip_Fauxwood</v>
      </c>
      <c r="ER16" s="6" t="str">
        <f>IF(G16='Designer Shutter Data'!$E$26,'Designer Shutter Data'!$E$27,IF(G16='Designer Shutter Data'!$E$37,'Designer Shutter Data'!$E$38,'Designer Shutter Data'!$E$2))</f>
        <v>FauxwoodDesignerBladeSize</v>
      </c>
      <c r="ET16" s="6" t="str">
        <f t="shared" si="47"/>
        <v>Stile T Post</v>
      </c>
      <c r="EW16" s="40" t="e">
        <f>MATCH(G16,'Designer Shutter Data'!$AV$27:$AV$30,0)</f>
        <v>#N/A</v>
      </c>
      <c r="EX16" s="40" t="e">
        <f>MATCH(AC16,'Designer Shutter Data'!$AW$26:$AX$26,0)</f>
        <v>#N/A</v>
      </c>
      <c r="EY16" s="136" t="e">
        <f>INDEX('Designer Shutter Data'!$AW$27:$AX$30,EW16,EX16)</f>
        <v>#N/A</v>
      </c>
      <c r="EZ16" s="6" t="str">
        <f>IF(G16='Designer Shutter Data'!$S$15,'Designer Shutter Data'!$S$16, IF(G16=$FB$7,'Designer Shutter Data'!$T$15,'Designer Shutter Data'!$S$2))</f>
        <v>FauxwoodDesignerTiltrod</v>
      </c>
      <c r="FA16" s="6" t="e">
        <f>IF(G16=$FB$7,"No",VLOOKUP(L16,'Designer Shutter Data'!$BJ$62:$BK$75,2,FALSE))</f>
        <v>#N/A</v>
      </c>
      <c r="FB16" s="6" t="e">
        <f>IF(FA16="Yes", 'Designer Shutter Data'!$T$2,IF(G16=$FB$7,'Designer Shutter Data'!$T$15,'Designer Shutters Page 3'!EZ16))</f>
        <v>#N/A</v>
      </c>
      <c r="FC16" s="6" t="e">
        <f>MATCH(G16,'Designer Shutter Data'!$IG$15:$IJ$15,0)</f>
        <v>#N/A</v>
      </c>
      <c r="FD16" s="6" t="e">
        <f>MATCH(E16,'Designer Shutter Data'!$IF$16:$IF$18,0)</f>
        <v>#N/A</v>
      </c>
      <c r="FE16" s="6" t="e">
        <f>INDEX('Designer Shutter Data'!$IG$16:$IJ$18, 'Designer Shutters Page 3'!FD16, 'Designer Shutters Page 3'!FC16)</f>
        <v>#N/A</v>
      </c>
      <c r="FH16" s="6" t="str">
        <f t="shared" si="48"/>
        <v>SlidingSystemNA</v>
      </c>
      <c r="FJ16" s="6" t="e">
        <f>VLOOKUP(O16,'Designer Shutter Data'!$KP$2:$KR$44,3,FALSE)</f>
        <v>#N/A</v>
      </c>
      <c r="FL16" s="11" t="b">
        <f>IF(N16=$FL$7,'Designer Shutter Data'!$GH$98,DM16)</f>
        <v>0</v>
      </c>
    </row>
    <row r="17" spans="1:168" ht="36.75" customHeight="1" x14ac:dyDescent="0.2">
      <c r="A17" s="50">
        <v>9</v>
      </c>
      <c r="B17" s="51"/>
      <c r="C17" s="44"/>
      <c r="D17" s="31"/>
      <c r="E17" s="44"/>
      <c r="F17" s="31"/>
      <c r="G17" s="43"/>
      <c r="H17" s="234"/>
      <c r="I17" s="235"/>
      <c r="J17" s="44"/>
      <c r="K17" s="45"/>
      <c r="L17" s="45"/>
      <c r="M17" s="45"/>
      <c r="N17" s="45"/>
      <c r="O17" s="45"/>
      <c r="P17" s="236"/>
      <c r="Q17" s="236"/>
      <c r="R17" s="43"/>
      <c r="S17" s="43"/>
      <c r="T17" s="43"/>
      <c r="U17" s="43"/>
      <c r="V17" s="45"/>
      <c r="W17" s="45"/>
      <c r="X17" s="43"/>
      <c r="Y17" s="46"/>
      <c r="Z17" s="47"/>
      <c r="AA17" s="47"/>
      <c r="AB17" s="47"/>
      <c r="AC17" s="44"/>
      <c r="AD17" s="44"/>
      <c r="AE17" s="48" t="str">
        <f t="shared" si="0"/>
        <v/>
      </c>
      <c r="AI17" s="6">
        <f t="shared" si="38"/>
        <v>0</v>
      </c>
      <c r="AJ17" s="6">
        <f t="shared" si="39"/>
        <v>0</v>
      </c>
      <c r="AK17" s="6">
        <f>IF(O17&lt;&gt;"",VLOOKUP(O17,'Designer Shutter Data'!$KP$2:$KQ$44,2,FALSE),0)</f>
        <v>0</v>
      </c>
      <c r="AT17" s="49" t="str">
        <f t="shared" si="1"/>
        <v/>
      </c>
      <c r="AV17" s="6" t="str">
        <f>IF(G17=$AV$7,'Designer Shutter Data'!$D$38,'Designer Shutter Data'!$D$2)</f>
        <v>FauxwoodDesignerColour</v>
      </c>
      <c r="AW17" s="130" t="e">
        <f t="shared" si="40"/>
        <v>#N/A</v>
      </c>
      <c r="AX17" s="130" t="e">
        <f>VLOOKUP(M17,'Designer Shutter Data'!$JK$2:$JL$7,2,FALSE)</f>
        <v>#N/A</v>
      </c>
      <c r="AY17" s="38" t="b">
        <v>0</v>
      </c>
      <c r="AZ17" s="38" t="str">
        <f t="shared" si="2"/>
        <v>No</v>
      </c>
      <c r="BA17" s="38" t="e">
        <f t="shared" si="3"/>
        <v>#DIV/0!</v>
      </c>
      <c r="BB17" s="38" t="e">
        <f t="shared" si="4"/>
        <v>#DIV/0!</v>
      </c>
      <c r="BC17" s="38" t="e">
        <f t="shared" si="5"/>
        <v>#DIV/0!</v>
      </c>
      <c r="BD17" s="38" t="str">
        <f t="shared" si="6"/>
        <v>No</v>
      </c>
      <c r="BE17" s="38" t="e">
        <f>IF(OR(AND(C17&gt;0,#REF!="")), "Required","NotRequired")</f>
        <v>#REF!</v>
      </c>
      <c r="BF17" s="38" t="b">
        <v>0</v>
      </c>
      <c r="BG17" s="38" t="e">
        <f t="shared" si="41"/>
        <v>#DIV/0!</v>
      </c>
      <c r="BH17" s="39" t="str">
        <f t="shared" si="7"/>
        <v>NoHighlight</v>
      </c>
      <c r="BI17" s="38" t="str">
        <f t="shared" si="8"/>
        <v>FauxwoodRPNo</v>
      </c>
      <c r="BJ17" s="110" t="str">
        <f>IF(SUM(--ISNUMBER(SEARCH({"t","T"}, O17))),"Yes","No")</f>
        <v>No</v>
      </c>
      <c r="BK17" s="127" t="str">
        <f t="shared" si="9"/>
        <v>OK</v>
      </c>
      <c r="BL17" s="127" t="str">
        <f t="shared" si="10"/>
        <v>OK</v>
      </c>
      <c r="BM17" s="127" t="str">
        <f t="shared" si="11"/>
        <v>OK</v>
      </c>
      <c r="BN17" s="39" t="str">
        <f t="shared" si="12"/>
        <v>OK</v>
      </c>
      <c r="BO17" s="39" t="str">
        <f t="shared" si="13"/>
        <v>FauxwoodAINo</v>
      </c>
      <c r="BP17" s="39" t="str">
        <f>IF(SUM(--ISNUMBER(SEARCH({"combo","Combo","COMBO"}, B34))),"Yes","No")</f>
        <v>No</v>
      </c>
      <c r="BQ17" s="39" t="str">
        <f t="shared" si="42"/>
        <v>No</v>
      </c>
      <c r="BR17" s="39" t="str">
        <f>IF(SUM(--ISNUMBER(SEARCH({"c","C","b","B"}, L17))),"Yes","No")</f>
        <v>No</v>
      </c>
      <c r="BS17" s="11">
        <f t="shared" si="14"/>
        <v>0</v>
      </c>
      <c r="BT17" s="11" t="s">
        <v>820</v>
      </c>
      <c r="BU17" s="11" t="s">
        <v>820</v>
      </c>
      <c r="BV17" s="40">
        <f t="shared" si="15"/>
        <v>0</v>
      </c>
      <c r="BW17" s="40">
        <f t="shared" si="16"/>
        <v>0</v>
      </c>
      <c r="BX17" s="11" t="e">
        <f t="shared" si="17"/>
        <v>#DIV/0!</v>
      </c>
      <c r="BY17" s="11" t="b">
        <v>0</v>
      </c>
      <c r="BZ17" s="11" t="b">
        <v>0</v>
      </c>
      <c r="CA17" s="11" t="e">
        <v>#REF!</v>
      </c>
      <c r="CB17" s="11" t="s">
        <v>82</v>
      </c>
      <c r="CC17" s="11" t="e">
        <f t="shared" si="18"/>
        <v>#DIV/0!</v>
      </c>
      <c r="CD17" s="11" t="e">
        <f>VLOOKUP(P17,'Designer Shutter Data'!$H$3:$I$19,2,FALSE)</f>
        <v>#N/A</v>
      </c>
      <c r="CE17" s="11" t="s">
        <v>820</v>
      </c>
      <c r="CF17" s="11" t="str">
        <f>IF(SUM(--ISNUMBER(SEARCH({"z","Z"}, P17))),"Yes","No")</f>
        <v>No</v>
      </c>
      <c r="CG17" s="11" t="str">
        <f t="shared" si="19"/>
        <v>OK</v>
      </c>
      <c r="CH17" s="11">
        <f t="shared" si="20"/>
        <v>0</v>
      </c>
      <c r="CI17" s="120" t="e">
        <f>IF(O17="N/A","N/A",VLOOKUP(O17,'Designer Shutter Data'!$AO$3:$AP$171,2,FALSE))</f>
        <v>#N/A</v>
      </c>
      <c r="CJ17" s="120" t="e">
        <f t="shared" si="21"/>
        <v>#N/A</v>
      </c>
      <c r="CK17" s="40"/>
      <c r="CL17" s="40"/>
      <c r="CM17" s="40"/>
      <c r="CN17" s="41" t="str">
        <f t="shared" si="22"/>
        <v>OK</v>
      </c>
      <c r="CO17" s="129" t="b">
        <f t="shared" si="23"/>
        <v>0</v>
      </c>
      <c r="CP17" s="129" t="b">
        <f t="shared" si="24"/>
        <v>0</v>
      </c>
      <c r="CQ17" s="40">
        <f t="shared" si="25"/>
        <v>0</v>
      </c>
      <c r="CR17" s="133">
        <f t="shared" si="26"/>
        <v>0</v>
      </c>
      <c r="CS17" s="40">
        <f t="shared" si="43"/>
        <v>0</v>
      </c>
      <c r="CT17" s="133" t="e">
        <f t="shared" si="27"/>
        <v>#N/A</v>
      </c>
      <c r="CU17" s="11" t="b">
        <v>0</v>
      </c>
      <c r="CV17" s="11" t="b">
        <v>0</v>
      </c>
      <c r="CW17" s="11" t="b">
        <v>0</v>
      </c>
      <c r="CX17" s="11" t="b">
        <v>0</v>
      </c>
      <c r="CY17" s="40" t="e">
        <f>IF(OR(AND(#REF!&gt;0,#REF!="")), "Error","OK")</f>
        <v>#REF!</v>
      </c>
      <c r="CZ17" s="11" t="e">
        <v>#REF!</v>
      </c>
      <c r="DA17" s="6" t="str">
        <f t="shared" si="28"/>
        <v/>
      </c>
      <c r="DD17" s="6" t="s">
        <v>84</v>
      </c>
      <c r="DE17" s="6" t="b">
        <f>IF(M17='Designer Shutter Data'!$F$3,'Designer Shutter Data'!$FY$7,IF(M17='Designer Shutter Data'!$F$4,'Designer Shutter Data'!$FZ$2,IF(M17='Designer Shutter Data'!$F$5,FJ17, IF(M17='Designer Shutter Data'!$F$6,'Designer Shutter Data'!$GA$2,IF(M17='Designer Shutter Data'!$F$7,'Designer Shutter Data'!$FY$2, IF(M17='Designer Shutter Data'!$F$8,'Designer Shutter Data'!$FZ$7, IF(M17='Designer Shutter Data'!$F$14,'Designer Shutter Data'!$FZ$14)))))))</f>
        <v>0</v>
      </c>
      <c r="DF17" s="6" t="e">
        <f>VLOOKUP(M17,'Designer Shutter Data'!$M$2:$N$8,2,FALSE)</f>
        <v>#N/A</v>
      </c>
      <c r="DH17" s="123" t="e">
        <f>VLOOKUP(O17,'Designer Shutter Data'!$IN$2:$IO$169,2,FALSE)</f>
        <v>#N/A</v>
      </c>
      <c r="DI17" s="103" t="e">
        <f t="shared" si="29"/>
        <v>#N/A</v>
      </c>
      <c r="DJ17" s="103" t="e">
        <f t="shared" si="44"/>
        <v>#N/A</v>
      </c>
      <c r="DK17" s="7" t="b">
        <f>IF(P17='Designer Shutter Data'!$GC$2,'Designer Shutter Data'!$GD$2,IF(P17='Designer Shutter Data'!$GC$3,'Designer Shutter Data'!$GE$2,IF(P17='Designer Shutter Data'!$GC$4,'Designer Shutter Data'!$GF$2,IF(P17='Designer Shutter Data'!$GC$5,'Designer Shutter Data'!$GG$2,IF(P17='Designer Shutter Data'!$GC$6,'Designer Shutter Data'!$GH$2,IF(P17='Designer Shutter Data'!$GC$7,'Designer Shutter Data'!$GI$2,IF(P17='Designer Shutter Data'!$GC$8,'Designer Shutter Data'!$GJ$2,IF(P17='Designer Shutter Data'!$GC$9,'Designer Shutter Data'!$GK$2,IF(P17='Designer Shutter Data'!$GC$10,'Designer Shutter Data'!$GL$2,IF(P17='Designer Shutter Data'!$GC$11,'Designer Shutter Data'!$GM$2,IF(P17='Designer Shutter Data'!$GC$12,'Designer Shutter Data'!$GN$2,IF(P17='Designer Shutter Data'!$GC$13,'Designer Shutter Data'!$GO$2,IF(P17='Designer Shutter Data'!$GC$14,'Designer Shutter Data'!$GP$2,IF(P17='Designer Shutter Data'!$GC$15,'Designer Shutter Data'!$GD$15,IF(P17='Designer Shutter Data'!$GC$16,'Designer Shutter Data'!$GE$15,IF(P17='Designer Shutter Data'!$GC$17,'Designer Shutter Data'!$GF$15,IF(P17='Designer Shutter Data'!$GC$18,'Designer Shutter Data'!$GG$15,IF(P17='Designer Shutter Data'!$GC$19,'Designer Shutter Data'!$GD$73,IF(P17='Designer Shutter Data'!$GC$20,'Designer Shutter Data'!$GD$88, IF(P17='Designer Shutter Data'!$GC$21,'Designer Shutter Data'!$GH$15, IF(P17='Designer Shutter Data'!$GC$22,'Designer Shutter Data'!$GJ$2, IF(P17='Designer Shutter Data'!$GC$23,'Designer Shutter Data'!$GL$2))))))))))))))))))))))</f>
        <v>0</v>
      </c>
      <c r="DL17" s="7" t="b">
        <f>IF(P17='Designer Shutter Data'!$GC$2,'Designer Shutter Data'!$GD$25,IF(P17='Designer Shutter Data'!$GC$3,'Designer Shutter Data'!$GE$25,IF(P17='Designer Shutter Data'!$GC$4,'Designer Shutter Data'!$GF$25,IF(P17='Designer Shutter Data'!$GC$5,'Designer Shutter Data'!$GG$25,IF(P17='Designer Shutter Data'!$GC$6,'Designer Shutter Data'!$GH$25,IF(P17='Designer Shutter Data'!$GC$7,'Designer Shutter Data'!$GI$25,IF(P17='Designer Shutter Data'!$GC$8,'Designer Shutter Data'!$GJ$25,IF(P17='Designer Shutter Data'!$GC$9,'Designer Shutter Data'!$GK$25,IF(P17='Designer Shutter Data'!$GC$10,'Designer Shutter Data'!$GL$25,IF(P17='Designer Shutter Data'!$GC$11,'Designer Shutter Data'!$GM$25,IF(P17='Designer Shutter Data'!$GC$12,'Designer Shutter Data'!$GN$25,IF(P17='Designer Shutter Data'!$GC$13,'Designer Shutter Data'!$GO$25,IF(P17='Designer Shutter Data'!$GC$14,'Designer Shutter Data'!$GP$25,IF(P17='Designer Shutter Data'!$GC$15,'Designer Shutter Data'!$GD$37,IF(P17='Designer Shutter Data'!$GC$15,'Designer Shutter Data'!$GD$37,IF(P17='Designer Shutter Data'!$GC$16,'Designer Shutter Data'!$GE$37,IF(P17='Designer Shutter Data'!$GC$17,'Designer Shutter Data'!$GF$37,IF(P17='Designer Shutter Data'!$GC$18,'Designer Shutter Data'!$GG$37, IF(P17='Designer Shutter Data'!$GC$19,'Designer Shutter Data'!$GD$73, IF(P17='Designer Shutter Data'!$GC$20,'Designer Shutter Data'!$GE$88, IF(P17='Designer Shutter Data'!$GC$21,'Designer Shutter Data'!$GH$37,IF(P17='Designer Shutter Data'!$GC$22,'Designer Shutter Data'!$GJ$25,IF(P17='Designer Shutter Data'!$GC$23,'Designer Shutter Data'!$GL$25)))))))))))))))))))))))</f>
        <v>0</v>
      </c>
      <c r="DM17" s="118" t="b">
        <f>IF(P17='Designer Shutter Data'!$GC$2,'Designer Shutter Data'!$GD$47,IF(P17='Designer Shutter Data'!$GC$3,'Designer Shutter Data'!$GE$47,IF(P17='Designer Shutter Data'!$GC$4,'Designer Shutter Data'!$GF$47,IF(P17='Designer Shutter Data'!$GC$5,'Designer Shutter Data'!$GG$47,IF(P17='Designer Shutter Data'!$GC$6,'Designer Shutter Data'!$GH$47,IF(P17='Designer Shutter Data'!$GC$7,'Designer Shutter Data'!$GI$47,IF(P17='Designer Shutter Data'!$GC$8,'Designer Shutter Data'!$GJ$47,IF(P17='Designer Shutter Data'!$GC$9,'Designer Shutter Data'!$GK$47,IF(P17='Designer Shutter Data'!$GC$10,'Designer Shutter Data'!$GL$47,IF(P17='Designer Shutter Data'!$GC$11,'Designer Shutter Data'!$GM$47,IF(P17='Designer Shutter Data'!$GC$12,'Designer Shutter Data'!$GN$47,IF(P17='Designer Shutter Data'!$GC$13,'Designer Shutter Data'!$GO$47,IF(P17='Designer Shutter Data'!$GC$14,'Designer Shutter Data'!$GP$47, IF(P17='Designer Shutter Data'!$GC$19,'Designer Shutter Data'!$GD$73, IF(P17='Designer Shutter Data'!$GC$20,'Designer Shutter Data'!$GF$88, IF(M17='Designer Shutter Data'!$F$5,'Designer Shutter Data'!$GE$59, IF(M17='Designer Shutter Data'!$F$6,'Designer Shutter Data'!$GD$59, IF(P17='Designer Shutter Data'!$GC$21,'Designer Shutter Data'!$GF$59,IF(P17='Designer Shutter Data'!$GC$22,'Designer Shutter Data'!$GJ$47,IF(P17='Designer Shutter Data'!$GC$23,'Designer Shutter Data'!$GL$47))))))))))))))))))))</f>
        <v>0</v>
      </c>
      <c r="DN17" s="107" t="str">
        <f t="shared" si="45"/>
        <v/>
      </c>
      <c r="DO17" s="107" t="e">
        <f t="shared" si="46"/>
        <v>#N/A</v>
      </c>
      <c r="DP17" s="107" t="str">
        <f t="shared" si="30"/>
        <v>OK</v>
      </c>
      <c r="DQ17" s="107" t="str">
        <f t="shared" si="31"/>
        <v>OK</v>
      </c>
      <c r="DR17" s="107" t="str">
        <f t="shared" si="32"/>
        <v>OK</v>
      </c>
      <c r="DS17" s="107" t="str">
        <f t="shared" si="33"/>
        <v>OK</v>
      </c>
      <c r="DT17" s="7" t="b">
        <f>IF(E17='Designer Shutter Data'!$GV$2,'Designer Shutter Data'!$GW$2,IF(E17='Designer Shutter Data'!$GV$3,'Designer Shutter Data'!$GX$2,IF(E17='Designer Shutter Data'!$GV$4,'Designer Shutter Data'!$GY$2)))</f>
        <v>0</v>
      </c>
      <c r="DU17" s="40" t="e">
        <f>MATCH(E17,'Designer Shutter Data'!$HB$1:$HD$1,0)</f>
        <v>#N/A</v>
      </c>
      <c r="DV17" s="40" t="e">
        <f>MATCH(M17,'Designer Shutter Data'!$HA$2:$HA$8,0)</f>
        <v>#N/A</v>
      </c>
      <c r="DW17" s="11" t="e">
        <f>INDEX('Designer Shutter Data'!$HB$2:$HD$8,DV17,DU17)</f>
        <v>#N/A</v>
      </c>
      <c r="DX17" s="11" t="b">
        <f>IF(E17='Designer Shutter Data'!$IG$1,'Designer Shutter Data'!$IG$2,IF(E17='Designer Shutter Data'!$IH$1,'Designer Shutter Data'!$IH$2, IF(E17='Designer Shutter Data'!$II$1,'Designer Shutter Data'!$II$2)))</f>
        <v>0</v>
      </c>
      <c r="DY17" s="11" t="str">
        <f>IF(E17="MS",'Designer Shutter Data'!$BI$2,IF(G17='Designer Shutter Data'!$BJ$34,'Designer Shutter Data'!$BJ$35,'Designer Shutter Data'!$BJ$2))</f>
        <v>FauxwoodDesignerWindowType</v>
      </c>
      <c r="DZ17" s="118" t="b">
        <f>IF(M17='Designer Shutter Data'!$F$3,'Designer Shutter Data'!$GF$88, IF(M17='Designer Shutter Data'!$F$4,'Designer Shutter Data'!$GE$59, IF(M17='Designer Shutter Data'!$F$5,'Designer Shutter Data'!$GD$59, IF(M17='Designer Shutter Data'!$F$6,'Designer Shutter Data'!$GD$59, IF(M17='Designer Shutter Data'!$F$7,'Designer Shutter Data'!$GD$73)))))</f>
        <v>0</v>
      </c>
      <c r="EB17" s="6" t="b">
        <f>IF(M17='Designer Shutter Data'!$IT$2,'Designer Shutter Data'!$JA$2, IF(M17='Designer Shutter Data'!$IT$3,'Designer Shutter Data'!$JC$2, IF(M17='Designer Shutter Data'!$IT$4,'Designer Shutter Data'!$JE$2, IF(M17='Designer Shutter Data'!$IT$5,'Designer Shutter Data'!$JG$2, IF(M17='Designer Shutter Data'!$IT$6,'Designer Shutter Data'!$JI$2, IF(M17='Designer Shutter Data'!$IT$7,'Designer Shutter Data'!$JZ$2, IF(M17='Designer Shutter Data'!$IT$8,'Designer Shutter Data'!$JI$16)))))))</f>
        <v>0</v>
      </c>
      <c r="EC17" s="6" t="str">
        <f t="shared" si="34"/>
        <v>NoHighlight</v>
      </c>
      <c r="ED17" s="7" t="e">
        <f>VLOOKUP(M17,'Designer Shutter Data'!$JW$5:$JX$10,2,FALSE)</f>
        <v>#N/A</v>
      </c>
      <c r="EE17" s="7" t="e">
        <f t="shared" si="35"/>
        <v>#N/A</v>
      </c>
      <c r="EF17" s="118" t="e">
        <f>VLOOKUP(O17,'Designer Shutter Data'!$AO$3:$AQ$171,1,FALSE)</f>
        <v>#N/A</v>
      </c>
      <c r="EG17" s="7" t="e">
        <f t="shared" si="36"/>
        <v>#N/A</v>
      </c>
      <c r="EH17" s="6" t="str">
        <f t="shared" si="37"/>
        <v/>
      </c>
      <c r="EJ17" s="40" t="e">
        <f>MATCH(M17,'Designer Shutter Data'!$KD$1:$KI$1,0)</f>
        <v>#N/A</v>
      </c>
      <c r="EK17" s="40" t="e">
        <f>MATCH(P17,'Designer Shutter Data'!$KC$2:$KC$21,0)</f>
        <v>#N/A</v>
      </c>
      <c r="EL17" s="136" t="e">
        <f>INDEX('Designer Shutter Data'!$KD$2:$KI$21,EK17,EJ17)</f>
        <v>#N/A</v>
      </c>
      <c r="EP17" s="6" t="str">
        <f>IF(AC17&lt;&gt;$EO$4,'Designer Shutter Data'!$BR$2,'Designer Shutter Data'!$BR$9)</f>
        <v>Fluffy_Strip_Fauxwood</v>
      </c>
      <c r="ER17" s="6" t="str">
        <f>IF(G17='Designer Shutter Data'!$E$26,'Designer Shutter Data'!$E$27,IF(G17='Designer Shutter Data'!$E$37,'Designer Shutter Data'!$E$38,'Designer Shutter Data'!$E$2))</f>
        <v>FauxwoodDesignerBladeSize</v>
      </c>
      <c r="ET17" s="6" t="str">
        <f t="shared" si="47"/>
        <v>Stile T Post</v>
      </c>
      <c r="EW17" s="40" t="e">
        <f>MATCH(G17,'Designer Shutter Data'!$AV$27:$AV$30,0)</f>
        <v>#N/A</v>
      </c>
      <c r="EX17" s="40" t="e">
        <f>MATCH(AC17,'Designer Shutter Data'!$AW$26:$AX$26,0)</f>
        <v>#N/A</v>
      </c>
      <c r="EY17" s="136" t="e">
        <f>INDEX('Designer Shutter Data'!$AW$27:$AX$30,EW17,EX17)</f>
        <v>#N/A</v>
      </c>
      <c r="EZ17" s="6" t="str">
        <f>IF(G17='Designer Shutter Data'!$S$15,'Designer Shutter Data'!$S$16, IF(G17=$FB$7,'Designer Shutter Data'!$T$15,'Designer Shutter Data'!$S$2))</f>
        <v>FauxwoodDesignerTiltrod</v>
      </c>
      <c r="FA17" s="6" t="e">
        <f>IF(G17=$FB$7,"No",VLOOKUP(L17,'Designer Shutter Data'!$BJ$62:$BK$75,2,FALSE))</f>
        <v>#N/A</v>
      </c>
      <c r="FB17" s="6" t="e">
        <f>IF(FA17="Yes", 'Designer Shutter Data'!$T$2,IF(G17=$FB$7,'Designer Shutter Data'!$T$15,'Designer Shutters Page 3'!EZ17))</f>
        <v>#N/A</v>
      </c>
      <c r="FC17" s="6" t="e">
        <f>MATCH(G17,'Designer Shutter Data'!$IG$15:$IJ$15,0)</f>
        <v>#N/A</v>
      </c>
      <c r="FD17" s="6" t="e">
        <f>MATCH(E17,'Designer Shutter Data'!$IF$16:$IF$18,0)</f>
        <v>#N/A</v>
      </c>
      <c r="FE17" s="6" t="e">
        <f>INDEX('Designer Shutter Data'!$IG$16:$IJ$18, 'Designer Shutters Page 3'!FD17, 'Designer Shutters Page 3'!FC17)</f>
        <v>#N/A</v>
      </c>
      <c r="FH17" s="6" t="str">
        <f t="shared" si="48"/>
        <v>SlidingSystemNA</v>
      </c>
      <c r="FJ17" s="6" t="e">
        <f>VLOOKUP(O17,'Designer Shutter Data'!$KP$2:$KR$44,3,FALSE)</f>
        <v>#N/A</v>
      </c>
      <c r="FL17" s="11" t="b">
        <f>IF(N17=$FL$7,'Designer Shutter Data'!$GH$98,DM17)</f>
        <v>0</v>
      </c>
    </row>
    <row r="18" spans="1:168" ht="36.75" customHeight="1" x14ac:dyDescent="0.2">
      <c r="A18" s="50">
        <v>10</v>
      </c>
      <c r="B18" s="51"/>
      <c r="C18" s="44"/>
      <c r="D18" s="31"/>
      <c r="E18" s="44"/>
      <c r="F18" s="31"/>
      <c r="G18" s="43"/>
      <c r="H18" s="234"/>
      <c r="I18" s="235"/>
      <c r="J18" s="44"/>
      <c r="K18" s="45"/>
      <c r="L18" s="45"/>
      <c r="M18" s="45"/>
      <c r="N18" s="45"/>
      <c r="O18" s="45"/>
      <c r="P18" s="236"/>
      <c r="Q18" s="236"/>
      <c r="R18" s="43"/>
      <c r="S18" s="43"/>
      <c r="T18" s="43"/>
      <c r="U18" s="43"/>
      <c r="V18" s="45"/>
      <c r="W18" s="45"/>
      <c r="X18" s="43"/>
      <c r="Y18" s="46"/>
      <c r="Z18" s="47"/>
      <c r="AA18" s="47"/>
      <c r="AB18" s="47"/>
      <c r="AC18" s="44"/>
      <c r="AD18" s="44"/>
      <c r="AE18" s="48" t="str">
        <f t="shared" si="0"/>
        <v/>
      </c>
      <c r="AI18" s="6">
        <f t="shared" si="38"/>
        <v>0</v>
      </c>
      <c r="AJ18" s="6">
        <f t="shared" si="39"/>
        <v>0</v>
      </c>
      <c r="AK18" s="6">
        <f>IF(O18&lt;&gt;"",VLOOKUP(O18,'Designer Shutter Data'!$KP$2:$KQ$44,2,FALSE),0)</f>
        <v>0</v>
      </c>
      <c r="AT18" s="49" t="str">
        <f t="shared" si="1"/>
        <v/>
      </c>
      <c r="AV18" s="6" t="str">
        <f>IF(G18=$AV$7,'Designer Shutter Data'!$D$38,'Designer Shutter Data'!$D$2)</f>
        <v>FauxwoodDesignerColour</v>
      </c>
      <c r="AW18" s="130" t="e">
        <f t="shared" si="40"/>
        <v>#N/A</v>
      </c>
      <c r="AX18" s="130" t="e">
        <f>VLOOKUP(M18,'Designer Shutter Data'!$JK$2:$JL$7,2,FALSE)</f>
        <v>#N/A</v>
      </c>
      <c r="AY18" s="38" t="b">
        <v>0</v>
      </c>
      <c r="AZ18" s="38" t="str">
        <f t="shared" si="2"/>
        <v>No</v>
      </c>
      <c r="BA18" s="38" t="e">
        <f t="shared" si="3"/>
        <v>#DIV/0!</v>
      </c>
      <c r="BB18" s="38" t="e">
        <f t="shared" si="4"/>
        <v>#DIV/0!</v>
      </c>
      <c r="BC18" s="38" t="e">
        <f t="shared" si="5"/>
        <v>#DIV/0!</v>
      </c>
      <c r="BD18" s="38" t="str">
        <f t="shared" si="6"/>
        <v>No</v>
      </c>
      <c r="BE18" s="38" t="e">
        <f>IF(OR(AND(C18&gt;0,#REF!="")), "Required","NotRequired")</f>
        <v>#REF!</v>
      </c>
      <c r="BF18" s="38" t="b">
        <v>0</v>
      </c>
      <c r="BG18" s="38" t="e">
        <f t="shared" si="41"/>
        <v>#DIV/0!</v>
      </c>
      <c r="BH18" s="39" t="str">
        <f t="shared" si="7"/>
        <v>NoHighlight</v>
      </c>
      <c r="BI18" s="38" t="str">
        <f t="shared" si="8"/>
        <v>FauxwoodRPNo</v>
      </c>
      <c r="BJ18" s="110" t="str">
        <f>IF(SUM(--ISNUMBER(SEARCH({"t","T"}, O18))),"Yes","No")</f>
        <v>No</v>
      </c>
      <c r="BK18" s="127" t="str">
        <f t="shared" si="9"/>
        <v>OK</v>
      </c>
      <c r="BL18" s="127" t="str">
        <f t="shared" si="10"/>
        <v>OK</v>
      </c>
      <c r="BM18" s="127" t="str">
        <f t="shared" si="11"/>
        <v>OK</v>
      </c>
      <c r="BN18" s="39" t="str">
        <f t="shared" si="12"/>
        <v>OK</v>
      </c>
      <c r="BO18" s="39" t="str">
        <f t="shared" si="13"/>
        <v>FauxwoodAINo</v>
      </c>
      <c r="BP18" s="39" t="str">
        <f>IF(SUM(--ISNUMBER(SEARCH({"combo","Combo","COMBO"}, B35))),"Yes","No")</f>
        <v>No</v>
      </c>
      <c r="BQ18" s="39" t="str">
        <f t="shared" si="42"/>
        <v>No</v>
      </c>
      <c r="BR18" s="39" t="str">
        <f>IF(SUM(--ISNUMBER(SEARCH({"c","C","b","B"}, L18))),"Yes","No")</f>
        <v>No</v>
      </c>
      <c r="BS18" s="11">
        <f t="shared" si="14"/>
        <v>0</v>
      </c>
      <c r="BT18" s="11" t="s">
        <v>820</v>
      </c>
      <c r="BU18" s="11" t="s">
        <v>820</v>
      </c>
      <c r="BV18" s="40">
        <f t="shared" si="15"/>
        <v>0</v>
      </c>
      <c r="BW18" s="40">
        <f t="shared" si="16"/>
        <v>0</v>
      </c>
      <c r="BX18" s="11" t="e">
        <f t="shared" si="17"/>
        <v>#DIV/0!</v>
      </c>
      <c r="BY18" s="11" t="b">
        <v>0</v>
      </c>
      <c r="BZ18" s="11" t="b">
        <v>0</v>
      </c>
      <c r="CA18" s="11" t="e">
        <v>#REF!</v>
      </c>
      <c r="CB18" s="11" t="s">
        <v>82</v>
      </c>
      <c r="CC18" s="11" t="e">
        <f t="shared" si="18"/>
        <v>#DIV/0!</v>
      </c>
      <c r="CD18" s="11" t="e">
        <f>VLOOKUP(P18,'Designer Shutter Data'!$H$3:$I$19,2,FALSE)</f>
        <v>#N/A</v>
      </c>
      <c r="CE18" s="11" t="s">
        <v>820</v>
      </c>
      <c r="CF18" s="11" t="str">
        <f>IF(SUM(--ISNUMBER(SEARCH({"z","Z"}, P18))),"Yes","No")</f>
        <v>No</v>
      </c>
      <c r="CG18" s="11" t="str">
        <f t="shared" si="19"/>
        <v>OK</v>
      </c>
      <c r="CH18" s="11">
        <f t="shared" si="20"/>
        <v>0</v>
      </c>
      <c r="CI18" s="120" t="e">
        <f>IF(O18="N/A","N/A",VLOOKUP(O18,'Designer Shutter Data'!$AO$3:$AP$171,2,FALSE))</f>
        <v>#N/A</v>
      </c>
      <c r="CJ18" s="120" t="e">
        <f t="shared" si="21"/>
        <v>#N/A</v>
      </c>
      <c r="CK18" s="40"/>
      <c r="CL18" s="40"/>
      <c r="CM18" s="40"/>
      <c r="CN18" s="41" t="str">
        <f t="shared" si="22"/>
        <v>OK</v>
      </c>
      <c r="CO18" s="129" t="b">
        <f t="shared" si="23"/>
        <v>0</v>
      </c>
      <c r="CP18" s="129" t="b">
        <f t="shared" si="24"/>
        <v>0</v>
      </c>
      <c r="CQ18" s="40">
        <f t="shared" si="25"/>
        <v>0</v>
      </c>
      <c r="CR18" s="133">
        <f t="shared" si="26"/>
        <v>0</v>
      </c>
      <c r="CS18" s="40">
        <f t="shared" si="43"/>
        <v>0</v>
      </c>
      <c r="CT18" s="133" t="e">
        <f t="shared" si="27"/>
        <v>#N/A</v>
      </c>
      <c r="CU18" s="11" t="b">
        <v>0</v>
      </c>
      <c r="CV18" s="11" t="b">
        <v>0</v>
      </c>
      <c r="CW18" s="11" t="b">
        <v>0</v>
      </c>
      <c r="CX18" s="11" t="b">
        <v>0</v>
      </c>
      <c r="CY18" s="40" t="e">
        <f>IF(OR(AND(#REF!&gt;0,#REF!="")), "Error","OK")</f>
        <v>#REF!</v>
      </c>
      <c r="CZ18" s="11" t="e">
        <v>#REF!</v>
      </c>
      <c r="DA18" s="6" t="str">
        <f t="shared" si="28"/>
        <v/>
      </c>
      <c r="DD18" s="6" t="s">
        <v>84</v>
      </c>
      <c r="DE18" s="6" t="b">
        <f>IF(M18='Designer Shutter Data'!$F$3,'Designer Shutter Data'!$FY$7,IF(M18='Designer Shutter Data'!$F$4,'Designer Shutter Data'!$FZ$2,IF(M18='Designer Shutter Data'!$F$5,FJ18, IF(M18='Designer Shutter Data'!$F$6,'Designer Shutter Data'!$GA$2,IF(M18='Designer Shutter Data'!$F$7,'Designer Shutter Data'!$FY$2, IF(M18='Designer Shutter Data'!$F$8,'Designer Shutter Data'!$FZ$7, IF(M18='Designer Shutter Data'!$F$14,'Designer Shutter Data'!$FZ$14)))))))</f>
        <v>0</v>
      </c>
      <c r="DF18" s="6" t="e">
        <f>VLOOKUP(M18,'Designer Shutter Data'!$M$2:$N$8,2,FALSE)</f>
        <v>#N/A</v>
      </c>
      <c r="DH18" s="123" t="e">
        <f>VLOOKUP(O18,'Designer Shutter Data'!$IN$2:$IO$169,2,FALSE)</f>
        <v>#N/A</v>
      </c>
      <c r="DI18" s="103" t="e">
        <f t="shared" si="29"/>
        <v>#N/A</v>
      </c>
      <c r="DJ18" s="103" t="e">
        <f t="shared" si="44"/>
        <v>#N/A</v>
      </c>
      <c r="DK18" s="7" t="b">
        <f>IF(P18='Designer Shutter Data'!$GC$2,'Designer Shutter Data'!$GD$2,IF(P18='Designer Shutter Data'!$GC$3,'Designer Shutter Data'!$GE$2,IF(P18='Designer Shutter Data'!$GC$4,'Designer Shutter Data'!$GF$2,IF(P18='Designer Shutter Data'!$GC$5,'Designer Shutter Data'!$GG$2,IF(P18='Designer Shutter Data'!$GC$6,'Designer Shutter Data'!$GH$2,IF(P18='Designer Shutter Data'!$GC$7,'Designer Shutter Data'!$GI$2,IF(P18='Designer Shutter Data'!$GC$8,'Designer Shutter Data'!$GJ$2,IF(P18='Designer Shutter Data'!$GC$9,'Designer Shutter Data'!$GK$2,IF(P18='Designer Shutter Data'!$GC$10,'Designer Shutter Data'!$GL$2,IF(P18='Designer Shutter Data'!$GC$11,'Designer Shutter Data'!$GM$2,IF(P18='Designer Shutter Data'!$GC$12,'Designer Shutter Data'!$GN$2,IF(P18='Designer Shutter Data'!$GC$13,'Designer Shutter Data'!$GO$2,IF(P18='Designer Shutter Data'!$GC$14,'Designer Shutter Data'!$GP$2,IF(P18='Designer Shutter Data'!$GC$15,'Designer Shutter Data'!$GD$15,IF(P18='Designer Shutter Data'!$GC$16,'Designer Shutter Data'!$GE$15,IF(P18='Designer Shutter Data'!$GC$17,'Designer Shutter Data'!$GF$15,IF(P18='Designer Shutter Data'!$GC$18,'Designer Shutter Data'!$GG$15,IF(P18='Designer Shutter Data'!$GC$19,'Designer Shutter Data'!$GD$73,IF(P18='Designer Shutter Data'!$GC$20,'Designer Shutter Data'!$GD$88, IF(P18='Designer Shutter Data'!$GC$21,'Designer Shutter Data'!$GH$15, IF(P18='Designer Shutter Data'!$GC$22,'Designer Shutter Data'!$GJ$2, IF(P18='Designer Shutter Data'!$GC$23,'Designer Shutter Data'!$GL$2))))))))))))))))))))))</f>
        <v>0</v>
      </c>
      <c r="DL18" s="7" t="b">
        <f>IF(P18='Designer Shutter Data'!$GC$2,'Designer Shutter Data'!$GD$25,IF(P18='Designer Shutter Data'!$GC$3,'Designer Shutter Data'!$GE$25,IF(P18='Designer Shutter Data'!$GC$4,'Designer Shutter Data'!$GF$25,IF(P18='Designer Shutter Data'!$GC$5,'Designer Shutter Data'!$GG$25,IF(P18='Designer Shutter Data'!$GC$6,'Designer Shutter Data'!$GH$25,IF(P18='Designer Shutter Data'!$GC$7,'Designer Shutter Data'!$GI$25,IF(P18='Designer Shutter Data'!$GC$8,'Designer Shutter Data'!$GJ$25,IF(P18='Designer Shutter Data'!$GC$9,'Designer Shutter Data'!$GK$25,IF(P18='Designer Shutter Data'!$GC$10,'Designer Shutter Data'!$GL$25,IF(P18='Designer Shutter Data'!$GC$11,'Designer Shutter Data'!$GM$25,IF(P18='Designer Shutter Data'!$GC$12,'Designer Shutter Data'!$GN$25,IF(P18='Designer Shutter Data'!$GC$13,'Designer Shutter Data'!$GO$25,IF(P18='Designer Shutter Data'!$GC$14,'Designer Shutter Data'!$GP$25,IF(P18='Designer Shutter Data'!$GC$15,'Designer Shutter Data'!$GD$37,IF(P18='Designer Shutter Data'!$GC$15,'Designer Shutter Data'!$GD$37,IF(P18='Designer Shutter Data'!$GC$16,'Designer Shutter Data'!$GE$37,IF(P18='Designer Shutter Data'!$GC$17,'Designer Shutter Data'!$GF$37,IF(P18='Designer Shutter Data'!$GC$18,'Designer Shutter Data'!$GG$37, IF(P18='Designer Shutter Data'!$GC$19,'Designer Shutter Data'!$GD$73, IF(P18='Designer Shutter Data'!$GC$20,'Designer Shutter Data'!$GE$88, IF(P18='Designer Shutter Data'!$GC$21,'Designer Shutter Data'!$GH$37,IF(P18='Designer Shutter Data'!$GC$22,'Designer Shutter Data'!$GJ$25,IF(P18='Designer Shutter Data'!$GC$23,'Designer Shutter Data'!$GL$25)))))))))))))))))))))))</f>
        <v>0</v>
      </c>
      <c r="DM18" s="118" t="b">
        <f>IF(P18='Designer Shutter Data'!$GC$2,'Designer Shutter Data'!$GD$47,IF(P18='Designer Shutter Data'!$GC$3,'Designer Shutter Data'!$GE$47,IF(P18='Designer Shutter Data'!$GC$4,'Designer Shutter Data'!$GF$47,IF(P18='Designer Shutter Data'!$GC$5,'Designer Shutter Data'!$GG$47,IF(P18='Designer Shutter Data'!$GC$6,'Designer Shutter Data'!$GH$47,IF(P18='Designer Shutter Data'!$GC$7,'Designer Shutter Data'!$GI$47,IF(P18='Designer Shutter Data'!$GC$8,'Designer Shutter Data'!$GJ$47,IF(P18='Designer Shutter Data'!$GC$9,'Designer Shutter Data'!$GK$47,IF(P18='Designer Shutter Data'!$GC$10,'Designer Shutter Data'!$GL$47,IF(P18='Designer Shutter Data'!$GC$11,'Designer Shutter Data'!$GM$47,IF(P18='Designer Shutter Data'!$GC$12,'Designer Shutter Data'!$GN$47,IF(P18='Designer Shutter Data'!$GC$13,'Designer Shutter Data'!$GO$47,IF(P18='Designer Shutter Data'!$GC$14,'Designer Shutter Data'!$GP$47, IF(P18='Designer Shutter Data'!$GC$19,'Designer Shutter Data'!$GD$73, IF(P18='Designer Shutter Data'!$GC$20,'Designer Shutter Data'!$GF$88, IF(M18='Designer Shutter Data'!$F$5,'Designer Shutter Data'!$GE$59, IF(M18='Designer Shutter Data'!$F$6,'Designer Shutter Data'!$GD$59, IF(P18='Designer Shutter Data'!$GC$21,'Designer Shutter Data'!$GF$59,IF(P18='Designer Shutter Data'!$GC$22,'Designer Shutter Data'!$GJ$47,IF(P18='Designer Shutter Data'!$GC$23,'Designer Shutter Data'!$GL$47))))))))))))))))))))</f>
        <v>0</v>
      </c>
      <c r="DN18" s="107" t="str">
        <f t="shared" si="45"/>
        <v/>
      </c>
      <c r="DO18" s="107" t="e">
        <f t="shared" si="46"/>
        <v>#N/A</v>
      </c>
      <c r="DP18" s="107" t="str">
        <f t="shared" si="30"/>
        <v>OK</v>
      </c>
      <c r="DQ18" s="107" t="str">
        <f t="shared" si="31"/>
        <v>OK</v>
      </c>
      <c r="DR18" s="107" t="str">
        <f t="shared" si="32"/>
        <v>OK</v>
      </c>
      <c r="DS18" s="107" t="str">
        <f t="shared" si="33"/>
        <v>OK</v>
      </c>
      <c r="DT18" s="7" t="b">
        <f>IF(E18='Designer Shutter Data'!$GV$2,'Designer Shutter Data'!$GW$2,IF(E18='Designer Shutter Data'!$GV$3,'Designer Shutter Data'!$GX$2,IF(E18='Designer Shutter Data'!$GV$4,'Designer Shutter Data'!$GY$2)))</f>
        <v>0</v>
      </c>
      <c r="DU18" s="40" t="e">
        <f>MATCH(E18,'Designer Shutter Data'!$HB$1:$HD$1,0)</f>
        <v>#N/A</v>
      </c>
      <c r="DV18" s="40" t="e">
        <f>MATCH(M18,'Designer Shutter Data'!$HA$2:$HA$8,0)</f>
        <v>#N/A</v>
      </c>
      <c r="DW18" s="11" t="e">
        <f>INDEX('Designer Shutter Data'!$HB$2:$HD$8,DV18,DU18)</f>
        <v>#N/A</v>
      </c>
      <c r="DX18" s="11" t="b">
        <f>IF(E18='Designer Shutter Data'!$IG$1,'Designer Shutter Data'!$IG$2,IF(E18='Designer Shutter Data'!$IH$1,'Designer Shutter Data'!$IH$2, IF(E18='Designer Shutter Data'!$II$1,'Designer Shutter Data'!$II$2)))</f>
        <v>0</v>
      </c>
      <c r="DY18" s="11" t="str">
        <f>IF(E18="MS",'Designer Shutter Data'!$BI$2,IF(G18='Designer Shutter Data'!$BJ$34,'Designer Shutter Data'!$BJ$35,'Designer Shutter Data'!$BJ$2))</f>
        <v>FauxwoodDesignerWindowType</v>
      </c>
      <c r="DZ18" s="118" t="b">
        <f>IF(M18='Designer Shutter Data'!$F$3,'Designer Shutter Data'!$GF$88, IF(M18='Designer Shutter Data'!$F$4,'Designer Shutter Data'!$GE$59, IF(M18='Designer Shutter Data'!$F$5,'Designer Shutter Data'!$GD$59, IF(M18='Designer Shutter Data'!$F$6,'Designer Shutter Data'!$GD$59, IF(M18='Designer Shutter Data'!$F$7,'Designer Shutter Data'!$GD$73)))))</f>
        <v>0</v>
      </c>
      <c r="EB18" s="6" t="b">
        <f>IF(M18='Designer Shutter Data'!$IT$2,'Designer Shutter Data'!$JA$2, IF(M18='Designer Shutter Data'!$IT$3,'Designer Shutter Data'!$JC$2, IF(M18='Designer Shutter Data'!$IT$4,'Designer Shutter Data'!$JE$2, IF(M18='Designer Shutter Data'!$IT$5,'Designer Shutter Data'!$JG$2, IF(M18='Designer Shutter Data'!$IT$6,'Designer Shutter Data'!$JI$2, IF(M18='Designer Shutter Data'!$IT$7,'Designer Shutter Data'!$JZ$2, IF(M18='Designer Shutter Data'!$IT$8,'Designer Shutter Data'!$JI$16)))))))</f>
        <v>0</v>
      </c>
      <c r="EC18" s="6" t="str">
        <f t="shared" si="34"/>
        <v>NoHighlight</v>
      </c>
      <c r="ED18" s="7" t="e">
        <f>VLOOKUP(M18,'Designer Shutter Data'!$JW$5:$JX$10,2,FALSE)</f>
        <v>#N/A</v>
      </c>
      <c r="EE18" s="7" t="e">
        <f t="shared" si="35"/>
        <v>#N/A</v>
      </c>
      <c r="EF18" s="118" t="e">
        <f>VLOOKUP(O18,'Designer Shutter Data'!$AO$3:$AQ$171,1,FALSE)</f>
        <v>#N/A</v>
      </c>
      <c r="EG18" s="7" t="e">
        <f t="shared" si="36"/>
        <v>#N/A</v>
      </c>
      <c r="EH18" s="6" t="str">
        <f t="shared" si="37"/>
        <v/>
      </c>
      <c r="EJ18" s="40" t="e">
        <f>MATCH(M18,'Designer Shutter Data'!$KD$1:$KI$1,0)</f>
        <v>#N/A</v>
      </c>
      <c r="EK18" s="40" t="e">
        <f>MATCH(P18,'Designer Shutter Data'!$KC$2:$KC$21,0)</f>
        <v>#N/A</v>
      </c>
      <c r="EL18" s="136" t="e">
        <f>INDEX('Designer Shutter Data'!$KD$2:$KI$21,EK18,EJ18)</f>
        <v>#N/A</v>
      </c>
      <c r="EP18" s="6" t="str">
        <f>IF(AC18&lt;&gt;$EO$4,'Designer Shutter Data'!$BR$2,'Designer Shutter Data'!$BR$9)</f>
        <v>Fluffy_Strip_Fauxwood</v>
      </c>
      <c r="ER18" s="6" t="str">
        <f>IF(G18='Designer Shutter Data'!$E$26,'Designer Shutter Data'!$E$27,IF(G18='Designer Shutter Data'!$E$37,'Designer Shutter Data'!$E$38,'Designer Shutter Data'!$E$2))</f>
        <v>FauxwoodDesignerBladeSize</v>
      </c>
      <c r="ET18" s="6" t="str">
        <f t="shared" si="47"/>
        <v>Stile T Post</v>
      </c>
      <c r="EW18" s="40" t="e">
        <f>MATCH(G18,'Designer Shutter Data'!$AV$27:$AV$30,0)</f>
        <v>#N/A</v>
      </c>
      <c r="EX18" s="40" t="e">
        <f>MATCH(AC18,'Designer Shutter Data'!$AW$26:$AX$26,0)</f>
        <v>#N/A</v>
      </c>
      <c r="EY18" s="136" t="e">
        <f>INDEX('Designer Shutter Data'!$AW$27:$AX$30,EW18,EX18)</f>
        <v>#N/A</v>
      </c>
      <c r="EZ18" s="6" t="str">
        <f>IF(G18='Designer Shutter Data'!$S$15,'Designer Shutter Data'!$S$16, IF(G18=$FB$7,'Designer Shutter Data'!$T$15,'Designer Shutter Data'!$S$2))</f>
        <v>FauxwoodDesignerTiltrod</v>
      </c>
      <c r="FA18" s="6" t="e">
        <f>IF(G18=$FB$7,"No",VLOOKUP(L18,'Designer Shutter Data'!$BJ$62:$BK$75,2,FALSE))</f>
        <v>#N/A</v>
      </c>
      <c r="FB18" s="6" t="e">
        <f>IF(FA18="Yes", 'Designer Shutter Data'!$T$2,IF(G18=$FB$7,'Designer Shutter Data'!$T$15,'Designer Shutters Page 3'!EZ18))</f>
        <v>#N/A</v>
      </c>
      <c r="FC18" s="6" t="e">
        <f>MATCH(G18,'Designer Shutter Data'!$IG$15:$IJ$15,0)</f>
        <v>#N/A</v>
      </c>
      <c r="FD18" s="6" t="e">
        <f>MATCH(E18,'Designer Shutter Data'!$IF$16:$IF$18,0)</f>
        <v>#N/A</v>
      </c>
      <c r="FE18" s="6" t="e">
        <f>INDEX('Designer Shutter Data'!$IG$16:$IJ$18, 'Designer Shutters Page 3'!FD18, 'Designer Shutters Page 3'!FC18)</f>
        <v>#N/A</v>
      </c>
      <c r="FH18" s="6" t="str">
        <f t="shared" si="48"/>
        <v>SlidingSystemNA</v>
      </c>
      <c r="FJ18" s="6" t="e">
        <f>VLOOKUP(O18,'Designer Shutter Data'!$KP$2:$KR$44,3,FALSE)</f>
        <v>#N/A</v>
      </c>
      <c r="FL18" s="11" t="b">
        <f>IF(N18=$FL$7,'Designer Shutter Data'!$GH$98,DM18)</f>
        <v>0</v>
      </c>
    </row>
    <row r="19" spans="1:168" ht="36.75" customHeight="1" x14ac:dyDescent="0.2">
      <c r="A19" s="50">
        <v>11</v>
      </c>
      <c r="B19" s="51"/>
      <c r="C19" s="44"/>
      <c r="D19" s="31"/>
      <c r="E19" s="44"/>
      <c r="F19" s="31"/>
      <c r="G19" s="43"/>
      <c r="H19" s="234"/>
      <c r="I19" s="235"/>
      <c r="J19" s="44"/>
      <c r="K19" s="45"/>
      <c r="L19" s="45"/>
      <c r="M19" s="45"/>
      <c r="N19" s="45"/>
      <c r="O19" s="45"/>
      <c r="P19" s="236"/>
      <c r="Q19" s="236"/>
      <c r="R19" s="43"/>
      <c r="S19" s="43"/>
      <c r="T19" s="43"/>
      <c r="U19" s="43"/>
      <c r="V19" s="45"/>
      <c r="W19" s="45"/>
      <c r="X19" s="43"/>
      <c r="Y19" s="46"/>
      <c r="Z19" s="47"/>
      <c r="AA19" s="47"/>
      <c r="AB19" s="47"/>
      <c r="AC19" s="44"/>
      <c r="AD19" s="44"/>
      <c r="AE19" s="48" t="str">
        <f t="shared" si="0"/>
        <v/>
      </c>
      <c r="AI19" s="6">
        <f t="shared" si="38"/>
        <v>0</v>
      </c>
      <c r="AJ19" s="6">
        <f t="shared" si="39"/>
        <v>0</v>
      </c>
      <c r="AK19" s="6">
        <f>IF(O19&lt;&gt;"",VLOOKUP(O19,'Designer Shutter Data'!$KP$2:$KQ$44,2,FALSE),0)</f>
        <v>0</v>
      </c>
      <c r="AT19" s="49" t="str">
        <f t="shared" si="1"/>
        <v/>
      </c>
      <c r="AV19" s="6" t="str">
        <f>IF(G19=$AV$7,'Designer Shutter Data'!$D$38,'Designer Shutter Data'!$D$2)</f>
        <v>FauxwoodDesignerColour</v>
      </c>
      <c r="AW19" s="130" t="e">
        <f t="shared" si="40"/>
        <v>#N/A</v>
      </c>
      <c r="AX19" s="130" t="e">
        <f>VLOOKUP(M19,'Designer Shutter Data'!$JK$2:$JL$7,2,FALSE)</f>
        <v>#N/A</v>
      </c>
      <c r="AY19" s="38" t="b">
        <v>0</v>
      </c>
      <c r="AZ19" s="38" t="str">
        <f t="shared" si="2"/>
        <v>No</v>
      </c>
      <c r="BA19" s="38" t="e">
        <f t="shared" si="3"/>
        <v>#DIV/0!</v>
      </c>
      <c r="BB19" s="38" t="e">
        <f t="shared" si="4"/>
        <v>#DIV/0!</v>
      </c>
      <c r="BC19" s="38" t="e">
        <f t="shared" si="5"/>
        <v>#DIV/0!</v>
      </c>
      <c r="BD19" s="38" t="str">
        <f t="shared" si="6"/>
        <v>No</v>
      </c>
      <c r="BE19" s="38" t="e">
        <f>IF(OR(AND(C19&gt;0,#REF!="")), "Required","NotRequired")</f>
        <v>#REF!</v>
      </c>
      <c r="BF19" s="38" t="b">
        <v>0</v>
      </c>
      <c r="BG19" s="38" t="e">
        <f t="shared" si="41"/>
        <v>#DIV/0!</v>
      </c>
      <c r="BH19" s="39" t="str">
        <f t="shared" si="7"/>
        <v>NoHighlight</v>
      </c>
      <c r="BI19" s="38" t="str">
        <f t="shared" si="8"/>
        <v>FauxwoodRPNo</v>
      </c>
      <c r="BJ19" s="110" t="str">
        <f>IF(SUM(--ISNUMBER(SEARCH({"t","T"}, O19))),"Yes","No")</f>
        <v>No</v>
      </c>
      <c r="BK19" s="127" t="str">
        <f t="shared" si="9"/>
        <v>OK</v>
      </c>
      <c r="BL19" s="127" t="str">
        <f t="shared" si="10"/>
        <v>OK</v>
      </c>
      <c r="BM19" s="127" t="str">
        <f t="shared" si="11"/>
        <v>OK</v>
      </c>
      <c r="BN19" s="39" t="str">
        <f t="shared" si="12"/>
        <v>OK</v>
      </c>
      <c r="BO19" s="39" t="str">
        <f t="shared" si="13"/>
        <v>FauxwoodAINo</v>
      </c>
      <c r="BP19" s="39" t="str">
        <f>IF(SUM(--ISNUMBER(SEARCH({"combo","Combo","COMBO"}, B36))),"Yes","No")</f>
        <v>No</v>
      </c>
      <c r="BQ19" s="39" t="str">
        <f t="shared" si="42"/>
        <v>No</v>
      </c>
      <c r="BR19" s="39" t="str">
        <f>IF(SUM(--ISNUMBER(SEARCH({"c","C","b","B"}, L19))),"Yes","No")</f>
        <v>No</v>
      </c>
      <c r="BS19" s="11">
        <f t="shared" si="14"/>
        <v>0</v>
      </c>
      <c r="BT19" s="11" t="s">
        <v>820</v>
      </c>
      <c r="BU19" s="11" t="s">
        <v>820</v>
      </c>
      <c r="BV19" s="40">
        <f t="shared" si="15"/>
        <v>0</v>
      </c>
      <c r="BW19" s="40">
        <f t="shared" si="16"/>
        <v>0</v>
      </c>
      <c r="BX19" s="11" t="e">
        <f t="shared" si="17"/>
        <v>#DIV/0!</v>
      </c>
      <c r="BY19" s="11" t="b">
        <v>0</v>
      </c>
      <c r="BZ19" s="11" t="b">
        <v>0</v>
      </c>
      <c r="CA19" s="11" t="e">
        <v>#REF!</v>
      </c>
      <c r="CB19" s="11" t="s">
        <v>82</v>
      </c>
      <c r="CC19" s="11" t="e">
        <f t="shared" si="18"/>
        <v>#DIV/0!</v>
      </c>
      <c r="CD19" s="11" t="e">
        <f>VLOOKUP(P19,'Designer Shutter Data'!$H$3:$I$19,2,FALSE)</f>
        <v>#N/A</v>
      </c>
      <c r="CE19" s="11" t="s">
        <v>820</v>
      </c>
      <c r="CF19" s="11" t="str">
        <f>IF(SUM(--ISNUMBER(SEARCH({"z","Z"}, P19))),"Yes","No")</f>
        <v>No</v>
      </c>
      <c r="CG19" s="11" t="str">
        <f t="shared" si="19"/>
        <v>OK</v>
      </c>
      <c r="CH19" s="11">
        <f t="shared" si="20"/>
        <v>0</v>
      </c>
      <c r="CI19" s="120" t="e">
        <f>IF(O19="N/A","N/A",VLOOKUP(O19,'Designer Shutter Data'!$AO$3:$AP$171,2,FALSE))</f>
        <v>#N/A</v>
      </c>
      <c r="CJ19" s="120" t="e">
        <f t="shared" si="21"/>
        <v>#N/A</v>
      </c>
      <c r="CK19" s="40"/>
      <c r="CL19" s="40"/>
      <c r="CM19" s="40"/>
      <c r="CN19" s="41" t="str">
        <f t="shared" si="22"/>
        <v>OK</v>
      </c>
      <c r="CO19" s="129" t="b">
        <f t="shared" si="23"/>
        <v>0</v>
      </c>
      <c r="CP19" s="129" t="b">
        <f t="shared" si="24"/>
        <v>0</v>
      </c>
      <c r="CQ19" s="40">
        <f t="shared" si="25"/>
        <v>0</v>
      </c>
      <c r="CR19" s="133">
        <f t="shared" si="26"/>
        <v>0</v>
      </c>
      <c r="CS19" s="40">
        <f t="shared" si="43"/>
        <v>0</v>
      </c>
      <c r="CT19" s="133" t="e">
        <f t="shared" si="27"/>
        <v>#N/A</v>
      </c>
      <c r="CU19" s="11" t="b">
        <v>0</v>
      </c>
      <c r="CV19" s="11" t="b">
        <v>0</v>
      </c>
      <c r="CW19" s="11" t="b">
        <v>0</v>
      </c>
      <c r="CX19" s="11" t="b">
        <v>0</v>
      </c>
      <c r="CY19" s="40" t="e">
        <f>IF(OR(AND(#REF!&gt;0,#REF!="")), "Error","OK")</f>
        <v>#REF!</v>
      </c>
      <c r="CZ19" s="11" t="e">
        <v>#REF!</v>
      </c>
      <c r="DA19" s="6" t="str">
        <f t="shared" si="28"/>
        <v/>
      </c>
      <c r="DD19" s="6" t="s">
        <v>84</v>
      </c>
      <c r="DE19" s="6" t="b">
        <f>IF(M19='Designer Shutter Data'!$F$3,'Designer Shutter Data'!$FY$7,IF(M19='Designer Shutter Data'!$F$4,'Designer Shutter Data'!$FZ$2,IF(M19='Designer Shutter Data'!$F$5,FJ19, IF(M19='Designer Shutter Data'!$F$6,'Designer Shutter Data'!$GA$2,IF(M19='Designer Shutter Data'!$F$7,'Designer Shutter Data'!$FY$2, IF(M19='Designer Shutter Data'!$F$8,'Designer Shutter Data'!$FZ$7, IF(M19='Designer Shutter Data'!$F$14,'Designer Shutter Data'!$FZ$14)))))))</f>
        <v>0</v>
      </c>
      <c r="DF19" s="6" t="e">
        <f>VLOOKUP(M19,'Designer Shutter Data'!$M$2:$N$8,2,FALSE)</f>
        <v>#N/A</v>
      </c>
      <c r="DH19" s="123" t="e">
        <f>VLOOKUP(O19,'Designer Shutter Data'!$IN$2:$IO$169,2,FALSE)</f>
        <v>#N/A</v>
      </c>
      <c r="DI19" s="103" t="e">
        <f t="shared" si="29"/>
        <v>#N/A</v>
      </c>
      <c r="DJ19" s="103" t="e">
        <f t="shared" si="44"/>
        <v>#N/A</v>
      </c>
      <c r="DK19" s="7" t="b">
        <f>IF(P19='Designer Shutter Data'!$GC$2,'Designer Shutter Data'!$GD$2,IF(P19='Designer Shutter Data'!$GC$3,'Designer Shutter Data'!$GE$2,IF(P19='Designer Shutter Data'!$GC$4,'Designer Shutter Data'!$GF$2,IF(P19='Designer Shutter Data'!$GC$5,'Designer Shutter Data'!$GG$2,IF(P19='Designer Shutter Data'!$GC$6,'Designer Shutter Data'!$GH$2,IF(P19='Designer Shutter Data'!$GC$7,'Designer Shutter Data'!$GI$2,IF(P19='Designer Shutter Data'!$GC$8,'Designer Shutter Data'!$GJ$2,IF(P19='Designer Shutter Data'!$GC$9,'Designer Shutter Data'!$GK$2,IF(P19='Designer Shutter Data'!$GC$10,'Designer Shutter Data'!$GL$2,IF(P19='Designer Shutter Data'!$GC$11,'Designer Shutter Data'!$GM$2,IF(P19='Designer Shutter Data'!$GC$12,'Designer Shutter Data'!$GN$2,IF(P19='Designer Shutter Data'!$GC$13,'Designer Shutter Data'!$GO$2,IF(P19='Designer Shutter Data'!$GC$14,'Designer Shutter Data'!$GP$2,IF(P19='Designer Shutter Data'!$GC$15,'Designer Shutter Data'!$GD$15,IF(P19='Designer Shutter Data'!$GC$16,'Designer Shutter Data'!$GE$15,IF(P19='Designer Shutter Data'!$GC$17,'Designer Shutter Data'!$GF$15,IF(P19='Designer Shutter Data'!$GC$18,'Designer Shutter Data'!$GG$15,IF(P19='Designer Shutter Data'!$GC$19,'Designer Shutter Data'!$GD$73,IF(P19='Designer Shutter Data'!$GC$20,'Designer Shutter Data'!$GD$88, IF(P19='Designer Shutter Data'!$GC$21,'Designer Shutter Data'!$GH$15, IF(P19='Designer Shutter Data'!$GC$22,'Designer Shutter Data'!$GJ$2, IF(P19='Designer Shutter Data'!$GC$23,'Designer Shutter Data'!$GL$2))))))))))))))))))))))</f>
        <v>0</v>
      </c>
      <c r="DL19" s="7" t="b">
        <f>IF(P19='Designer Shutter Data'!$GC$2,'Designer Shutter Data'!$GD$25,IF(P19='Designer Shutter Data'!$GC$3,'Designer Shutter Data'!$GE$25,IF(P19='Designer Shutter Data'!$GC$4,'Designer Shutter Data'!$GF$25,IF(P19='Designer Shutter Data'!$GC$5,'Designer Shutter Data'!$GG$25,IF(P19='Designer Shutter Data'!$GC$6,'Designer Shutter Data'!$GH$25,IF(P19='Designer Shutter Data'!$GC$7,'Designer Shutter Data'!$GI$25,IF(P19='Designer Shutter Data'!$GC$8,'Designer Shutter Data'!$GJ$25,IF(P19='Designer Shutter Data'!$GC$9,'Designer Shutter Data'!$GK$25,IF(P19='Designer Shutter Data'!$GC$10,'Designer Shutter Data'!$GL$25,IF(P19='Designer Shutter Data'!$GC$11,'Designer Shutter Data'!$GM$25,IF(P19='Designer Shutter Data'!$GC$12,'Designer Shutter Data'!$GN$25,IF(P19='Designer Shutter Data'!$GC$13,'Designer Shutter Data'!$GO$25,IF(P19='Designer Shutter Data'!$GC$14,'Designer Shutter Data'!$GP$25,IF(P19='Designer Shutter Data'!$GC$15,'Designer Shutter Data'!$GD$37,IF(P19='Designer Shutter Data'!$GC$15,'Designer Shutter Data'!$GD$37,IF(P19='Designer Shutter Data'!$GC$16,'Designer Shutter Data'!$GE$37,IF(P19='Designer Shutter Data'!$GC$17,'Designer Shutter Data'!$GF$37,IF(P19='Designer Shutter Data'!$GC$18,'Designer Shutter Data'!$GG$37, IF(P19='Designer Shutter Data'!$GC$19,'Designer Shutter Data'!$GD$73, IF(P19='Designer Shutter Data'!$GC$20,'Designer Shutter Data'!$GE$88, IF(P19='Designer Shutter Data'!$GC$21,'Designer Shutter Data'!$GH$37,IF(P19='Designer Shutter Data'!$GC$22,'Designer Shutter Data'!$GJ$25,IF(P19='Designer Shutter Data'!$GC$23,'Designer Shutter Data'!$GL$25)))))))))))))))))))))))</f>
        <v>0</v>
      </c>
      <c r="DM19" s="118" t="b">
        <f>IF(P19='Designer Shutter Data'!$GC$2,'Designer Shutter Data'!$GD$47,IF(P19='Designer Shutter Data'!$GC$3,'Designer Shutter Data'!$GE$47,IF(P19='Designer Shutter Data'!$GC$4,'Designer Shutter Data'!$GF$47,IF(P19='Designer Shutter Data'!$GC$5,'Designer Shutter Data'!$GG$47,IF(P19='Designer Shutter Data'!$GC$6,'Designer Shutter Data'!$GH$47,IF(P19='Designer Shutter Data'!$GC$7,'Designer Shutter Data'!$GI$47,IF(P19='Designer Shutter Data'!$GC$8,'Designer Shutter Data'!$GJ$47,IF(P19='Designer Shutter Data'!$GC$9,'Designer Shutter Data'!$GK$47,IF(P19='Designer Shutter Data'!$GC$10,'Designer Shutter Data'!$GL$47,IF(P19='Designer Shutter Data'!$GC$11,'Designer Shutter Data'!$GM$47,IF(P19='Designer Shutter Data'!$GC$12,'Designer Shutter Data'!$GN$47,IF(P19='Designer Shutter Data'!$GC$13,'Designer Shutter Data'!$GO$47,IF(P19='Designer Shutter Data'!$GC$14,'Designer Shutter Data'!$GP$47, IF(P19='Designer Shutter Data'!$GC$19,'Designer Shutter Data'!$GD$73, IF(P19='Designer Shutter Data'!$GC$20,'Designer Shutter Data'!$GF$88, IF(M19='Designer Shutter Data'!$F$5,'Designer Shutter Data'!$GE$59, IF(M19='Designer Shutter Data'!$F$6,'Designer Shutter Data'!$GD$59, IF(P19='Designer Shutter Data'!$GC$21,'Designer Shutter Data'!$GF$59,IF(P19='Designer Shutter Data'!$GC$22,'Designer Shutter Data'!$GJ$47,IF(P19='Designer Shutter Data'!$GC$23,'Designer Shutter Data'!$GL$47))))))))))))))))))))</f>
        <v>0</v>
      </c>
      <c r="DN19" s="107" t="str">
        <f t="shared" si="45"/>
        <v/>
      </c>
      <c r="DO19" s="107" t="e">
        <f t="shared" si="46"/>
        <v>#N/A</v>
      </c>
      <c r="DP19" s="107" t="str">
        <f t="shared" si="30"/>
        <v>OK</v>
      </c>
      <c r="DQ19" s="107" t="str">
        <f t="shared" si="31"/>
        <v>OK</v>
      </c>
      <c r="DR19" s="107" t="str">
        <f t="shared" si="32"/>
        <v>OK</v>
      </c>
      <c r="DS19" s="107" t="str">
        <f t="shared" si="33"/>
        <v>OK</v>
      </c>
      <c r="DT19" s="7" t="b">
        <f>IF(E19='Designer Shutter Data'!$GV$2,'Designer Shutter Data'!$GW$2,IF(E19='Designer Shutter Data'!$GV$3,'Designer Shutter Data'!$GX$2,IF(E19='Designer Shutter Data'!$GV$4,'Designer Shutter Data'!$GY$2)))</f>
        <v>0</v>
      </c>
      <c r="DU19" s="40" t="e">
        <f>MATCH(E19,'Designer Shutter Data'!$HB$1:$HD$1,0)</f>
        <v>#N/A</v>
      </c>
      <c r="DV19" s="40" t="e">
        <f>MATCH(M19,'Designer Shutter Data'!$HA$2:$HA$8,0)</f>
        <v>#N/A</v>
      </c>
      <c r="DW19" s="11" t="e">
        <f>INDEX('Designer Shutter Data'!$HB$2:$HD$8,DV19,DU19)</f>
        <v>#N/A</v>
      </c>
      <c r="DX19" s="11" t="b">
        <f>IF(E19='Designer Shutter Data'!$IG$1,'Designer Shutter Data'!$IG$2,IF(E19='Designer Shutter Data'!$IH$1,'Designer Shutter Data'!$IH$2, IF(E19='Designer Shutter Data'!$II$1,'Designer Shutter Data'!$II$2)))</f>
        <v>0</v>
      </c>
      <c r="DY19" s="11" t="str">
        <f>IF(E19="MS",'Designer Shutter Data'!$BI$2,IF(G19='Designer Shutter Data'!$BJ$34,'Designer Shutter Data'!$BJ$35,'Designer Shutter Data'!$BJ$2))</f>
        <v>FauxwoodDesignerWindowType</v>
      </c>
      <c r="DZ19" s="118" t="b">
        <f>IF(M19='Designer Shutter Data'!$F$3,'Designer Shutter Data'!$GF$88, IF(M19='Designer Shutter Data'!$F$4,'Designer Shutter Data'!$GE$59, IF(M19='Designer Shutter Data'!$F$5,'Designer Shutter Data'!$GD$59, IF(M19='Designer Shutter Data'!$F$6,'Designer Shutter Data'!$GD$59, IF(M19='Designer Shutter Data'!$F$7,'Designer Shutter Data'!$GD$73)))))</f>
        <v>0</v>
      </c>
      <c r="EB19" s="6" t="b">
        <f>IF(M19='Designer Shutter Data'!$IT$2,'Designer Shutter Data'!$JA$2, IF(M19='Designer Shutter Data'!$IT$3,'Designer Shutter Data'!$JC$2, IF(M19='Designer Shutter Data'!$IT$4,'Designer Shutter Data'!$JE$2, IF(M19='Designer Shutter Data'!$IT$5,'Designer Shutter Data'!$JG$2, IF(M19='Designer Shutter Data'!$IT$6,'Designer Shutter Data'!$JI$2, IF(M19='Designer Shutter Data'!$IT$7,'Designer Shutter Data'!$JZ$2, IF(M19='Designer Shutter Data'!$IT$8,'Designer Shutter Data'!$JI$16)))))))</f>
        <v>0</v>
      </c>
      <c r="EC19" s="6" t="str">
        <f t="shared" si="34"/>
        <v>NoHighlight</v>
      </c>
      <c r="ED19" s="7" t="e">
        <f>VLOOKUP(M19,'Designer Shutter Data'!$JW$5:$JX$10,2,FALSE)</f>
        <v>#N/A</v>
      </c>
      <c r="EE19" s="7" t="e">
        <f t="shared" si="35"/>
        <v>#N/A</v>
      </c>
      <c r="EF19" s="118" t="e">
        <f>VLOOKUP(O19,'Designer Shutter Data'!$AO$3:$AQ$171,1,FALSE)</f>
        <v>#N/A</v>
      </c>
      <c r="EG19" s="7" t="e">
        <f t="shared" si="36"/>
        <v>#N/A</v>
      </c>
      <c r="EH19" s="6" t="str">
        <f t="shared" si="37"/>
        <v/>
      </c>
      <c r="EJ19" s="40" t="e">
        <f>MATCH(M19,'Designer Shutter Data'!$KD$1:$KI$1,0)</f>
        <v>#N/A</v>
      </c>
      <c r="EK19" s="40" t="e">
        <f>MATCH(P19,'Designer Shutter Data'!$KC$2:$KC$21,0)</f>
        <v>#N/A</v>
      </c>
      <c r="EL19" s="136" t="e">
        <f>INDEX('Designer Shutter Data'!$KD$2:$KI$21,EK19,EJ19)</f>
        <v>#N/A</v>
      </c>
      <c r="EP19" s="6" t="str">
        <f>IF(AC19&lt;&gt;$EO$4,'Designer Shutter Data'!$BR$2,'Designer Shutter Data'!$BR$9)</f>
        <v>Fluffy_Strip_Fauxwood</v>
      </c>
      <c r="ER19" s="6" t="str">
        <f>IF(G19='Designer Shutter Data'!$E$26,'Designer Shutter Data'!$E$27,IF(G19='Designer Shutter Data'!$E$37,'Designer Shutter Data'!$E$38,'Designer Shutter Data'!$E$2))</f>
        <v>FauxwoodDesignerBladeSize</v>
      </c>
      <c r="ET19" s="6" t="str">
        <f t="shared" si="47"/>
        <v>Stile T Post</v>
      </c>
      <c r="EW19" s="40" t="e">
        <f>MATCH(G19,'Designer Shutter Data'!$AV$27:$AV$30,0)</f>
        <v>#N/A</v>
      </c>
      <c r="EX19" s="40" t="e">
        <f>MATCH(AC19,'Designer Shutter Data'!$AW$26:$AX$26,0)</f>
        <v>#N/A</v>
      </c>
      <c r="EY19" s="136" t="e">
        <f>INDEX('Designer Shutter Data'!$AW$27:$AX$30,EW19,EX19)</f>
        <v>#N/A</v>
      </c>
      <c r="EZ19" s="6" t="str">
        <f>IF(G19='Designer Shutter Data'!$S$15,'Designer Shutter Data'!$S$16, IF(G19=$FB$7,'Designer Shutter Data'!$T$15,'Designer Shutter Data'!$S$2))</f>
        <v>FauxwoodDesignerTiltrod</v>
      </c>
      <c r="FA19" s="6" t="e">
        <f>IF(G19=$FB$7,"No",VLOOKUP(L19,'Designer Shutter Data'!$BJ$62:$BK$75,2,FALSE))</f>
        <v>#N/A</v>
      </c>
      <c r="FB19" s="6" t="e">
        <f>IF(FA19="Yes", 'Designer Shutter Data'!$T$2,IF(G19=$FB$7,'Designer Shutter Data'!$T$15,'Designer Shutters Page 3'!EZ19))</f>
        <v>#N/A</v>
      </c>
      <c r="FC19" s="6" t="e">
        <f>MATCH(G19,'Designer Shutter Data'!$IG$15:$IJ$15,0)</f>
        <v>#N/A</v>
      </c>
      <c r="FD19" s="6" t="e">
        <f>MATCH(E19,'Designer Shutter Data'!$IF$16:$IF$18,0)</f>
        <v>#N/A</v>
      </c>
      <c r="FE19" s="6" t="e">
        <f>INDEX('Designer Shutter Data'!$IG$16:$IJ$18, 'Designer Shutters Page 3'!FD19, 'Designer Shutters Page 3'!FC19)</f>
        <v>#N/A</v>
      </c>
      <c r="FH19" s="6" t="str">
        <f t="shared" si="48"/>
        <v>SlidingSystemNA</v>
      </c>
      <c r="FJ19" s="6" t="e">
        <f>VLOOKUP(O19,'Designer Shutter Data'!$KP$2:$KR$44,3,FALSE)</f>
        <v>#N/A</v>
      </c>
      <c r="FL19" s="11" t="b">
        <f>IF(N19=$FL$7,'Designer Shutter Data'!$GH$98,DM19)</f>
        <v>0</v>
      </c>
    </row>
    <row r="20" spans="1:168" ht="36.75" customHeight="1" x14ac:dyDescent="0.2">
      <c r="A20" s="50">
        <v>12</v>
      </c>
      <c r="B20" s="51"/>
      <c r="C20" s="44"/>
      <c r="D20" s="31"/>
      <c r="E20" s="44"/>
      <c r="F20" s="31"/>
      <c r="G20" s="43"/>
      <c r="H20" s="234"/>
      <c r="I20" s="235"/>
      <c r="J20" s="44"/>
      <c r="K20" s="45"/>
      <c r="L20" s="45"/>
      <c r="M20" s="45"/>
      <c r="N20" s="45"/>
      <c r="O20" s="45"/>
      <c r="P20" s="236"/>
      <c r="Q20" s="236"/>
      <c r="R20" s="43"/>
      <c r="S20" s="43"/>
      <c r="T20" s="43"/>
      <c r="U20" s="43"/>
      <c r="V20" s="45"/>
      <c r="W20" s="45"/>
      <c r="X20" s="43"/>
      <c r="Y20" s="46"/>
      <c r="Z20" s="47"/>
      <c r="AA20" s="47"/>
      <c r="AB20" s="47"/>
      <c r="AC20" s="44"/>
      <c r="AD20" s="44"/>
      <c r="AE20" s="48" t="str">
        <f t="shared" si="0"/>
        <v/>
      </c>
      <c r="AI20" s="6">
        <f t="shared" si="38"/>
        <v>0</v>
      </c>
      <c r="AJ20" s="6">
        <f t="shared" si="39"/>
        <v>0</v>
      </c>
      <c r="AK20" s="6">
        <f>IF(O20&lt;&gt;"",VLOOKUP(O20,'Designer Shutter Data'!$KP$2:$KQ$44,2,FALSE),0)</f>
        <v>0</v>
      </c>
      <c r="AT20" s="49" t="str">
        <f t="shared" si="1"/>
        <v/>
      </c>
      <c r="AV20" s="6" t="str">
        <f>IF(G20=$AV$7,'Designer Shutter Data'!$D$38,'Designer Shutter Data'!$D$2)</f>
        <v>FauxwoodDesignerColour</v>
      </c>
      <c r="AW20" s="130" t="e">
        <f t="shared" si="40"/>
        <v>#N/A</v>
      </c>
      <c r="AX20" s="130" t="e">
        <f>VLOOKUP(M20,'Designer Shutter Data'!$JK$2:$JL$7,2,FALSE)</f>
        <v>#N/A</v>
      </c>
      <c r="AY20" s="38" t="b">
        <v>0</v>
      </c>
      <c r="AZ20" s="38" t="str">
        <f t="shared" si="2"/>
        <v>No</v>
      </c>
      <c r="BA20" s="38" t="e">
        <f t="shared" si="3"/>
        <v>#DIV/0!</v>
      </c>
      <c r="BB20" s="38" t="e">
        <f t="shared" si="4"/>
        <v>#DIV/0!</v>
      </c>
      <c r="BC20" s="38" t="e">
        <f t="shared" si="5"/>
        <v>#DIV/0!</v>
      </c>
      <c r="BD20" s="38" t="str">
        <f t="shared" si="6"/>
        <v>No</v>
      </c>
      <c r="BE20" s="38" t="e">
        <f>IF(OR(AND(C20&gt;0,#REF!="")), "Required","NotRequired")</f>
        <v>#REF!</v>
      </c>
      <c r="BF20" s="38" t="b">
        <v>0</v>
      </c>
      <c r="BG20" s="38" t="e">
        <f t="shared" si="41"/>
        <v>#DIV/0!</v>
      </c>
      <c r="BH20" s="39" t="str">
        <f t="shared" si="7"/>
        <v>NoHighlight</v>
      </c>
      <c r="BI20" s="38" t="str">
        <f t="shared" si="8"/>
        <v>FauxwoodRPNo</v>
      </c>
      <c r="BJ20" s="110" t="str">
        <f>IF(SUM(--ISNUMBER(SEARCH({"t","T"}, O20))),"Yes","No")</f>
        <v>No</v>
      </c>
      <c r="BK20" s="127" t="str">
        <f t="shared" si="9"/>
        <v>OK</v>
      </c>
      <c r="BL20" s="127" t="str">
        <f t="shared" si="10"/>
        <v>OK</v>
      </c>
      <c r="BM20" s="127" t="str">
        <f t="shared" si="11"/>
        <v>OK</v>
      </c>
      <c r="BN20" s="39" t="str">
        <f t="shared" si="12"/>
        <v>OK</v>
      </c>
      <c r="BO20" s="39" t="str">
        <f t="shared" si="13"/>
        <v>FauxwoodAINo</v>
      </c>
      <c r="BP20" s="39" t="str">
        <f>IF(SUM(--ISNUMBER(SEARCH({"combo","Combo","COMBO"}, B37))),"Yes","No")</f>
        <v>No</v>
      </c>
      <c r="BQ20" s="39" t="str">
        <f t="shared" si="42"/>
        <v>No</v>
      </c>
      <c r="BR20" s="39" t="str">
        <f>IF(SUM(--ISNUMBER(SEARCH({"c","C","b","B"}, L20))),"Yes","No")</f>
        <v>No</v>
      </c>
      <c r="BS20" s="11">
        <f t="shared" si="14"/>
        <v>0</v>
      </c>
      <c r="BT20" s="11" t="s">
        <v>820</v>
      </c>
      <c r="BU20" s="11" t="s">
        <v>820</v>
      </c>
      <c r="BV20" s="40">
        <f t="shared" si="15"/>
        <v>0</v>
      </c>
      <c r="BW20" s="40">
        <f t="shared" si="16"/>
        <v>0</v>
      </c>
      <c r="BX20" s="11" t="e">
        <f t="shared" si="17"/>
        <v>#DIV/0!</v>
      </c>
      <c r="BY20" s="11" t="b">
        <v>0</v>
      </c>
      <c r="BZ20" s="11" t="b">
        <v>0</v>
      </c>
      <c r="CA20" s="11" t="e">
        <v>#REF!</v>
      </c>
      <c r="CB20" s="11" t="s">
        <v>82</v>
      </c>
      <c r="CC20" s="11" t="e">
        <f t="shared" si="18"/>
        <v>#DIV/0!</v>
      </c>
      <c r="CD20" s="11" t="e">
        <f>VLOOKUP(P20,'Designer Shutter Data'!$H$3:$I$19,2,FALSE)</f>
        <v>#N/A</v>
      </c>
      <c r="CE20" s="11" t="s">
        <v>820</v>
      </c>
      <c r="CF20" s="11" t="str">
        <f>IF(SUM(--ISNUMBER(SEARCH({"z","Z"}, P20))),"Yes","No")</f>
        <v>No</v>
      </c>
      <c r="CG20" s="11" t="str">
        <f t="shared" si="19"/>
        <v>OK</v>
      </c>
      <c r="CH20" s="11">
        <f t="shared" si="20"/>
        <v>0</v>
      </c>
      <c r="CI20" s="120" t="e">
        <f>IF(O20="N/A","N/A",VLOOKUP(O20,'Designer Shutter Data'!$AO$3:$AP$171,2,FALSE))</f>
        <v>#N/A</v>
      </c>
      <c r="CJ20" s="120" t="e">
        <f t="shared" si="21"/>
        <v>#N/A</v>
      </c>
      <c r="CK20" s="40"/>
      <c r="CL20" s="40"/>
      <c r="CM20" s="40"/>
      <c r="CN20" s="41" t="str">
        <f t="shared" si="22"/>
        <v>OK</v>
      </c>
      <c r="CO20" s="129" t="b">
        <f t="shared" si="23"/>
        <v>0</v>
      </c>
      <c r="CP20" s="129" t="b">
        <f t="shared" si="24"/>
        <v>0</v>
      </c>
      <c r="CQ20" s="40">
        <f t="shared" si="25"/>
        <v>0</v>
      </c>
      <c r="CR20" s="133">
        <f t="shared" si="26"/>
        <v>0</v>
      </c>
      <c r="CS20" s="40">
        <f t="shared" si="43"/>
        <v>0</v>
      </c>
      <c r="CT20" s="133" t="e">
        <f t="shared" si="27"/>
        <v>#N/A</v>
      </c>
      <c r="CU20" s="11" t="b">
        <v>0</v>
      </c>
      <c r="CV20" s="11" t="b">
        <v>0</v>
      </c>
      <c r="CW20" s="11" t="b">
        <v>0</v>
      </c>
      <c r="CX20" s="11" t="b">
        <v>0</v>
      </c>
      <c r="CY20" s="40" t="e">
        <f>IF(OR(AND(#REF!&gt;0,#REF!="")), "Error","OK")</f>
        <v>#REF!</v>
      </c>
      <c r="CZ20" s="11" t="e">
        <v>#REF!</v>
      </c>
      <c r="DA20" s="6" t="str">
        <f t="shared" si="28"/>
        <v/>
      </c>
      <c r="DD20" s="6" t="s">
        <v>84</v>
      </c>
      <c r="DE20" s="6" t="b">
        <f>IF(M20='Designer Shutter Data'!$F$3,'Designer Shutter Data'!$FY$7,IF(M20='Designer Shutter Data'!$F$4,'Designer Shutter Data'!$FZ$2,IF(M20='Designer Shutter Data'!$F$5,FJ20, IF(M20='Designer Shutter Data'!$F$6,'Designer Shutter Data'!$GA$2,IF(M20='Designer Shutter Data'!$F$7,'Designer Shutter Data'!$FY$2, IF(M20='Designer Shutter Data'!$F$8,'Designer Shutter Data'!$FZ$7, IF(M20='Designer Shutter Data'!$F$14,'Designer Shutter Data'!$FZ$14)))))))</f>
        <v>0</v>
      </c>
      <c r="DF20" s="6" t="e">
        <f>VLOOKUP(M20,'Designer Shutter Data'!$M$2:$N$8,2,FALSE)</f>
        <v>#N/A</v>
      </c>
      <c r="DH20" s="123" t="e">
        <f>VLOOKUP(O20,'Designer Shutter Data'!$IN$2:$IO$169,2,FALSE)</f>
        <v>#N/A</v>
      </c>
      <c r="DI20" s="103" t="e">
        <f t="shared" si="29"/>
        <v>#N/A</v>
      </c>
      <c r="DJ20" s="103" t="e">
        <f t="shared" si="44"/>
        <v>#N/A</v>
      </c>
      <c r="DK20" s="7" t="b">
        <f>IF(P20='Designer Shutter Data'!$GC$2,'Designer Shutter Data'!$GD$2,IF(P20='Designer Shutter Data'!$GC$3,'Designer Shutter Data'!$GE$2,IF(P20='Designer Shutter Data'!$GC$4,'Designer Shutter Data'!$GF$2,IF(P20='Designer Shutter Data'!$GC$5,'Designer Shutter Data'!$GG$2,IF(P20='Designer Shutter Data'!$GC$6,'Designer Shutter Data'!$GH$2,IF(P20='Designer Shutter Data'!$GC$7,'Designer Shutter Data'!$GI$2,IF(P20='Designer Shutter Data'!$GC$8,'Designer Shutter Data'!$GJ$2,IF(P20='Designer Shutter Data'!$GC$9,'Designer Shutter Data'!$GK$2,IF(P20='Designer Shutter Data'!$GC$10,'Designer Shutter Data'!$GL$2,IF(P20='Designer Shutter Data'!$GC$11,'Designer Shutter Data'!$GM$2,IF(P20='Designer Shutter Data'!$GC$12,'Designer Shutter Data'!$GN$2,IF(P20='Designer Shutter Data'!$GC$13,'Designer Shutter Data'!$GO$2,IF(P20='Designer Shutter Data'!$GC$14,'Designer Shutter Data'!$GP$2,IF(P20='Designer Shutter Data'!$GC$15,'Designer Shutter Data'!$GD$15,IF(P20='Designer Shutter Data'!$GC$16,'Designer Shutter Data'!$GE$15,IF(P20='Designer Shutter Data'!$GC$17,'Designer Shutter Data'!$GF$15,IF(P20='Designer Shutter Data'!$GC$18,'Designer Shutter Data'!$GG$15,IF(P20='Designer Shutter Data'!$GC$19,'Designer Shutter Data'!$GD$73,IF(P20='Designer Shutter Data'!$GC$20,'Designer Shutter Data'!$GD$88, IF(P20='Designer Shutter Data'!$GC$21,'Designer Shutter Data'!$GH$15, IF(P20='Designer Shutter Data'!$GC$22,'Designer Shutter Data'!$GJ$2, IF(P20='Designer Shutter Data'!$GC$23,'Designer Shutter Data'!$GL$2))))))))))))))))))))))</f>
        <v>0</v>
      </c>
      <c r="DL20" s="7" t="b">
        <f>IF(P20='Designer Shutter Data'!$GC$2,'Designer Shutter Data'!$GD$25,IF(P20='Designer Shutter Data'!$GC$3,'Designer Shutter Data'!$GE$25,IF(P20='Designer Shutter Data'!$GC$4,'Designer Shutter Data'!$GF$25,IF(P20='Designer Shutter Data'!$GC$5,'Designer Shutter Data'!$GG$25,IF(P20='Designer Shutter Data'!$GC$6,'Designer Shutter Data'!$GH$25,IF(P20='Designer Shutter Data'!$GC$7,'Designer Shutter Data'!$GI$25,IF(P20='Designer Shutter Data'!$GC$8,'Designer Shutter Data'!$GJ$25,IF(P20='Designer Shutter Data'!$GC$9,'Designer Shutter Data'!$GK$25,IF(P20='Designer Shutter Data'!$GC$10,'Designer Shutter Data'!$GL$25,IF(P20='Designer Shutter Data'!$GC$11,'Designer Shutter Data'!$GM$25,IF(P20='Designer Shutter Data'!$GC$12,'Designer Shutter Data'!$GN$25,IF(P20='Designer Shutter Data'!$GC$13,'Designer Shutter Data'!$GO$25,IF(P20='Designer Shutter Data'!$GC$14,'Designer Shutter Data'!$GP$25,IF(P20='Designer Shutter Data'!$GC$15,'Designer Shutter Data'!$GD$37,IF(P20='Designer Shutter Data'!$GC$15,'Designer Shutter Data'!$GD$37,IF(P20='Designer Shutter Data'!$GC$16,'Designer Shutter Data'!$GE$37,IF(P20='Designer Shutter Data'!$GC$17,'Designer Shutter Data'!$GF$37,IF(P20='Designer Shutter Data'!$GC$18,'Designer Shutter Data'!$GG$37, IF(P20='Designer Shutter Data'!$GC$19,'Designer Shutter Data'!$GD$73, IF(P20='Designer Shutter Data'!$GC$20,'Designer Shutter Data'!$GE$88, IF(P20='Designer Shutter Data'!$GC$21,'Designer Shutter Data'!$GH$37,IF(P20='Designer Shutter Data'!$GC$22,'Designer Shutter Data'!$GJ$25,IF(P20='Designer Shutter Data'!$GC$23,'Designer Shutter Data'!$GL$25)))))))))))))))))))))))</f>
        <v>0</v>
      </c>
      <c r="DM20" s="118" t="b">
        <f>IF(P20='Designer Shutter Data'!$GC$2,'Designer Shutter Data'!$GD$47,IF(P20='Designer Shutter Data'!$GC$3,'Designer Shutter Data'!$GE$47,IF(P20='Designer Shutter Data'!$GC$4,'Designer Shutter Data'!$GF$47,IF(P20='Designer Shutter Data'!$GC$5,'Designer Shutter Data'!$GG$47,IF(P20='Designer Shutter Data'!$GC$6,'Designer Shutter Data'!$GH$47,IF(P20='Designer Shutter Data'!$GC$7,'Designer Shutter Data'!$GI$47,IF(P20='Designer Shutter Data'!$GC$8,'Designer Shutter Data'!$GJ$47,IF(P20='Designer Shutter Data'!$GC$9,'Designer Shutter Data'!$GK$47,IF(P20='Designer Shutter Data'!$GC$10,'Designer Shutter Data'!$GL$47,IF(P20='Designer Shutter Data'!$GC$11,'Designer Shutter Data'!$GM$47,IF(P20='Designer Shutter Data'!$GC$12,'Designer Shutter Data'!$GN$47,IF(P20='Designer Shutter Data'!$GC$13,'Designer Shutter Data'!$GO$47,IF(P20='Designer Shutter Data'!$GC$14,'Designer Shutter Data'!$GP$47, IF(P20='Designer Shutter Data'!$GC$19,'Designer Shutter Data'!$GD$73, IF(P20='Designer Shutter Data'!$GC$20,'Designer Shutter Data'!$GF$88, IF(M20='Designer Shutter Data'!$F$5,'Designer Shutter Data'!$GE$59, IF(M20='Designer Shutter Data'!$F$6,'Designer Shutter Data'!$GD$59, IF(P20='Designer Shutter Data'!$GC$21,'Designer Shutter Data'!$GF$59,IF(P20='Designer Shutter Data'!$GC$22,'Designer Shutter Data'!$GJ$47,IF(P20='Designer Shutter Data'!$GC$23,'Designer Shutter Data'!$GL$47))))))))))))))))))))</f>
        <v>0</v>
      </c>
      <c r="DN20" s="107" t="str">
        <f t="shared" si="45"/>
        <v/>
      </c>
      <c r="DO20" s="107" t="e">
        <f t="shared" si="46"/>
        <v>#N/A</v>
      </c>
      <c r="DP20" s="107" t="str">
        <f t="shared" si="30"/>
        <v>OK</v>
      </c>
      <c r="DQ20" s="107" t="str">
        <f t="shared" si="31"/>
        <v>OK</v>
      </c>
      <c r="DR20" s="107" t="str">
        <f t="shared" si="32"/>
        <v>OK</v>
      </c>
      <c r="DS20" s="107" t="str">
        <f t="shared" si="33"/>
        <v>OK</v>
      </c>
      <c r="DT20" s="7" t="b">
        <f>IF(E20='Designer Shutter Data'!$GV$2,'Designer Shutter Data'!$GW$2,IF(E20='Designer Shutter Data'!$GV$3,'Designer Shutter Data'!$GX$2,IF(E20='Designer Shutter Data'!$GV$4,'Designer Shutter Data'!$GY$2)))</f>
        <v>0</v>
      </c>
      <c r="DU20" s="40" t="e">
        <f>MATCH(E20,'Designer Shutter Data'!$HB$1:$HD$1,0)</f>
        <v>#N/A</v>
      </c>
      <c r="DV20" s="40" t="e">
        <f>MATCH(M20,'Designer Shutter Data'!$HA$2:$HA$8,0)</f>
        <v>#N/A</v>
      </c>
      <c r="DW20" s="11" t="e">
        <f>INDEX('Designer Shutter Data'!$HB$2:$HD$8,DV20,DU20)</f>
        <v>#N/A</v>
      </c>
      <c r="DX20" s="11" t="b">
        <f>IF(E20='Designer Shutter Data'!$IG$1,'Designer Shutter Data'!$IG$2,IF(E20='Designer Shutter Data'!$IH$1,'Designer Shutter Data'!$IH$2, IF(E20='Designer Shutter Data'!$II$1,'Designer Shutter Data'!$II$2)))</f>
        <v>0</v>
      </c>
      <c r="DY20" s="11" t="str">
        <f>IF(E20="MS",'Designer Shutter Data'!$BI$2,IF(G20='Designer Shutter Data'!$BJ$34,'Designer Shutter Data'!$BJ$35,'Designer Shutter Data'!$BJ$2))</f>
        <v>FauxwoodDesignerWindowType</v>
      </c>
      <c r="DZ20" s="118" t="b">
        <f>IF(M20='Designer Shutter Data'!$F$3,'Designer Shutter Data'!$GF$88, IF(M20='Designer Shutter Data'!$F$4,'Designer Shutter Data'!$GE$59, IF(M20='Designer Shutter Data'!$F$5,'Designer Shutter Data'!$GD$59, IF(M20='Designer Shutter Data'!$F$6,'Designer Shutter Data'!$GD$59, IF(M20='Designer Shutter Data'!$F$7,'Designer Shutter Data'!$GD$73)))))</f>
        <v>0</v>
      </c>
      <c r="EB20" s="6" t="b">
        <f>IF(M20='Designer Shutter Data'!$IT$2,'Designer Shutter Data'!$JA$2, IF(M20='Designer Shutter Data'!$IT$3,'Designer Shutter Data'!$JC$2, IF(M20='Designer Shutter Data'!$IT$4,'Designer Shutter Data'!$JE$2, IF(M20='Designer Shutter Data'!$IT$5,'Designer Shutter Data'!$JG$2, IF(M20='Designer Shutter Data'!$IT$6,'Designer Shutter Data'!$JI$2, IF(M20='Designer Shutter Data'!$IT$7,'Designer Shutter Data'!$JZ$2, IF(M20='Designer Shutter Data'!$IT$8,'Designer Shutter Data'!$JI$16)))))))</f>
        <v>0</v>
      </c>
      <c r="EC20" s="6" t="str">
        <f t="shared" si="34"/>
        <v>NoHighlight</v>
      </c>
      <c r="ED20" s="7" t="e">
        <f>VLOOKUP(M20,'Designer Shutter Data'!$JW$5:$JX$10,2,FALSE)</f>
        <v>#N/A</v>
      </c>
      <c r="EE20" s="7" t="e">
        <f t="shared" si="35"/>
        <v>#N/A</v>
      </c>
      <c r="EF20" s="118" t="e">
        <f>VLOOKUP(O20,'Designer Shutter Data'!$AO$3:$AQ$171,1,FALSE)</f>
        <v>#N/A</v>
      </c>
      <c r="EG20" s="7" t="e">
        <f t="shared" si="36"/>
        <v>#N/A</v>
      </c>
      <c r="EH20" s="6" t="str">
        <f t="shared" si="37"/>
        <v/>
      </c>
      <c r="EJ20" s="40" t="e">
        <f>MATCH(M20,'Designer Shutter Data'!$KD$1:$KI$1,0)</f>
        <v>#N/A</v>
      </c>
      <c r="EK20" s="40" t="e">
        <f>MATCH(P20,'Designer Shutter Data'!$KC$2:$KC$21,0)</f>
        <v>#N/A</v>
      </c>
      <c r="EL20" s="136" t="e">
        <f>INDEX('Designer Shutter Data'!$KD$2:$KI$21,EK20,EJ20)</f>
        <v>#N/A</v>
      </c>
      <c r="EP20" s="6" t="str">
        <f>IF(AC20&lt;&gt;$EO$4,'Designer Shutter Data'!$BR$2,'Designer Shutter Data'!$BR$9)</f>
        <v>Fluffy_Strip_Fauxwood</v>
      </c>
      <c r="ER20" s="6" t="str">
        <f>IF(G20='Designer Shutter Data'!$E$26,'Designer Shutter Data'!$E$27,IF(G20='Designer Shutter Data'!$E$37,'Designer Shutter Data'!$E$38,'Designer Shutter Data'!$E$2))</f>
        <v>FauxwoodDesignerBladeSize</v>
      </c>
      <c r="ET20" s="6" t="str">
        <f t="shared" si="47"/>
        <v>Stile T Post</v>
      </c>
      <c r="EW20" s="40" t="e">
        <f>MATCH(G20,'Designer Shutter Data'!$AV$27:$AV$30,0)</f>
        <v>#N/A</v>
      </c>
      <c r="EX20" s="40" t="e">
        <f>MATCH(AC20,'Designer Shutter Data'!$AW$26:$AX$26,0)</f>
        <v>#N/A</v>
      </c>
      <c r="EY20" s="136" t="e">
        <f>INDEX('Designer Shutter Data'!$AW$27:$AX$30,EW20,EX20)</f>
        <v>#N/A</v>
      </c>
      <c r="EZ20" s="6" t="str">
        <f>IF(G20='Designer Shutter Data'!$S$15,'Designer Shutter Data'!$S$16, IF(G20=$FB$7,'Designer Shutter Data'!$T$15,'Designer Shutter Data'!$S$2))</f>
        <v>FauxwoodDesignerTiltrod</v>
      </c>
      <c r="FA20" s="6" t="e">
        <f>IF(G20=$FB$7,"No",VLOOKUP(L20,'Designer Shutter Data'!$BJ$62:$BK$75,2,FALSE))</f>
        <v>#N/A</v>
      </c>
      <c r="FB20" s="6" t="e">
        <f>IF(FA20="Yes", 'Designer Shutter Data'!$T$2,IF(G20=$FB$7,'Designer Shutter Data'!$T$15,'Designer Shutters Page 3'!EZ20))</f>
        <v>#N/A</v>
      </c>
      <c r="FC20" s="6" t="e">
        <f>MATCH(G20,'Designer Shutter Data'!$IG$15:$IJ$15,0)</f>
        <v>#N/A</v>
      </c>
      <c r="FD20" s="6" t="e">
        <f>MATCH(E20,'Designer Shutter Data'!$IF$16:$IF$18,0)</f>
        <v>#N/A</v>
      </c>
      <c r="FE20" s="6" t="e">
        <f>INDEX('Designer Shutter Data'!$IG$16:$IJ$18, 'Designer Shutters Page 3'!FD20, 'Designer Shutters Page 3'!FC20)</f>
        <v>#N/A</v>
      </c>
      <c r="FH20" s="6" t="str">
        <f t="shared" si="48"/>
        <v>SlidingSystemNA</v>
      </c>
      <c r="FJ20" s="6" t="e">
        <f>VLOOKUP(O20,'Designer Shutter Data'!$KP$2:$KR$44,3,FALSE)</f>
        <v>#N/A</v>
      </c>
      <c r="FL20" s="11" t="b">
        <f>IF(N20=$FL$7,'Designer Shutter Data'!$GH$98,DM20)</f>
        <v>0</v>
      </c>
    </row>
    <row r="21" spans="1:168" ht="36.75" customHeight="1" x14ac:dyDescent="0.2">
      <c r="A21" s="50">
        <v>13</v>
      </c>
      <c r="B21" s="51"/>
      <c r="C21" s="44"/>
      <c r="D21" s="31"/>
      <c r="E21" s="44"/>
      <c r="F21" s="31"/>
      <c r="G21" s="43"/>
      <c r="H21" s="234"/>
      <c r="I21" s="235"/>
      <c r="J21" s="44"/>
      <c r="K21" s="45"/>
      <c r="L21" s="45"/>
      <c r="M21" s="45"/>
      <c r="N21" s="45"/>
      <c r="O21" s="45"/>
      <c r="P21" s="236"/>
      <c r="Q21" s="236"/>
      <c r="R21" s="43"/>
      <c r="S21" s="43"/>
      <c r="T21" s="43"/>
      <c r="U21" s="43"/>
      <c r="V21" s="45"/>
      <c r="W21" s="45"/>
      <c r="X21" s="43"/>
      <c r="Y21" s="46"/>
      <c r="Z21" s="47"/>
      <c r="AA21" s="47"/>
      <c r="AB21" s="47"/>
      <c r="AC21" s="44"/>
      <c r="AD21" s="44"/>
      <c r="AE21" s="48" t="str">
        <f t="shared" si="0"/>
        <v/>
      </c>
      <c r="AI21" s="6">
        <f t="shared" si="38"/>
        <v>0</v>
      </c>
      <c r="AJ21" s="6">
        <f t="shared" si="39"/>
        <v>0</v>
      </c>
      <c r="AK21" s="6">
        <f>IF(O21&lt;&gt;"",VLOOKUP(O21,'Designer Shutter Data'!$KP$2:$KQ$44,2,FALSE),0)</f>
        <v>0</v>
      </c>
      <c r="AT21" s="49" t="str">
        <f t="shared" si="1"/>
        <v/>
      </c>
      <c r="AV21" s="6" t="str">
        <f>IF(G21=$AV$7,'Designer Shutter Data'!$D$38,'Designer Shutter Data'!$D$2)</f>
        <v>FauxwoodDesignerColour</v>
      </c>
      <c r="AW21" s="130" t="e">
        <f t="shared" si="40"/>
        <v>#N/A</v>
      </c>
      <c r="AX21" s="130" t="e">
        <f>VLOOKUP(M21,'Designer Shutter Data'!$JK$2:$JL$7,2,FALSE)</f>
        <v>#N/A</v>
      </c>
      <c r="AY21" s="38" t="b">
        <v>0</v>
      </c>
      <c r="AZ21" s="38" t="str">
        <f t="shared" si="2"/>
        <v>No</v>
      </c>
      <c r="BA21" s="38" t="e">
        <f t="shared" si="3"/>
        <v>#DIV/0!</v>
      </c>
      <c r="BB21" s="38" t="e">
        <f t="shared" si="4"/>
        <v>#DIV/0!</v>
      </c>
      <c r="BC21" s="38" t="e">
        <f t="shared" si="5"/>
        <v>#DIV/0!</v>
      </c>
      <c r="BD21" s="38" t="str">
        <f t="shared" si="6"/>
        <v>No</v>
      </c>
      <c r="BE21" s="38" t="e">
        <f>IF(OR(AND(C21&gt;0,#REF!="")), "Required","NotRequired")</f>
        <v>#REF!</v>
      </c>
      <c r="BF21" s="38" t="b">
        <v>0</v>
      </c>
      <c r="BG21" s="38" t="e">
        <f t="shared" si="41"/>
        <v>#DIV/0!</v>
      </c>
      <c r="BH21" s="39" t="str">
        <f t="shared" si="7"/>
        <v>NoHighlight</v>
      </c>
      <c r="BI21" s="38" t="str">
        <f t="shared" si="8"/>
        <v>FauxwoodRPNo</v>
      </c>
      <c r="BJ21" s="110" t="str">
        <f>IF(SUM(--ISNUMBER(SEARCH({"t","T"}, O21))),"Yes","No")</f>
        <v>No</v>
      </c>
      <c r="BK21" s="127" t="str">
        <f t="shared" si="9"/>
        <v>OK</v>
      </c>
      <c r="BL21" s="127" t="str">
        <f t="shared" si="10"/>
        <v>OK</v>
      </c>
      <c r="BM21" s="127" t="str">
        <f t="shared" si="11"/>
        <v>OK</v>
      </c>
      <c r="BN21" s="39" t="str">
        <f t="shared" si="12"/>
        <v>OK</v>
      </c>
      <c r="BO21" s="39" t="str">
        <f t="shared" si="13"/>
        <v>FauxwoodAINo</v>
      </c>
      <c r="BP21" s="39" t="str">
        <f>IF(SUM(--ISNUMBER(SEARCH({"combo","Combo","COMBO"}, B38))),"Yes","No")</f>
        <v>No</v>
      </c>
      <c r="BQ21" s="39" t="str">
        <f t="shared" si="42"/>
        <v>No</v>
      </c>
      <c r="BR21" s="39" t="str">
        <f>IF(SUM(--ISNUMBER(SEARCH({"c","C","b","B"}, L21))),"Yes","No")</f>
        <v>No</v>
      </c>
      <c r="BS21" s="11">
        <f t="shared" si="14"/>
        <v>0</v>
      </c>
      <c r="BT21" s="11" t="s">
        <v>820</v>
      </c>
      <c r="BU21" s="11" t="s">
        <v>820</v>
      </c>
      <c r="BV21" s="40">
        <f t="shared" si="15"/>
        <v>0</v>
      </c>
      <c r="BW21" s="40">
        <f t="shared" si="16"/>
        <v>0</v>
      </c>
      <c r="BX21" s="11" t="e">
        <f t="shared" si="17"/>
        <v>#DIV/0!</v>
      </c>
      <c r="BY21" s="11" t="b">
        <v>0</v>
      </c>
      <c r="BZ21" s="11" t="b">
        <v>0</v>
      </c>
      <c r="CA21" s="11" t="e">
        <v>#REF!</v>
      </c>
      <c r="CB21" s="11" t="s">
        <v>82</v>
      </c>
      <c r="CC21" s="11" t="e">
        <f t="shared" si="18"/>
        <v>#DIV/0!</v>
      </c>
      <c r="CD21" s="11" t="e">
        <f>VLOOKUP(P21,'Designer Shutter Data'!$H$3:$I$19,2,FALSE)</f>
        <v>#N/A</v>
      </c>
      <c r="CE21" s="11" t="s">
        <v>820</v>
      </c>
      <c r="CF21" s="11" t="str">
        <f>IF(SUM(--ISNUMBER(SEARCH({"z","Z"}, P21))),"Yes","No")</f>
        <v>No</v>
      </c>
      <c r="CG21" s="11" t="str">
        <f t="shared" si="19"/>
        <v>OK</v>
      </c>
      <c r="CH21" s="11">
        <f t="shared" si="20"/>
        <v>0</v>
      </c>
      <c r="CI21" s="120" t="e">
        <f>IF(O21="N/A","N/A",VLOOKUP(O21,'Designer Shutter Data'!$AO$3:$AP$171,2,FALSE))</f>
        <v>#N/A</v>
      </c>
      <c r="CJ21" s="120" t="e">
        <f t="shared" si="21"/>
        <v>#N/A</v>
      </c>
      <c r="CK21" s="40"/>
      <c r="CL21" s="40"/>
      <c r="CM21" s="40"/>
      <c r="CN21" s="41" t="str">
        <f t="shared" si="22"/>
        <v>OK</v>
      </c>
      <c r="CO21" s="129" t="b">
        <f t="shared" si="23"/>
        <v>0</v>
      </c>
      <c r="CP21" s="129" t="b">
        <f t="shared" si="24"/>
        <v>0</v>
      </c>
      <c r="CQ21" s="40">
        <f t="shared" si="25"/>
        <v>0</v>
      </c>
      <c r="CR21" s="133">
        <f t="shared" si="26"/>
        <v>0</v>
      </c>
      <c r="CS21" s="40">
        <f t="shared" si="43"/>
        <v>0</v>
      </c>
      <c r="CT21" s="133" t="e">
        <f t="shared" si="27"/>
        <v>#N/A</v>
      </c>
      <c r="CU21" s="11" t="b">
        <v>0</v>
      </c>
      <c r="CV21" s="11" t="b">
        <v>0</v>
      </c>
      <c r="CW21" s="11" t="b">
        <v>0</v>
      </c>
      <c r="CX21" s="11" t="b">
        <v>0</v>
      </c>
      <c r="CY21" s="40" t="e">
        <f>IF(OR(AND(#REF!&gt;0,#REF!="")), "Error","OK")</f>
        <v>#REF!</v>
      </c>
      <c r="CZ21" s="11" t="e">
        <v>#REF!</v>
      </c>
      <c r="DA21" s="6" t="str">
        <f t="shared" si="28"/>
        <v/>
      </c>
      <c r="DD21" s="6" t="s">
        <v>84</v>
      </c>
      <c r="DE21" s="6" t="b">
        <f>IF(M21='Designer Shutter Data'!$F$3,'Designer Shutter Data'!$FY$7,IF(M21='Designer Shutter Data'!$F$4,'Designer Shutter Data'!$FZ$2,IF(M21='Designer Shutter Data'!$F$5,FJ21, IF(M21='Designer Shutter Data'!$F$6,'Designer Shutter Data'!$GA$2,IF(M21='Designer Shutter Data'!$F$7,'Designer Shutter Data'!$FY$2, IF(M21='Designer Shutter Data'!$F$8,'Designer Shutter Data'!$FZ$7, IF(M21='Designer Shutter Data'!$F$14,'Designer Shutter Data'!$FZ$14)))))))</f>
        <v>0</v>
      </c>
      <c r="DF21" s="6" t="e">
        <f>VLOOKUP(M21,'Designer Shutter Data'!$M$2:$N$8,2,FALSE)</f>
        <v>#N/A</v>
      </c>
      <c r="DH21" s="123" t="e">
        <f>VLOOKUP(O21,'Designer Shutter Data'!$IN$2:$IO$169,2,FALSE)</f>
        <v>#N/A</v>
      </c>
      <c r="DI21" s="103" t="e">
        <f t="shared" si="29"/>
        <v>#N/A</v>
      </c>
      <c r="DJ21" s="103" t="e">
        <f t="shared" si="44"/>
        <v>#N/A</v>
      </c>
      <c r="DK21" s="7" t="b">
        <f>IF(P21='Designer Shutter Data'!$GC$2,'Designer Shutter Data'!$GD$2,IF(P21='Designer Shutter Data'!$GC$3,'Designer Shutter Data'!$GE$2,IF(P21='Designer Shutter Data'!$GC$4,'Designer Shutter Data'!$GF$2,IF(P21='Designer Shutter Data'!$GC$5,'Designer Shutter Data'!$GG$2,IF(P21='Designer Shutter Data'!$GC$6,'Designer Shutter Data'!$GH$2,IF(P21='Designer Shutter Data'!$GC$7,'Designer Shutter Data'!$GI$2,IF(P21='Designer Shutter Data'!$GC$8,'Designer Shutter Data'!$GJ$2,IF(P21='Designer Shutter Data'!$GC$9,'Designer Shutter Data'!$GK$2,IF(P21='Designer Shutter Data'!$GC$10,'Designer Shutter Data'!$GL$2,IF(P21='Designer Shutter Data'!$GC$11,'Designer Shutter Data'!$GM$2,IF(P21='Designer Shutter Data'!$GC$12,'Designer Shutter Data'!$GN$2,IF(P21='Designer Shutter Data'!$GC$13,'Designer Shutter Data'!$GO$2,IF(P21='Designer Shutter Data'!$GC$14,'Designer Shutter Data'!$GP$2,IF(P21='Designer Shutter Data'!$GC$15,'Designer Shutter Data'!$GD$15,IF(P21='Designer Shutter Data'!$GC$16,'Designer Shutter Data'!$GE$15,IF(P21='Designer Shutter Data'!$GC$17,'Designer Shutter Data'!$GF$15,IF(P21='Designer Shutter Data'!$GC$18,'Designer Shutter Data'!$GG$15,IF(P21='Designer Shutter Data'!$GC$19,'Designer Shutter Data'!$GD$73,IF(P21='Designer Shutter Data'!$GC$20,'Designer Shutter Data'!$GD$88, IF(P21='Designer Shutter Data'!$GC$21,'Designer Shutter Data'!$GH$15, IF(P21='Designer Shutter Data'!$GC$22,'Designer Shutter Data'!$GJ$2, IF(P21='Designer Shutter Data'!$GC$23,'Designer Shutter Data'!$GL$2))))))))))))))))))))))</f>
        <v>0</v>
      </c>
      <c r="DL21" s="7" t="b">
        <f>IF(P21='Designer Shutter Data'!$GC$2,'Designer Shutter Data'!$GD$25,IF(P21='Designer Shutter Data'!$GC$3,'Designer Shutter Data'!$GE$25,IF(P21='Designer Shutter Data'!$GC$4,'Designer Shutter Data'!$GF$25,IF(P21='Designer Shutter Data'!$GC$5,'Designer Shutter Data'!$GG$25,IF(P21='Designer Shutter Data'!$GC$6,'Designer Shutter Data'!$GH$25,IF(P21='Designer Shutter Data'!$GC$7,'Designer Shutter Data'!$GI$25,IF(P21='Designer Shutter Data'!$GC$8,'Designer Shutter Data'!$GJ$25,IF(P21='Designer Shutter Data'!$GC$9,'Designer Shutter Data'!$GK$25,IF(P21='Designer Shutter Data'!$GC$10,'Designer Shutter Data'!$GL$25,IF(P21='Designer Shutter Data'!$GC$11,'Designer Shutter Data'!$GM$25,IF(P21='Designer Shutter Data'!$GC$12,'Designer Shutter Data'!$GN$25,IF(P21='Designer Shutter Data'!$GC$13,'Designer Shutter Data'!$GO$25,IF(P21='Designer Shutter Data'!$GC$14,'Designer Shutter Data'!$GP$25,IF(P21='Designer Shutter Data'!$GC$15,'Designer Shutter Data'!$GD$37,IF(P21='Designer Shutter Data'!$GC$15,'Designer Shutter Data'!$GD$37,IF(P21='Designer Shutter Data'!$GC$16,'Designer Shutter Data'!$GE$37,IF(P21='Designer Shutter Data'!$GC$17,'Designer Shutter Data'!$GF$37,IF(P21='Designer Shutter Data'!$GC$18,'Designer Shutter Data'!$GG$37, IF(P21='Designer Shutter Data'!$GC$19,'Designer Shutter Data'!$GD$73, IF(P21='Designer Shutter Data'!$GC$20,'Designer Shutter Data'!$GE$88, IF(P21='Designer Shutter Data'!$GC$21,'Designer Shutter Data'!$GH$37,IF(P21='Designer Shutter Data'!$GC$22,'Designer Shutter Data'!$GJ$25,IF(P21='Designer Shutter Data'!$GC$23,'Designer Shutter Data'!$GL$25)))))))))))))))))))))))</f>
        <v>0</v>
      </c>
      <c r="DM21" s="118" t="b">
        <f>IF(P21='Designer Shutter Data'!$GC$2,'Designer Shutter Data'!$GD$47,IF(P21='Designer Shutter Data'!$GC$3,'Designer Shutter Data'!$GE$47,IF(P21='Designer Shutter Data'!$GC$4,'Designer Shutter Data'!$GF$47,IF(P21='Designer Shutter Data'!$GC$5,'Designer Shutter Data'!$GG$47,IF(P21='Designer Shutter Data'!$GC$6,'Designer Shutter Data'!$GH$47,IF(P21='Designer Shutter Data'!$GC$7,'Designer Shutter Data'!$GI$47,IF(P21='Designer Shutter Data'!$GC$8,'Designer Shutter Data'!$GJ$47,IF(P21='Designer Shutter Data'!$GC$9,'Designer Shutter Data'!$GK$47,IF(P21='Designer Shutter Data'!$GC$10,'Designer Shutter Data'!$GL$47,IF(P21='Designer Shutter Data'!$GC$11,'Designer Shutter Data'!$GM$47,IF(P21='Designer Shutter Data'!$GC$12,'Designer Shutter Data'!$GN$47,IF(P21='Designer Shutter Data'!$GC$13,'Designer Shutter Data'!$GO$47,IF(P21='Designer Shutter Data'!$GC$14,'Designer Shutter Data'!$GP$47, IF(P21='Designer Shutter Data'!$GC$19,'Designer Shutter Data'!$GD$73, IF(P21='Designer Shutter Data'!$GC$20,'Designer Shutter Data'!$GF$88, IF(M21='Designer Shutter Data'!$F$5,'Designer Shutter Data'!$GE$59, IF(M21='Designer Shutter Data'!$F$6,'Designer Shutter Data'!$GD$59, IF(P21='Designer Shutter Data'!$GC$21,'Designer Shutter Data'!$GF$59,IF(P21='Designer Shutter Data'!$GC$22,'Designer Shutter Data'!$GJ$47,IF(P21='Designer Shutter Data'!$GC$23,'Designer Shutter Data'!$GL$47))))))))))))))))))))</f>
        <v>0</v>
      </c>
      <c r="DN21" s="107" t="str">
        <f t="shared" si="45"/>
        <v/>
      </c>
      <c r="DO21" s="107" t="e">
        <f t="shared" si="46"/>
        <v>#N/A</v>
      </c>
      <c r="DP21" s="107" t="str">
        <f t="shared" si="30"/>
        <v>OK</v>
      </c>
      <c r="DQ21" s="107" t="str">
        <f t="shared" si="31"/>
        <v>OK</v>
      </c>
      <c r="DR21" s="107" t="str">
        <f t="shared" si="32"/>
        <v>OK</v>
      </c>
      <c r="DS21" s="107" t="str">
        <f t="shared" si="33"/>
        <v>OK</v>
      </c>
      <c r="DT21" s="7" t="b">
        <f>IF(E21='Designer Shutter Data'!$GV$2,'Designer Shutter Data'!$GW$2,IF(E21='Designer Shutter Data'!$GV$3,'Designer Shutter Data'!$GX$2,IF(E21='Designer Shutter Data'!$GV$4,'Designer Shutter Data'!$GY$2)))</f>
        <v>0</v>
      </c>
      <c r="DU21" s="40" t="e">
        <f>MATCH(E21,'Designer Shutter Data'!$HB$1:$HD$1,0)</f>
        <v>#N/A</v>
      </c>
      <c r="DV21" s="40" t="e">
        <f>MATCH(M21,'Designer Shutter Data'!$HA$2:$HA$8,0)</f>
        <v>#N/A</v>
      </c>
      <c r="DW21" s="11" t="e">
        <f>INDEX('Designer Shutter Data'!$HB$2:$HD$8,DV21,DU21)</f>
        <v>#N/A</v>
      </c>
      <c r="DX21" s="11" t="b">
        <f>IF(E21='Designer Shutter Data'!$IG$1,'Designer Shutter Data'!$IG$2,IF(E21='Designer Shutter Data'!$IH$1,'Designer Shutter Data'!$IH$2, IF(E21='Designer Shutter Data'!$II$1,'Designer Shutter Data'!$II$2)))</f>
        <v>0</v>
      </c>
      <c r="DY21" s="11" t="str">
        <f>IF(E21="MS",'Designer Shutter Data'!$BI$2,IF(G21='Designer Shutter Data'!$BJ$34,'Designer Shutter Data'!$BJ$35,'Designer Shutter Data'!$BJ$2))</f>
        <v>FauxwoodDesignerWindowType</v>
      </c>
      <c r="DZ21" s="118" t="b">
        <f>IF(M21='Designer Shutter Data'!$F$3,'Designer Shutter Data'!$GF$88, IF(M21='Designer Shutter Data'!$F$4,'Designer Shutter Data'!$GE$59, IF(M21='Designer Shutter Data'!$F$5,'Designer Shutter Data'!$GD$59, IF(M21='Designer Shutter Data'!$F$6,'Designer Shutter Data'!$GD$59, IF(M21='Designer Shutter Data'!$F$7,'Designer Shutter Data'!$GD$73)))))</f>
        <v>0</v>
      </c>
      <c r="EB21" s="6" t="b">
        <f>IF(M21='Designer Shutter Data'!$IT$2,'Designer Shutter Data'!$JA$2, IF(M21='Designer Shutter Data'!$IT$3,'Designer Shutter Data'!$JC$2, IF(M21='Designer Shutter Data'!$IT$4,'Designer Shutter Data'!$JE$2, IF(M21='Designer Shutter Data'!$IT$5,'Designer Shutter Data'!$JG$2, IF(M21='Designer Shutter Data'!$IT$6,'Designer Shutter Data'!$JI$2, IF(M21='Designer Shutter Data'!$IT$7,'Designer Shutter Data'!$JZ$2, IF(M21='Designer Shutter Data'!$IT$8,'Designer Shutter Data'!$JI$16)))))))</f>
        <v>0</v>
      </c>
      <c r="EC21" s="6" t="str">
        <f t="shared" si="34"/>
        <v>NoHighlight</v>
      </c>
      <c r="ED21" s="7" t="e">
        <f>VLOOKUP(M21,'Designer Shutter Data'!$JW$5:$JX$10,2,FALSE)</f>
        <v>#N/A</v>
      </c>
      <c r="EE21" s="7" t="e">
        <f t="shared" si="35"/>
        <v>#N/A</v>
      </c>
      <c r="EF21" s="118" t="e">
        <f>VLOOKUP(O21,'Designer Shutter Data'!$AO$3:$AQ$171,1,FALSE)</f>
        <v>#N/A</v>
      </c>
      <c r="EG21" s="7" t="e">
        <f t="shared" si="36"/>
        <v>#N/A</v>
      </c>
      <c r="EH21" s="6" t="str">
        <f t="shared" si="37"/>
        <v/>
      </c>
      <c r="EJ21" s="40" t="e">
        <f>MATCH(M21,'Designer Shutter Data'!$KD$1:$KI$1,0)</f>
        <v>#N/A</v>
      </c>
      <c r="EK21" s="40" t="e">
        <f>MATCH(P21,'Designer Shutter Data'!$KC$2:$KC$21,0)</f>
        <v>#N/A</v>
      </c>
      <c r="EL21" s="136" t="e">
        <f>INDEX('Designer Shutter Data'!$KD$2:$KI$21,EK21,EJ21)</f>
        <v>#N/A</v>
      </c>
      <c r="EP21" s="6" t="str">
        <f>IF(AC21&lt;&gt;$EO$4,'Designer Shutter Data'!$BR$2,'Designer Shutter Data'!$BR$9)</f>
        <v>Fluffy_Strip_Fauxwood</v>
      </c>
      <c r="ER21" s="6" t="str">
        <f>IF(G21='Designer Shutter Data'!$E$26,'Designer Shutter Data'!$E$27,IF(G21='Designer Shutter Data'!$E$37,'Designer Shutter Data'!$E$38,'Designer Shutter Data'!$E$2))</f>
        <v>FauxwoodDesignerBladeSize</v>
      </c>
      <c r="ET21" s="6" t="str">
        <f t="shared" si="47"/>
        <v>Stile T Post</v>
      </c>
      <c r="EW21" s="40" t="e">
        <f>MATCH(G21,'Designer Shutter Data'!$AV$27:$AV$30,0)</f>
        <v>#N/A</v>
      </c>
      <c r="EX21" s="40" t="e">
        <f>MATCH(AC21,'Designer Shutter Data'!$AW$26:$AX$26,0)</f>
        <v>#N/A</v>
      </c>
      <c r="EY21" s="136" t="e">
        <f>INDEX('Designer Shutter Data'!$AW$27:$AX$30,EW21,EX21)</f>
        <v>#N/A</v>
      </c>
      <c r="EZ21" s="6" t="str">
        <f>IF(G21='Designer Shutter Data'!$S$15,'Designer Shutter Data'!$S$16, IF(G21=$FB$7,'Designer Shutter Data'!$T$15,'Designer Shutter Data'!$S$2))</f>
        <v>FauxwoodDesignerTiltrod</v>
      </c>
      <c r="FA21" s="6" t="e">
        <f>IF(G21=$FB$7,"No",VLOOKUP(L21,'Designer Shutter Data'!$BJ$62:$BK$75,2,FALSE))</f>
        <v>#N/A</v>
      </c>
      <c r="FB21" s="6" t="e">
        <f>IF(FA21="Yes", 'Designer Shutter Data'!$T$2,IF(G21=$FB$7,'Designer Shutter Data'!$T$15,'Designer Shutters Page 3'!EZ21))</f>
        <v>#N/A</v>
      </c>
      <c r="FC21" s="6" t="e">
        <f>MATCH(G21,'Designer Shutter Data'!$IG$15:$IJ$15,0)</f>
        <v>#N/A</v>
      </c>
      <c r="FD21" s="6" t="e">
        <f>MATCH(E21,'Designer Shutter Data'!$IF$16:$IF$18,0)</f>
        <v>#N/A</v>
      </c>
      <c r="FE21" s="6" t="e">
        <f>INDEX('Designer Shutter Data'!$IG$16:$IJ$18, 'Designer Shutters Page 3'!FD21, 'Designer Shutters Page 3'!FC21)</f>
        <v>#N/A</v>
      </c>
      <c r="FH21" s="6" t="str">
        <f t="shared" si="48"/>
        <v>SlidingSystemNA</v>
      </c>
      <c r="FJ21" s="6" t="e">
        <f>VLOOKUP(O21,'Designer Shutter Data'!$KP$2:$KR$44,3,FALSE)</f>
        <v>#N/A</v>
      </c>
      <c r="FL21" s="11" t="b">
        <f>IF(N21=$FL$7,'Designer Shutter Data'!$GH$98,DM21)</f>
        <v>0</v>
      </c>
    </row>
    <row r="22" spans="1:168" ht="36.75" customHeight="1" x14ac:dyDescent="0.2">
      <c r="A22" s="50">
        <v>14</v>
      </c>
      <c r="B22" s="51"/>
      <c r="C22" s="44"/>
      <c r="D22" s="31"/>
      <c r="E22" s="44"/>
      <c r="F22" s="31"/>
      <c r="G22" s="43"/>
      <c r="H22" s="234"/>
      <c r="I22" s="235"/>
      <c r="J22" s="44"/>
      <c r="K22" s="45"/>
      <c r="L22" s="45"/>
      <c r="M22" s="45"/>
      <c r="N22" s="45"/>
      <c r="O22" s="45"/>
      <c r="P22" s="236"/>
      <c r="Q22" s="236"/>
      <c r="R22" s="43"/>
      <c r="S22" s="43"/>
      <c r="T22" s="43"/>
      <c r="U22" s="43"/>
      <c r="V22" s="45"/>
      <c r="W22" s="45"/>
      <c r="X22" s="43"/>
      <c r="Y22" s="46"/>
      <c r="Z22" s="47"/>
      <c r="AA22" s="47"/>
      <c r="AB22" s="47"/>
      <c r="AC22" s="44"/>
      <c r="AD22" s="44"/>
      <c r="AE22" s="48" t="str">
        <f t="shared" si="0"/>
        <v/>
      </c>
      <c r="AI22" s="6">
        <f t="shared" si="38"/>
        <v>0</v>
      </c>
      <c r="AJ22" s="6">
        <f t="shared" si="39"/>
        <v>0</v>
      </c>
      <c r="AK22" s="6">
        <f>IF(O22&lt;&gt;"",VLOOKUP(O22,'Designer Shutter Data'!$KP$2:$KQ$44,2,FALSE),0)</f>
        <v>0</v>
      </c>
      <c r="AT22" s="49" t="str">
        <f t="shared" si="1"/>
        <v/>
      </c>
      <c r="AV22" s="6" t="str">
        <f>IF(G22=$AV$7,'Designer Shutter Data'!$D$38,'Designer Shutter Data'!$D$2)</f>
        <v>FauxwoodDesignerColour</v>
      </c>
      <c r="AW22" s="130" t="e">
        <f t="shared" si="40"/>
        <v>#N/A</v>
      </c>
      <c r="AX22" s="130" t="e">
        <f>VLOOKUP(M22,'Designer Shutter Data'!$JK$2:$JL$7,2,FALSE)</f>
        <v>#N/A</v>
      </c>
      <c r="AY22" s="38" t="b">
        <v>0</v>
      </c>
      <c r="AZ22" s="38" t="str">
        <f t="shared" si="2"/>
        <v>No</v>
      </c>
      <c r="BA22" s="38" t="e">
        <f t="shared" si="3"/>
        <v>#DIV/0!</v>
      </c>
      <c r="BB22" s="38" t="e">
        <f t="shared" si="4"/>
        <v>#DIV/0!</v>
      </c>
      <c r="BC22" s="38" t="e">
        <f t="shared" si="5"/>
        <v>#DIV/0!</v>
      </c>
      <c r="BD22" s="38" t="str">
        <f t="shared" si="6"/>
        <v>No</v>
      </c>
      <c r="BE22" s="38" t="e">
        <f>IF(OR(AND(C22&gt;0,#REF!="")), "Required","NotRequired")</f>
        <v>#REF!</v>
      </c>
      <c r="BF22" s="38" t="b">
        <v>0</v>
      </c>
      <c r="BG22" s="38" t="e">
        <f t="shared" si="41"/>
        <v>#DIV/0!</v>
      </c>
      <c r="BH22" s="39" t="str">
        <f t="shared" si="7"/>
        <v>NoHighlight</v>
      </c>
      <c r="BI22" s="38" t="str">
        <f t="shared" si="8"/>
        <v>FauxwoodRPNo</v>
      </c>
      <c r="BJ22" s="110" t="str">
        <f>IF(SUM(--ISNUMBER(SEARCH({"t","T"}, O22))),"Yes","No")</f>
        <v>No</v>
      </c>
      <c r="BK22" s="127" t="str">
        <f t="shared" si="9"/>
        <v>OK</v>
      </c>
      <c r="BL22" s="127" t="str">
        <f t="shared" si="10"/>
        <v>OK</v>
      </c>
      <c r="BM22" s="127" t="str">
        <f t="shared" si="11"/>
        <v>OK</v>
      </c>
      <c r="BN22" s="39" t="str">
        <f t="shared" si="12"/>
        <v>OK</v>
      </c>
      <c r="BO22" s="39" t="str">
        <f t="shared" si="13"/>
        <v>FauxwoodAINo</v>
      </c>
      <c r="BP22" s="39" t="str">
        <f>IF(SUM(--ISNUMBER(SEARCH({"combo","Combo","COMBO"}, B39))),"Yes","No")</f>
        <v>No</v>
      </c>
      <c r="BQ22" s="39" t="str">
        <f t="shared" si="42"/>
        <v>No</v>
      </c>
      <c r="BR22" s="39" t="str">
        <f>IF(SUM(--ISNUMBER(SEARCH({"c","C","b","B"}, L22))),"Yes","No")</f>
        <v>No</v>
      </c>
      <c r="BS22" s="11">
        <f t="shared" si="14"/>
        <v>0</v>
      </c>
      <c r="BT22" s="11" t="s">
        <v>820</v>
      </c>
      <c r="BU22" s="11" t="s">
        <v>820</v>
      </c>
      <c r="BV22" s="40">
        <f t="shared" si="15"/>
        <v>0</v>
      </c>
      <c r="BW22" s="40">
        <f t="shared" si="16"/>
        <v>0</v>
      </c>
      <c r="BX22" s="11" t="e">
        <f t="shared" si="17"/>
        <v>#DIV/0!</v>
      </c>
      <c r="BY22" s="11" t="b">
        <v>0</v>
      </c>
      <c r="BZ22" s="11" t="b">
        <v>0</v>
      </c>
      <c r="CA22" s="11" t="e">
        <v>#REF!</v>
      </c>
      <c r="CB22" s="11" t="s">
        <v>82</v>
      </c>
      <c r="CC22" s="11" t="e">
        <f t="shared" si="18"/>
        <v>#DIV/0!</v>
      </c>
      <c r="CD22" s="11" t="e">
        <f>VLOOKUP(P22,'Designer Shutter Data'!$H$3:$I$19,2,FALSE)</f>
        <v>#N/A</v>
      </c>
      <c r="CE22" s="11" t="s">
        <v>820</v>
      </c>
      <c r="CF22" s="11" t="str">
        <f>IF(SUM(--ISNUMBER(SEARCH({"z","Z"}, P22))),"Yes","No")</f>
        <v>No</v>
      </c>
      <c r="CG22" s="11" t="str">
        <f t="shared" si="19"/>
        <v>OK</v>
      </c>
      <c r="CH22" s="11">
        <f t="shared" si="20"/>
        <v>0</v>
      </c>
      <c r="CI22" s="120" t="e">
        <f>IF(O22="N/A","N/A",VLOOKUP(O22,'Designer Shutter Data'!$AO$3:$AP$171,2,FALSE))</f>
        <v>#N/A</v>
      </c>
      <c r="CJ22" s="120" t="e">
        <f t="shared" si="21"/>
        <v>#N/A</v>
      </c>
      <c r="CK22" s="40"/>
      <c r="CL22" s="40"/>
      <c r="CM22" s="40"/>
      <c r="CN22" s="41" t="str">
        <f t="shared" si="22"/>
        <v>OK</v>
      </c>
      <c r="CO22" s="129" t="b">
        <f t="shared" si="23"/>
        <v>0</v>
      </c>
      <c r="CP22" s="129" t="b">
        <f t="shared" si="24"/>
        <v>0</v>
      </c>
      <c r="CQ22" s="40">
        <f t="shared" si="25"/>
        <v>0</v>
      </c>
      <c r="CR22" s="133">
        <f t="shared" si="26"/>
        <v>0</v>
      </c>
      <c r="CS22" s="40">
        <f t="shared" si="43"/>
        <v>0</v>
      </c>
      <c r="CT22" s="133" t="e">
        <f t="shared" si="27"/>
        <v>#N/A</v>
      </c>
      <c r="CU22" s="11" t="b">
        <v>0</v>
      </c>
      <c r="CV22" s="11" t="b">
        <v>0</v>
      </c>
      <c r="CW22" s="11" t="b">
        <v>0</v>
      </c>
      <c r="CX22" s="11" t="b">
        <v>0</v>
      </c>
      <c r="CY22" s="40" t="e">
        <f>IF(OR(AND(#REF!&gt;0,#REF!="")), "Error","OK")</f>
        <v>#REF!</v>
      </c>
      <c r="CZ22" s="11" t="e">
        <v>#REF!</v>
      </c>
      <c r="DA22" s="6" t="str">
        <f t="shared" si="28"/>
        <v/>
      </c>
      <c r="DD22" s="6" t="s">
        <v>84</v>
      </c>
      <c r="DE22" s="6" t="b">
        <f>IF(M22='Designer Shutter Data'!$F$3,'Designer Shutter Data'!$FY$7,IF(M22='Designer Shutter Data'!$F$4,'Designer Shutter Data'!$FZ$2,IF(M22='Designer Shutter Data'!$F$5,FJ22, IF(M22='Designer Shutter Data'!$F$6,'Designer Shutter Data'!$GA$2,IF(M22='Designer Shutter Data'!$F$7,'Designer Shutter Data'!$FY$2, IF(M22='Designer Shutter Data'!$F$8,'Designer Shutter Data'!$FZ$7, IF(M22='Designer Shutter Data'!$F$14,'Designer Shutter Data'!$FZ$14)))))))</f>
        <v>0</v>
      </c>
      <c r="DF22" s="6" t="e">
        <f>VLOOKUP(M22,'Designer Shutter Data'!$M$2:$N$8,2,FALSE)</f>
        <v>#N/A</v>
      </c>
      <c r="DH22" s="123" t="e">
        <f>VLOOKUP(O22,'Designer Shutter Data'!$IN$2:$IO$169,2,FALSE)</f>
        <v>#N/A</v>
      </c>
      <c r="DI22" s="103" t="e">
        <f t="shared" si="29"/>
        <v>#N/A</v>
      </c>
      <c r="DJ22" s="103" t="e">
        <f t="shared" si="44"/>
        <v>#N/A</v>
      </c>
      <c r="DK22" s="7" t="b">
        <f>IF(P22='Designer Shutter Data'!$GC$2,'Designer Shutter Data'!$GD$2,IF(P22='Designer Shutter Data'!$GC$3,'Designer Shutter Data'!$GE$2,IF(P22='Designer Shutter Data'!$GC$4,'Designer Shutter Data'!$GF$2,IF(P22='Designer Shutter Data'!$GC$5,'Designer Shutter Data'!$GG$2,IF(P22='Designer Shutter Data'!$GC$6,'Designer Shutter Data'!$GH$2,IF(P22='Designer Shutter Data'!$GC$7,'Designer Shutter Data'!$GI$2,IF(P22='Designer Shutter Data'!$GC$8,'Designer Shutter Data'!$GJ$2,IF(P22='Designer Shutter Data'!$GC$9,'Designer Shutter Data'!$GK$2,IF(P22='Designer Shutter Data'!$GC$10,'Designer Shutter Data'!$GL$2,IF(P22='Designer Shutter Data'!$GC$11,'Designer Shutter Data'!$GM$2,IF(P22='Designer Shutter Data'!$GC$12,'Designer Shutter Data'!$GN$2,IF(P22='Designer Shutter Data'!$GC$13,'Designer Shutter Data'!$GO$2,IF(P22='Designer Shutter Data'!$GC$14,'Designer Shutter Data'!$GP$2,IF(P22='Designer Shutter Data'!$GC$15,'Designer Shutter Data'!$GD$15,IF(P22='Designer Shutter Data'!$GC$16,'Designer Shutter Data'!$GE$15,IF(P22='Designer Shutter Data'!$GC$17,'Designer Shutter Data'!$GF$15,IF(P22='Designer Shutter Data'!$GC$18,'Designer Shutter Data'!$GG$15,IF(P22='Designer Shutter Data'!$GC$19,'Designer Shutter Data'!$GD$73,IF(P22='Designer Shutter Data'!$GC$20,'Designer Shutter Data'!$GD$88, IF(P22='Designer Shutter Data'!$GC$21,'Designer Shutter Data'!$GH$15, IF(P22='Designer Shutter Data'!$GC$22,'Designer Shutter Data'!$GJ$2, IF(P22='Designer Shutter Data'!$GC$23,'Designer Shutter Data'!$GL$2))))))))))))))))))))))</f>
        <v>0</v>
      </c>
      <c r="DL22" s="7" t="b">
        <f>IF(P22='Designer Shutter Data'!$GC$2,'Designer Shutter Data'!$GD$25,IF(P22='Designer Shutter Data'!$GC$3,'Designer Shutter Data'!$GE$25,IF(P22='Designer Shutter Data'!$GC$4,'Designer Shutter Data'!$GF$25,IF(P22='Designer Shutter Data'!$GC$5,'Designer Shutter Data'!$GG$25,IF(P22='Designer Shutter Data'!$GC$6,'Designer Shutter Data'!$GH$25,IF(P22='Designer Shutter Data'!$GC$7,'Designer Shutter Data'!$GI$25,IF(P22='Designer Shutter Data'!$GC$8,'Designer Shutter Data'!$GJ$25,IF(P22='Designer Shutter Data'!$GC$9,'Designer Shutter Data'!$GK$25,IF(P22='Designer Shutter Data'!$GC$10,'Designer Shutter Data'!$GL$25,IF(P22='Designer Shutter Data'!$GC$11,'Designer Shutter Data'!$GM$25,IF(P22='Designer Shutter Data'!$GC$12,'Designer Shutter Data'!$GN$25,IF(P22='Designer Shutter Data'!$GC$13,'Designer Shutter Data'!$GO$25,IF(P22='Designer Shutter Data'!$GC$14,'Designer Shutter Data'!$GP$25,IF(P22='Designer Shutter Data'!$GC$15,'Designer Shutter Data'!$GD$37,IF(P22='Designer Shutter Data'!$GC$15,'Designer Shutter Data'!$GD$37,IF(P22='Designer Shutter Data'!$GC$16,'Designer Shutter Data'!$GE$37,IF(P22='Designer Shutter Data'!$GC$17,'Designer Shutter Data'!$GF$37,IF(P22='Designer Shutter Data'!$GC$18,'Designer Shutter Data'!$GG$37, IF(P22='Designer Shutter Data'!$GC$19,'Designer Shutter Data'!$GD$73, IF(P22='Designer Shutter Data'!$GC$20,'Designer Shutter Data'!$GE$88, IF(P22='Designer Shutter Data'!$GC$21,'Designer Shutter Data'!$GH$37,IF(P22='Designer Shutter Data'!$GC$22,'Designer Shutter Data'!$GJ$25,IF(P22='Designer Shutter Data'!$GC$23,'Designer Shutter Data'!$GL$25)))))))))))))))))))))))</f>
        <v>0</v>
      </c>
      <c r="DM22" s="118" t="b">
        <f>IF(P22='Designer Shutter Data'!$GC$2,'Designer Shutter Data'!$GD$47,IF(P22='Designer Shutter Data'!$GC$3,'Designer Shutter Data'!$GE$47,IF(P22='Designer Shutter Data'!$GC$4,'Designer Shutter Data'!$GF$47,IF(P22='Designer Shutter Data'!$GC$5,'Designer Shutter Data'!$GG$47,IF(P22='Designer Shutter Data'!$GC$6,'Designer Shutter Data'!$GH$47,IF(P22='Designer Shutter Data'!$GC$7,'Designer Shutter Data'!$GI$47,IF(P22='Designer Shutter Data'!$GC$8,'Designer Shutter Data'!$GJ$47,IF(P22='Designer Shutter Data'!$GC$9,'Designer Shutter Data'!$GK$47,IF(P22='Designer Shutter Data'!$GC$10,'Designer Shutter Data'!$GL$47,IF(P22='Designer Shutter Data'!$GC$11,'Designer Shutter Data'!$GM$47,IF(P22='Designer Shutter Data'!$GC$12,'Designer Shutter Data'!$GN$47,IF(P22='Designer Shutter Data'!$GC$13,'Designer Shutter Data'!$GO$47,IF(P22='Designer Shutter Data'!$GC$14,'Designer Shutter Data'!$GP$47, IF(P22='Designer Shutter Data'!$GC$19,'Designer Shutter Data'!$GD$73, IF(P22='Designer Shutter Data'!$GC$20,'Designer Shutter Data'!$GF$88, IF(M22='Designer Shutter Data'!$F$5,'Designer Shutter Data'!$GE$59, IF(M22='Designer Shutter Data'!$F$6,'Designer Shutter Data'!$GD$59, IF(P22='Designer Shutter Data'!$GC$21,'Designer Shutter Data'!$GF$59,IF(P22='Designer Shutter Data'!$GC$22,'Designer Shutter Data'!$GJ$47,IF(P22='Designer Shutter Data'!$GC$23,'Designer Shutter Data'!$GL$47))))))))))))))))))))</f>
        <v>0</v>
      </c>
      <c r="DN22" s="107" t="str">
        <f t="shared" si="45"/>
        <v/>
      </c>
      <c r="DO22" s="107" t="e">
        <f t="shared" si="46"/>
        <v>#N/A</v>
      </c>
      <c r="DP22" s="107" t="str">
        <f t="shared" si="30"/>
        <v>OK</v>
      </c>
      <c r="DQ22" s="107" t="str">
        <f t="shared" si="31"/>
        <v>OK</v>
      </c>
      <c r="DR22" s="107" t="str">
        <f t="shared" si="32"/>
        <v>OK</v>
      </c>
      <c r="DS22" s="107" t="str">
        <f t="shared" si="33"/>
        <v>OK</v>
      </c>
      <c r="DT22" s="7" t="b">
        <f>IF(E22='Designer Shutter Data'!$GV$2,'Designer Shutter Data'!$GW$2,IF(E22='Designer Shutter Data'!$GV$3,'Designer Shutter Data'!$GX$2,IF(E22='Designer Shutter Data'!$GV$4,'Designer Shutter Data'!$GY$2)))</f>
        <v>0</v>
      </c>
      <c r="DU22" s="40" t="e">
        <f>MATCH(E22,'Designer Shutter Data'!$HB$1:$HD$1,0)</f>
        <v>#N/A</v>
      </c>
      <c r="DV22" s="40" t="e">
        <f>MATCH(M22,'Designer Shutter Data'!$HA$2:$HA$8,0)</f>
        <v>#N/A</v>
      </c>
      <c r="DW22" s="11" t="e">
        <f>INDEX('Designer Shutter Data'!$HB$2:$HD$8,DV22,DU22)</f>
        <v>#N/A</v>
      </c>
      <c r="DX22" s="11" t="b">
        <f>IF(E22='Designer Shutter Data'!$IG$1,'Designer Shutter Data'!$IG$2,IF(E22='Designer Shutter Data'!$IH$1,'Designer Shutter Data'!$IH$2, IF(E22='Designer Shutter Data'!$II$1,'Designer Shutter Data'!$II$2)))</f>
        <v>0</v>
      </c>
      <c r="DY22" s="11" t="str">
        <f>IF(E22="MS",'Designer Shutter Data'!$BI$2,IF(G22='Designer Shutter Data'!$BJ$34,'Designer Shutter Data'!$BJ$35,'Designer Shutter Data'!$BJ$2))</f>
        <v>FauxwoodDesignerWindowType</v>
      </c>
      <c r="DZ22" s="118" t="b">
        <f>IF(M22='Designer Shutter Data'!$F$3,'Designer Shutter Data'!$GF$88, IF(M22='Designer Shutter Data'!$F$4,'Designer Shutter Data'!$GE$59, IF(M22='Designer Shutter Data'!$F$5,'Designer Shutter Data'!$GD$59, IF(M22='Designer Shutter Data'!$F$6,'Designer Shutter Data'!$GD$59, IF(M22='Designer Shutter Data'!$F$7,'Designer Shutter Data'!$GD$73)))))</f>
        <v>0</v>
      </c>
      <c r="EB22" s="6" t="b">
        <f>IF(M22='Designer Shutter Data'!$IT$2,'Designer Shutter Data'!$JA$2, IF(M22='Designer Shutter Data'!$IT$3,'Designer Shutter Data'!$JC$2, IF(M22='Designer Shutter Data'!$IT$4,'Designer Shutter Data'!$JE$2, IF(M22='Designer Shutter Data'!$IT$5,'Designer Shutter Data'!$JG$2, IF(M22='Designer Shutter Data'!$IT$6,'Designer Shutter Data'!$JI$2, IF(M22='Designer Shutter Data'!$IT$7,'Designer Shutter Data'!$JZ$2, IF(M22='Designer Shutter Data'!$IT$8,'Designer Shutter Data'!$JI$16)))))))</f>
        <v>0</v>
      </c>
      <c r="EC22" s="6" t="str">
        <f t="shared" si="34"/>
        <v>NoHighlight</v>
      </c>
      <c r="ED22" s="7" t="e">
        <f>VLOOKUP(M22,'Designer Shutter Data'!$JW$5:$JX$10,2,FALSE)</f>
        <v>#N/A</v>
      </c>
      <c r="EE22" s="7" t="e">
        <f t="shared" si="35"/>
        <v>#N/A</v>
      </c>
      <c r="EF22" s="118" t="e">
        <f>VLOOKUP(O22,'Designer Shutter Data'!$AO$3:$AQ$171,1,FALSE)</f>
        <v>#N/A</v>
      </c>
      <c r="EG22" s="7" t="e">
        <f t="shared" si="36"/>
        <v>#N/A</v>
      </c>
      <c r="EH22" s="6" t="str">
        <f t="shared" si="37"/>
        <v/>
      </c>
      <c r="EJ22" s="40" t="e">
        <f>MATCH(M22,'Designer Shutter Data'!$KD$1:$KI$1,0)</f>
        <v>#N/A</v>
      </c>
      <c r="EK22" s="40" t="e">
        <f>MATCH(P22,'Designer Shutter Data'!$KC$2:$KC$21,0)</f>
        <v>#N/A</v>
      </c>
      <c r="EL22" s="136" t="e">
        <f>INDEX('Designer Shutter Data'!$KD$2:$KI$21,EK22,EJ22)</f>
        <v>#N/A</v>
      </c>
      <c r="EP22" s="6" t="str">
        <f>IF(AC22&lt;&gt;$EO$4,'Designer Shutter Data'!$BR$2,'Designer Shutter Data'!$BR$9)</f>
        <v>Fluffy_Strip_Fauxwood</v>
      </c>
      <c r="ER22" s="6" t="str">
        <f>IF(G22='Designer Shutter Data'!$E$26,'Designer Shutter Data'!$E$27,IF(G22='Designer Shutter Data'!$E$37,'Designer Shutter Data'!$E$38,'Designer Shutter Data'!$E$2))</f>
        <v>FauxwoodDesignerBladeSize</v>
      </c>
      <c r="ET22" s="6" t="str">
        <f t="shared" si="47"/>
        <v>Stile T Post</v>
      </c>
      <c r="EW22" s="40" t="e">
        <f>MATCH(G22,'Designer Shutter Data'!$AV$27:$AV$30,0)</f>
        <v>#N/A</v>
      </c>
      <c r="EX22" s="40" t="e">
        <f>MATCH(AC22,'Designer Shutter Data'!$AW$26:$AX$26,0)</f>
        <v>#N/A</v>
      </c>
      <c r="EY22" s="136" t="e">
        <f>INDEX('Designer Shutter Data'!$AW$27:$AX$30,EW22,EX22)</f>
        <v>#N/A</v>
      </c>
      <c r="EZ22" s="6" t="str">
        <f>IF(G22='Designer Shutter Data'!$S$15,'Designer Shutter Data'!$S$16, IF(G22=$FB$7,'Designer Shutter Data'!$T$15,'Designer Shutter Data'!$S$2))</f>
        <v>FauxwoodDesignerTiltrod</v>
      </c>
      <c r="FA22" s="6" t="e">
        <f>IF(G22=$FB$7,"No",VLOOKUP(L22,'Designer Shutter Data'!$BJ$62:$BK$75,2,FALSE))</f>
        <v>#N/A</v>
      </c>
      <c r="FB22" s="6" t="e">
        <f>IF(FA22="Yes", 'Designer Shutter Data'!$T$2,IF(G22=$FB$7,'Designer Shutter Data'!$T$15,'Designer Shutters Page 3'!EZ22))</f>
        <v>#N/A</v>
      </c>
      <c r="FC22" s="6" t="e">
        <f>MATCH(G22,'Designer Shutter Data'!$IG$15:$IJ$15,0)</f>
        <v>#N/A</v>
      </c>
      <c r="FD22" s="6" t="e">
        <f>MATCH(E22,'Designer Shutter Data'!$IF$16:$IF$18,0)</f>
        <v>#N/A</v>
      </c>
      <c r="FE22" s="6" t="e">
        <f>INDEX('Designer Shutter Data'!$IG$16:$IJ$18, 'Designer Shutters Page 3'!FD22, 'Designer Shutters Page 3'!FC22)</f>
        <v>#N/A</v>
      </c>
      <c r="FH22" s="6" t="str">
        <f t="shared" si="48"/>
        <v>SlidingSystemNA</v>
      </c>
      <c r="FJ22" s="6" t="e">
        <f>VLOOKUP(O22,'Designer Shutter Data'!$KP$2:$KR$44,3,FALSE)</f>
        <v>#N/A</v>
      </c>
      <c r="FL22" s="11" t="b">
        <f>IF(N22=$FL$7,'Designer Shutter Data'!$GH$98,DM22)</f>
        <v>0</v>
      </c>
    </row>
    <row r="23" spans="1:168" ht="36.75" customHeight="1" thickBot="1" x14ac:dyDescent="0.25">
      <c r="A23" s="52">
        <v>15</v>
      </c>
      <c r="B23" s="53"/>
      <c r="C23" s="55"/>
      <c r="D23" s="55"/>
      <c r="E23" s="55"/>
      <c r="F23" s="54"/>
      <c r="G23" s="53"/>
      <c r="H23" s="249"/>
      <c r="I23" s="250"/>
      <c r="J23" s="55"/>
      <c r="K23" s="56"/>
      <c r="L23" s="56"/>
      <c r="M23" s="56"/>
      <c r="N23" s="56"/>
      <c r="O23" s="56"/>
      <c r="P23" s="251"/>
      <c r="Q23" s="251"/>
      <c r="R23" s="53"/>
      <c r="S23" s="53"/>
      <c r="T23" s="53"/>
      <c r="U23" s="53"/>
      <c r="V23" s="56"/>
      <c r="W23" s="56"/>
      <c r="X23" s="53"/>
      <c r="Y23" s="57"/>
      <c r="Z23" s="58"/>
      <c r="AA23" s="58"/>
      <c r="AB23" s="58"/>
      <c r="AC23" s="55"/>
      <c r="AD23" s="55"/>
      <c r="AE23" s="59" t="str">
        <f t="shared" si="0"/>
        <v/>
      </c>
      <c r="AI23" s="6">
        <f t="shared" si="38"/>
        <v>0</v>
      </c>
      <c r="AJ23" s="6">
        <f t="shared" si="39"/>
        <v>0</v>
      </c>
      <c r="AK23" s="6">
        <f>IF(O23&lt;&gt;"",VLOOKUP(O23,'Designer Shutter Data'!$KP$2:$KQ$44,2,FALSE),0)</f>
        <v>0</v>
      </c>
      <c r="AT23" s="101" t="str">
        <f t="shared" si="1"/>
        <v/>
      </c>
      <c r="AV23" s="6" t="str">
        <f>IF(G23=$AV$7,'Designer Shutter Data'!$D$38,'Designer Shutter Data'!$D$2)</f>
        <v>FauxwoodDesignerColour</v>
      </c>
      <c r="AW23" s="130" t="e">
        <f t="shared" si="40"/>
        <v>#N/A</v>
      </c>
      <c r="AX23" s="130" t="e">
        <f>VLOOKUP(M23,'Designer Shutter Data'!$JK$2:$JL$7,2,FALSE)</f>
        <v>#N/A</v>
      </c>
      <c r="AY23" s="60" t="b">
        <v>0</v>
      </c>
      <c r="AZ23" s="38" t="str">
        <f t="shared" si="2"/>
        <v>No</v>
      </c>
      <c r="BA23" s="60" t="e">
        <f t="shared" si="3"/>
        <v>#DIV/0!</v>
      </c>
      <c r="BB23" s="60" t="e">
        <f t="shared" si="4"/>
        <v>#DIV/0!</v>
      </c>
      <c r="BC23" s="60" t="e">
        <f t="shared" si="5"/>
        <v>#DIV/0!</v>
      </c>
      <c r="BD23" s="38" t="str">
        <f t="shared" si="6"/>
        <v>No</v>
      </c>
      <c r="BE23" s="60" t="e">
        <f>IF(OR(AND(C23&gt;0,#REF!="")), "Required","NotRequired")</f>
        <v>#REF!</v>
      </c>
      <c r="BF23" s="60" t="b">
        <v>0</v>
      </c>
      <c r="BG23" s="60" t="e">
        <f t="shared" si="41"/>
        <v>#DIV/0!</v>
      </c>
      <c r="BH23" s="39" t="str">
        <f t="shared" si="7"/>
        <v>NoHighlight</v>
      </c>
      <c r="BI23" s="60" t="str">
        <f t="shared" si="8"/>
        <v>FauxwoodRPNo</v>
      </c>
      <c r="BJ23" s="110" t="str">
        <f>IF(SUM(--ISNUMBER(SEARCH({"t","T"}, O23))),"Yes","No")</f>
        <v>No</v>
      </c>
      <c r="BK23" s="127" t="str">
        <f t="shared" si="9"/>
        <v>OK</v>
      </c>
      <c r="BL23" s="127" t="str">
        <f t="shared" si="10"/>
        <v>OK</v>
      </c>
      <c r="BM23" s="127" t="str">
        <f t="shared" si="11"/>
        <v>OK</v>
      </c>
      <c r="BN23" s="61" t="str">
        <f t="shared" si="12"/>
        <v>OK</v>
      </c>
      <c r="BO23" s="61" t="str">
        <f t="shared" si="13"/>
        <v>FauxwoodAINo</v>
      </c>
      <c r="BP23" s="61" t="str">
        <f>IF(SUM(--ISNUMBER(SEARCH({"combo","Combo","COMBO"}, B40))),"Yes","No")</f>
        <v>No</v>
      </c>
      <c r="BQ23" s="61" t="str">
        <f t="shared" si="42"/>
        <v>No</v>
      </c>
      <c r="BR23" s="61" t="str">
        <f>IF(SUM(--ISNUMBER(SEARCH({"c","C","b","B"}, L23))),"Yes","No")</f>
        <v>No</v>
      </c>
      <c r="BS23" s="11">
        <f t="shared" si="14"/>
        <v>0</v>
      </c>
      <c r="BT23" s="63" t="s">
        <v>820</v>
      </c>
      <c r="BU23" s="63" t="s">
        <v>820</v>
      </c>
      <c r="BV23" s="62">
        <f t="shared" si="15"/>
        <v>0</v>
      </c>
      <c r="BW23" s="62">
        <f t="shared" si="16"/>
        <v>0</v>
      </c>
      <c r="BX23" s="63" t="e">
        <f t="shared" si="17"/>
        <v>#DIV/0!</v>
      </c>
      <c r="BY23" s="11" t="b">
        <v>0</v>
      </c>
      <c r="BZ23" s="63" t="b">
        <v>0</v>
      </c>
      <c r="CA23" s="63" t="e">
        <v>#REF!</v>
      </c>
      <c r="CB23" s="63" t="s">
        <v>82</v>
      </c>
      <c r="CC23" s="63" t="e">
        <f t="shared" si="18"/>
        <v>#DIV/0!</v>
      </c>
      <c r="CD23" s="11" t="e">
        <f>VLOOKUP(P23,'Designer Shutter Data'!$H$3:$I$19,2,FALSE)</f>
        <v>#N/A</v>
      </c>
      <c r="CE23" s="63" t="s">
        <v>820</v>
      </c>
      <c r="CF23" s="63" t="str">
        <f>IF(SUM(--ISNUMBER(SEARCH({"z","Z"}, P23))),"Yes","No")</f>
        <v>No</v>
      </c>
      <c r="CG23" s="63" t="str">
        <f t="shared" si="19"/>
        <v>OK</v>
      </c>
      <c r="CH23" s="11">
        <f t="shared" si="20"/>
        <v>0</v>
      </c>
      <c r="CI23" s="120" t="e">
        <f>IF(O23="N/A","N/A",VLOOKUP(O23,'Designer Shutter Data'!$AO$3:$AP$171,2,FALSE))</f>
        <v>#N/A</v>
      </c>
      <c r="CJ23" s="120" t="e">
        <f t="shared" si="21"/>
        <v>#N/A</v>
      </c>
      <c r="CK23" s="62"/>
      <c r="CL23" s="62"/>
      <c r="CM23" s="62"/>
      <c r="CN23" s="41" t="str">
        <f t="shared" si="22"/>
        <v>OK</v>
      </c>
      <c r="CO23" s="129" t="b">
        <f t="shared" si="23"/>
        <v>0</v>
      </c>
      <c r="CP23" s="129" t="b">
        <f t="shared" si="24"/>
        <v>0</v>
      </c>
      <c r="CQ23" s="40">
        <f t="shared" si="25"/>
        <v>0</v>
      </c>
      <c r="CR23" s="133">
        <f t="shared" si="26"/>
        <v>0</v>
      </c>
      <c r="CS23" s="40">
        <f t="shared" si="43"/>
        <v>0</v>
      </c>
      <c r="CT23" s="133" t="e">
        <f t="shared" si="27"/>
        <v>#N/A</v>
      </c>
      <c r="CU23" s="63" t="b">
        <v>0</v>
      </c>
      <c r="CV23" s="63" t="b">
        <v>0</v>
      </c>
      <c r="CW23" s="63" t="b">
        <v>0</v>
      </c>
      <c r="CX23" s="63" t="b">
        <v>0</v>
      </c>
      <c r="CY23" s="62" t="e">
        <f>IF(OR(AND(#REF!&gt;0,#REF!="")), "Error","OK")</f>
        <v>#REF!</v>
      </c>
      <c r="CZ23" s="11" t="e">
        <v>#REF!</v>
      </c>
      <c r="DA23" s="6" t="str">
        <f t="shared" si="28"/>
        <v/>
      </c>
      <c r="DD23" s="6" t="s">
        <v>84</v>
      </c>
      <c r="DE23" s="6" t="b">
        <f>IF(M23='Designer Shutter Data'!$F$3,'Designer Shutter Data'!$FY$7,IF(M23='Designer Shutter Data'!$F$4,'Designer Shutter Data'!$FZ$2,IF(M23='Designer Shutter Data'!$F$5,FJ23, IF(M23='Designer Shutter Data'!$F$6,'Designer Shutter Data'!$GA$2,IF(M23='Designer Shutter Data'!$F$7,'Designer Shutter Data'!$FY$2, IF(M23='Designer Shutter Data'!$F$8,'Designer Shutter Data'!$FZ$7, IF(M23='Designer Shutter Data'!$F$14,'Designer Shutter Data'!$FZ$14)))))))</f>
        <v>0</v>
      </c>
      <c r="DF23" s="6" t="e">
        <f>VLOOKUP(M23,'Designer Shutter Data'!$M$2:$N$8,2,FALSE)</f>
        <v>#N/A</v>
      </c>
      <c r="DH23" s="123" t="e">
        <f>VLOOKUP(O23,'Designer Shutter Data'!$IN$2:$IO$169,2,FALSE)</f>
        <v>#N/A</v>
      </c>
      <c r="DI23" s="103" t="e">
        <f t="shared" si="29"/>
        <v>#N/A</v>
      </c>
      <c r="DJ23" s="103" t="e">
        <f t="shared" si="44"/>
        <v>#N/A</v>
      </c>
      <c r="DK23" s="7" t="b">
        <f>IF(P23='Designer Shutter Data'!$GC$2,'Designer Shutter Data'!$GD$2,IF(P23='Designer Shutter Data'!$GC$3,'Designer Shutter Data'!$GE$2,IF(P23='Designer Shutter Data'!$GC$4,'Designer Shutter Data'!$GF$2,IF(P23='Designer Shutter Data'!$GC$5,'Designer Shutter Data'!$GG$2,IF(P23='Designer Shutter Data'!$GC$6,'Designer Shutter Data'!$GH$2,IF(P23='Designer Shutter Data'!$GC$7,'Designer Shutter Data'!$GI$2,IF(P23='Designer Shutter Data'!$GC$8,'Designer Shutter Data'!$GJ$2,IF(P23='Designer Shutter Data'!$GC$9,'Designer Shutter Data'!$GK$2,IF(P23='Designer Shutter Data'!$GC$10,'Designer Shutter Data'!$GL$2,IF(P23='Designer Shutter Data'!$GC$11,'Designer Shutter Data'!$GM$2,IF(P23='Designer Shutter Data'!$GC$12,'Designer Shutter Data'!$GN$2,IF(P23='Designer Shutter Data'!$GC$13,'Designer Shutter Data'!$GO$2,IF(P23='Designer Shutter Data'!$GC$14,'Designer Shutter Data'!$GP$2,IF(P23='Designer Shutter Data'!$GC$15,'Designer Shutter Data'!$GD$15,IF(P23='Designer Shutter Data'!$GC$16,'Designer Shutter Data'!$GE$15,IF(P23='Designer Shutter Data'!$GC$17,'Designer Shutter Data'!$GF$15,IF(P23='Designer Shutter Data'!$GC$18,'Designer Shutter Data'!$GG$15,IF(P23='Designer Shutter Data'!$GC$19,'Designer Shutter Data'!$GD$73,IF(P23='Designer Shutter Data'!$GC$20,'Designer Shutter Data'!$GD$88, IF(P23='Designer Shutter Data'!$GC$21,'Designer Shutter Data'!$GH$15, IF(P23='Designer Shutter Data'!$GC$22,'Designer Shutter Data'!$GJ$2, IF(P23='Designer Shutter Data'!$GC$23,'Designer Shutter Data'!$GL$2))))))))))))))))))))))</f>
        <v>0</v>
      </c>
      <c r="DL23" s="7" t="b">
        <f>IF(P23='Designer Shutter Data'!$GC$2,'Designer Shutter Data'!$GD$25,IF(P23='Designer Shutter Data'!$GC$3,'Designer Shutter Data'!$GE$25,IF(P23='Designer Shutter Data'!$GC$4,'Designer Shutter Data'!$GF$25,IF(P23='Designer Shutter Data'!$GC$5,'Designer Shutter Data'!$GG$25,IF(P23='Designer Shutter Data'!$GC$6,'Designer Shutter Data'!$GH$25,IF(P23='Designer Shutter Data'!$GC$7,'Designer Shutter Data'!$GI$25,IF(P23='Designer Shutter Data'!$GC$8,'Designer Shutter Data'!$GJ$25,IF(P23='Designer Shutter Data'!$GC$9,'Designer Shutter Data'!$GK$25,IF(P23='Designer Shutter Data'!$GC$10,'Designer Shutter Data'!$GL$25,IF(P23='Designer Shutter Data'!$GC$11,'Designer Shutter Data'!$GM$25,IF(P23='Designer Shutter Data'!$GC$12,'Designer Shutter Data'!$GN$25,IF(P23='Designer Shutter Data'!$GC$13,'Designer Shutter Data'!$GO$25,IF(P23='Designer Shutter Data'!$GC$14,'Designer Shutter Data'!$GP$25,IF(P23='Designer Shutter Data'!$GC$15,'Designer Shutter Data'!$GD$37,IF(P23='Designer Shutter Data'!$GC$15,'Designer Shutter Data'!$GD$37,IF(P23='Designer Shutter Data'!$GC$16,'Designer Shutter Data'!$GE$37,IF(P23='Designer Shutter Data'!$GC$17,'Designer Shutter Data'!$GF$37,IF(P23='Designer Shutter Data'!$GC$18,'Designer Shutter Data'!$GG$37, IF(P23='Designer Shutter Data'!$GC$19,'Designer Shutter Data'!$GD$73, IF(P23='Designer Shutter Data'!$GC$20,'Designer Shutter Data'!$GE$88, IF(P23='Designer Shutter Data'!$GC$21,'Designer Shutter Data'!$GH$37,IF(P23='Designer Shutter Data'!$GC$22,'Designer Shutter Data'!$GJ$25,IF(P23='Designer Shutter Data'!$GC$23,'Designer Shutter Data'!$GL$25)))))))))))))))))))))))</f>
        <v>0</v>
      </c>
      <c r="DM23" s="118" t="b">
        <f>IF(P23='Designer Shutter Data'!$GC$2,'Designer Shutter Data'!$GD$47,IF(P23='Designer Shutter Data'!$GC$3,'Designer Shutter Data'!$GE$47,IF(P23='Designer Shutter Data'!$GC$4,'Designer Shutter Data'!$GF$47,IF(P23='Designer Shutter Data'!$GC$5,'Designer Shutter Data'!$GG$47,IF(P23='Designer Shutter Data'!$GC$6,'Designer Shutter Data'!$GH$47,IF(P23='Designer Shutter Data'!$GC$7,'Designer Shutter Data'!$GI$47,IF(P23='Designer Shutter Data'!$GC$8,'Designer Shutter Data'!$GJ$47,IF(P23='Designer Shutter Data'!$GC$9,'Designer Shutter Data'!$GK$47,IF(P23='Designer Shutter Data'!$GC$10,'Designer Shutter Data'!$GL$47,IF(P23='Designer Shutter Data'!$GC$11,'Designer Shutter Data'!$GM$47,IF(P23='Designer Shutter Data'!$GC$12,'Designer Shutter Data'!$GN$47,IF(P23='Designer Shutter Data'!$GC$13,'Designer Shutter Data'!$GO$47,IF(P23='Designer Shutter Data'!$GC$14,'Designer Shutter Data'!$GP$47, IF(P23='Designer Shutter Data'!$GC$19,'Designer Shutter Data'!$GD$73, IF(P23='Designer Shutter Data'!$GC$20,'Designer Shutter Data'!$GF$88, IF(M23='Designer Shutter Data'!$F$5,'Designer Shutter Data'!$GE$59, IF(M23='Designer Shutter Data'!$F$6,'Designer Shutter Data'!$GD$59, IF(P23='Designer Shutter Data'!$GC$21,'Designer Shutter Data'!$GF$59,IF(P23='Designer Shutter Data'!$GC$22,'Designer Shutter Data'!$GJ$47,IF(P23='Designer Shutter Data'!$GC$23,'Designer Shutter Data'!$GL$47))))))))))))))))))))</f>
        <v>0</v>
      </c>
      <c r="DN23" s="107" t="str">
        <f t="shared" si="45"/>
        <v/>
      </c>
      <c r="DO23" s="107" t="e">
        <f t="shared" si="46"/>
        <v>#N/A</v>
      </c>
      <c r="DP23" s="107" t="str">
        <f t="shared" si="30"/>
        <v>OK</v>
      </c>
      <c r="DQ23" s="107" t="str">
        <f t="shared" si="31"/>
        <v>OK</v>
      </c>
      <c r="DR23" s="107" t="str">
        <f t="shared" si="32"/>
        <v>OK</v>
      </c>
      <c r="DS23" s="107" t="str">
        <f t="shared" si="33"/>
        <v>OK</v>
      </c>
      <c r="DT23" s="7" t="b">
        <f>IF(E23='Designer Shutter Data'!$GV$2,'Designer Shutter Data'!$GW$2,IF(E23='Designer Shutter Data'!$GV$3,'Designer Shutter Data'!$GX$2,IF(E23='Designer Shutter Data'!$GV$4,'Designer Shutter Data'!$GY$2)))</f>
        <v>0</v>
      </c>
      <c r="DU23" s="40" t="e">
        <f>MATCH(E23,'Designer Shutter Data'!$HB$1:$HD$1,0)</f>
        <v>#N/A</v>
      </c>
      <c r="DV23" s="40" t="e">
        <f>MATCH(M23,'Designer Shutter Data'!$HA$2:$HA$8,0)</f>
        <v>#N/A</v>
      </c>
      <c r="DW23" s="11" t="e">
        <f>INDEX('Designer Shutter Data'!$HB$2:$HD$8,DV23,DU23)</f>
        <v>#N/A</v>
      </c>
      <c r="DX23" s="11" t="b">
        <f>IF(E23='Designer Shutter Data'!$IG$1,'Designer Shutter Data'!$IG$2,IF(E23='Designer Shutter Data'!$IH$1,'Designer Shutter Data'!$IH$2, IF(E23='Designer Shutter Data'!$II$1,'Designer Shutter Data'!$II$2)))</f>
        <v>0</v>
      </c>
      <c r="DY23" s="11" t="str">
        <f>IF(E23="MS",'Designer Shutter Data'!$BI$2,IF(G23='Designer Shutter Data'!$BJ$34,'Designer Shutter Data'!$BJ$35,'Designer Shutter Data'!$BJ$2))</f>
        <v>FauxwoodDesignerWindowType</v>
      </c>
      <c r="DZ23" s="118" t="b">
        <f>IF(M23='Designer Shutter Data'!$F$3,'Designer Shutter Data'!$GF$88, IF(M23='Designer Shutter Data'!$F$4,'Designer Shutter Data'!$GE$59, IF(M23='Designer Shutter Data'!$F$5,'Designer Shutter Data'!$GD$59, IF(M23='Designer Shutter Data'!$F$6,'Designer Shutter Data'!$GD$59, IF(M23='Designer Shutter Data'!$F$7,'Designer Shutter Data'!$GD$73)))))</f>
        <v>0</v>
      </c>
      <c r="EB23" s="6" t="b">
        <f>IF(M23='Designer Shutter Data'!$IT$2,'Designer Shutter Data'!$JA$2, IF(M23='Designer Shutter Data'!$IT$3,'Designer Shutter Data'!$JC$2, IF(M23='Designer Shutter Data'!$IT$4,'Designer Shutter Data'!$JE$2, IF(M23='Designer Shutter Data'!$IT$5,'Designer Shutter Data'!$JG$2, IF(M23='Designer Shutter Data'!$IT$6,'Designer Shutter Data'!$JI$2, IF(M23='Designer Shutter Data'!$IT$7,'Designer Shutter Data'!$JZ$2, IF(M23='Designer Shutter Data'!$IT$8,'Designer Shutter Data'!$JI$16)))))))</f>
        <v>0</v>
      </c>
      <c r="EC23" s="6" t="str">
        <f t="shared" si="34"/>
        <v>NoHighlight</v>
      </c>
      <c r="ED23" s="7" t="e">
        <f>VLOOKUP(M23,'Designer Shutter Data'!$JW$5:$JX$10,2,FALSE)</f>
        <v>#N/A</v>
      </c>
      <c r="EE23" s="7" t="e">
        <f t="shared" si="35"/>
        <v>#N/A</v>
      </c>
      <c r="EF23" s="118" t="e">
        <f>VLOOKUP(O23,'Designer Shutter Data'!$AO$3:$AQ$171,1,FALSE)</f>
        <v>#N/A</v>
      </c>
      <c r="EG23" s="7" t="e">
        <f t="shared" si="36"/>
        <v>#N/A</v>
      </c>
      <c r="EH23" s="6" t="str">
        <f t="shared" si="37"/>
        <v/>
      </c>
      <c r="EJ23" s="40" t="e">
        <f>MATCH(M23,'Designer Shutter Data'!$KD$1:$KI$1,0)</f>
        <v>#N/A</v>
      </c>
      <c r="EK23" s="40" t="e">
        <f>MATCH(P23,'Designer Shutter Data'!$KC$2:$KC$21,0)</f>
        <v>#N/A</v>
      </c>
      <c r="EL23" s="136" t="e">
        <f>INDEX('Designer Shutter Data'!$KD$2:$KI$21,EK23,EJ23)</f>
        <v>#N/A</v>
      </c>
      <c r="EP23" s="6" t="str">
        <f>IF(AC23&lt;&gt;$EO$4,'Designer Shutter Data'!$BR$2,'Designer Shutter Data'!$BR$9)</f>
        <v>Fluffy_Strip_Fauxwood</v>
      </c>
      <c r="ER23" s="6" t="str">
        <f>IF(G23='Designer Shutter Data'!$E$26,'Designer Shutter Data'!$E$27,IF(G23='Designer Shutter Data'!$E$37,'Designer Shutter Data'!$E$38,'Designer Shutter Data'!$E$2))</f>
        <v>FauxwoodDesignerBladeSize</v>
      </c>
      <c r="ET23" s="6" t="str">
        <f t="shared" si="47"/>
        <v>Stile T Post</v>
      </c>
      <c r="EW23" s="40" t="e">
        <f>MATCH(G23,'Designer Shutter Data'!$AV$27:$AV$30,0)</f>
        <v>#N/A</v>
      </c>
      <c r="EX23" s="40" t="e">
        <f>MATCH(AC23,'Designer Shutter Data'!$AW$26:$AX$26,0)</f>
        <v>#N/A</v>
      </c>
      <c r="EY23" s="136" t="e">
        <f>INDEX('Designer Shutter Data'!$AW$27:$AX$30,EW23,EX23)</f>
        <v>#N/A</v>
      </c>
      <c r="EZ23" s="6" t="str">
        <f>IF(G23='Designer Shutter Data'!$S$15,'Designer Shutter Data'!$S$16, IF(G23=$FB$7,'Designer Shutter Data'!$T$15,'Designer Shutter Data'!$S$2))</f>
        <v>FauxwoodDesignerTiltrod</v>
      </c>
      <c r="FA23" s="6" t="e">
        <f>IF(G23=$FB$7,"No",VLOOKUP(L23,'Designer Shutter Data'!$BJ$62:$BK$75,2,FALSE))</f>
        <v>#N/A</v>
      </c>
      <c r="FB23" s="6" t="e">
        <f>IF(FA23="Yes", 'Designer Shutter Data'!$T$2,IF(G23=$FB$7,'Designer Shutter Data'!$T$15,'Designer Shutters Page 3'!EZ23))</f>
        <v>#N/A</v>
      </c>
      <c r="FC23" s="6" t="e">
        <f>MATCH(G23,'Designer Shutter Data'!$IG$15:$IJ$15,0)</f>
        <v>#N/A</v>
      </c>
      <c r="FD23" s="6" t="e">
        <f>MATCH(E23,'Designer Shutter Data'!$IF$16:$IF$18,0)</f>
        <v>#N/A</v>
      </c>
      <c r="FE23" s="6" t="e">
        <f>INDEX('Designer Shutter Data'!$IG$16:$IJ$18, 'Designer Shutters Page 3'!FD23, 'Designer Shutters Page 3'!FC23)</f>
        <v>#N/A</v>
      </c>
      <c r="FH23" s="6" t="str">
        <f t="shared" si="48"/>
        <v>SlidingSystemNA</v>
      </c>
      <c r="FJ23" s="6" t="e">
        <f>VLOOKUP(O23,'Designer Shutter Data'!$KP$2:$KR$44,3,FALSE)</f>
        <v>#N/A</v>
      </c>
      <c r="FL23" s="11" t="b">
        <f>IF(N23=$FL$7,'Designer Shutter Data'!$GH$98,DM23)</f>
        <v>0</v>
      </c>
    </row>
    <row r="24" spans="1:168" ht="18.75" customHeight="1" thickTop="1" thickBot="1" x14ac:dyDescent="0.25">
      <c r="A24" s="229"/>
      <c r="B24" s="229"/>
      <c r="K24" s="64"/>
      <c r="L24" s="64"/>
      <c r="M24" s="65"/>
      <c r="N24" s="65"/>
      <c r="O24" s="65"/>
      <c r="P24" s="65"/>
      <c r="Q24" s="65"/>
      <c r="R24" s="66"/>
      <c r="AI24" s="6">
        <f>SUM(AI9:AI23)</f>
        <v>0</v>
      </c>
      <c r="AJ24" s="6">
        <f>SUM(AJ9:AJ23)</f>
        <v>0</v>
      </c>
      <c r="AK24" s="6">
        <f>SUM(AI24:AJ24)</f>
        <v>0</v>
      </c>
      <c r="AT24" s="64"/>
      <c r="DJ24" s="103" t="str">
        <f>IF(COUNTIF(DJ9:DJ23,'Designer Shutter Data'!HW2),"Layout Code &amp; T Post Quantity Issue","")</f>
        <v/>
      </c>
    </row>
    <row r="25" spans="1:168" ht="32.25" customHeight="1" thickTop="1" thickBot="1" x14ac:dyDescent="0.25">
      <c r="A25" s="67" t="s">
        <v>408</v>
      </c>
      <c r="B25" s="162" t="s">
        <v>489</v>
      </c>
      <c r="C25" s="163"/>
      <c r="D25" s="163"/>
      <c r="E25" s="164"/>
      <c r="F25" s="230" t="s">
        <v>490</v>
      </c>
      <c r="G25" s="230"/>
      <c r="H25" s="230"/>
      <c r="I25" s="230"/>
      <c r="J25" s="230"/>
      <c r="K25" s="162" t="s">
        <v>491</v>
      </c>
      <c r="L25" s="163"/>
      <c r="M25" s="164"/>
      <c r="N25" s="162" t="s">
        <v>492</v>
      </c>
      <c r="O25" s="163"/>
      <c r="P25" s="163"/>
      <c r="Q25" s="163"/>
      <c r="R25" s="163"/>
      <c r="S25" s="163"/>
      <c r="T25" s="164"/>
      <c r="U25" s="231" t="s">
        <v>493</v>
      </c>
      <c r="V25" s="231"/>
      <c r="W25" s="231"/>
      <c r="X25" s="231"/>
      <c r="Y25" s="231"/>
      <c r="Z25" s="231"/>
      <c r="AA25" s="231"/>
      <c r="AB25" s="231"/>
      <c r="AC25" s="232"/>
      <c r="AD25" s="232"/>
      <c r="AE25" s="233"/>
      <c r="AF25" s="68"/>
    </row>
    <row r="26" spans="1:168" ht="18" customHeight="1" thickTop="1" x14ac:dyDescent="0.2">
      <c r="A26" s="69">
        <v>1</v>
      </c>
      <c r="B26" s="237"/>
      <c r="C26" s="237"/>
      <c r="D26" s="237"/>
      <c r="E26" s="237"/>
      <c r="F26" s="252"/>
      <c r="G26" s="252"/>
      <c r="H26" s="252"/>
      <c r="I26" s="252"/>
      <c r="J26" s="253"/>
      <c r="K26" s="174"/>
      <c r="L26" s="175"/>
      <c r="M26" s="176"/>
      <c r="N26" s="174"/>
      <c r="O26" s="175"/>
      <c r="P26" s="175"/>
      <c r="Q26" s="175"/>
      <c r="R26" s="175"/>
      <c r="S26" s="175"/>
      <c r="T26" s="176"/>
      <c r="U26" s="238"/>
      <c r="V26" s="239"/>
      <c r="W26" s="239"/>
      <c r="X26" s="239"/>
      <c r="Y26" s="239"/>
      <c r="Z26" s="239"/>
      <c r="AA26" s="239"/>
      <c r="AB26" s="239"/>
      <c r="AC26" s="239"/>
      <c r="AD26" s="239"/>
      <c r="AE26" s="240"/>
      <c r="AF26" s="68"/>
      <c r="AY26" s="7" t="b">
        <v>0</v>
      </c>
    </row>
    <row r="27" spans="1:168" ht="18" customHeight="1" x14ac:dyDescent="0.2">
      <c r="A27" s="71">
        <v>2</v>
      </c>
      <c r="B27" s="247"/>
      <c r="C27" s="247"/>
      <c r="D27" s="247"/>
      <c r="E27" s="247"/>
      <c r="F27" s="248"/>
      <c r="G27" s="248"/>
      <c r="H27" s="248"/>
      <c r="I27" s="248"/>
      <c r="J27" s="165"/>
      <c r="K27" s="165"/>
      <c r="L27" s="166"/>
      <c r="M27" s="167"/>
      <c r="N27" s="165"/>
      <c r="O27" s="166"/>
      <c r="P27" s="166"/>
      <c r="Q27" s="166"/>
      <c r="R27" s="166"/>
      <c r="S27" s="166"/>
      <c r="T27" s="167"/>
      <c r="U27" s="241"/>
      <c r="V27" s="242"/>
      <c r="W27" s="242"/>
      <c r="X27" s="242"/>
      <c r="Y27" s="242"/>
      <c r="Z27" s="242"/>
      <c r="AA27" s="242"/>
      <c r="AB27" s="242"/>
      <c r="AC27" s="242"/>
      <c r="AD27" s="242"/>
      <c r="AE27" s="243"/>
      <c r="AF27" s="68"/>
      <c r="AY27" s="7" t="b">
        <v>0</v>
      </c>
    </row>
    <row r="28" spans="1:168" ht="18" customHeight="1" x14ac:dyDescent="0.2">
      <c r="A28" s="71">
        <v>3</v>
      </c>
      <c r="B28" s="247"/>
      <c r="C28" s="247"/>
      <c r="D28" s="247"/>
      <c r="E28" s="247"/>
      <c r="F28" s="248"/>
      <c r="G28" s="248"/>
      <c r="H28" s="248"/>
      <c r="I28" s="248"/>
      <c r="J28" s="165"/>
      <c r="K28" s="165"/>
      <c r="L28" s="166"/>
      <c r="M28" s="167"/>
      <c r="N28" s="165"/>
      <c r="O28" s="166"/>
      <c r="P28" s="166"/>
      <c r="Q28" s="166"/>
      <c r="R28" s="166"/>
      <c r="S28" s="166"/>
      <c r="T28" s="167"/>
      <c r="U28" s="241"/>
      <c r="V28" s="242"/>
      <c r="W28" s="242"/>
      <c r="X28" s="242"/>
      <c r="Y28" s="242"/>
      <c r="Z28" s="242"/>
      <c r="AA28" s="242"/>
      <c r="AB28" s="242"/>
      <c r="AC28" s="242"/>
      <c r="AD28" s="242"/>
      <c r="AE28" s="243"/>
      <c r="AF28" s="68"/>
      <c r="AY28" s="7" t="b">
        <v>0</v>
      </c>
    </row>
    <row r="29" spans="1:168" ht="18" customHeight="1" x14ac:dyDescent="0.2">
      <c r="A29" s="71">
        <v>4</v>
      </c>
      <c r="B29" s="247"/>
      <c r="C29" s="247"/>
      <c r="D29" s="247"/>
      <c r="E29" s="247"/>
      <c r="F29" s="248"/>
      <c r="G29" s="248"/>
      <c r="H29" s="248"/>
      <c r="I29" s="248"/>
      <c r="J29" s="165"/>
      <c r="K29" s="165"/>
      <c r="L29" s="166"/>
      <c r="M29" s="167"/>
      <c r="N29" s="165"/>
      <c r="O29" s="166"/>
      <c r="P29" s="166"/>
      <c r="Q29" s="166"/>
      <c r="R29" s="166"/>
      <c r="S29" s="166"/>
      <c r="T29" s="167"/>
      <c r="U29" s="241"/>
      <c r="V29" s="242"/>
      <c r="W29" s="242"/>
      <c r="X29" s="242"/>
      <c r="Y29" s="242"/>
      <c r="Z29" s="242"/>
      <c r="AA29" s="242"/>
      <c r="AB29" s="242"/>
      <c r="AC29" s="242"/>
      <c r="AD29" s="242"/>
      <c r="AE29" s="243"/>
      <c r="AF29" s="68"/>
      <c r="AY29" s="7" t="b">
        <v>0</v>
      </c>
    </row>
    <row r="30" spans="1:168" ht="18" customHeight="1" x14ac:dyDescent="0.2">
      <c r="A30" s="71">
        <v>5</v>
      </c>
      <c r="B30" s="247"/>
      <c r="C30" s="247"/>
      <c r="D30" s="247"/>
      <c r="E30" s="247"/>
      <c r="F30" s="248"/>
      <c r="G30" s="248"/>
      <c r="H30" s="248"/>
      <c r="I30" s="248"/>
      <c r="J30" s="165"/>
      <c r="K30" s="165"/>
      <c r="L30" s="166"/>
      <c r="M30" s="167"/>
      <c r="N30" s="165"/>
      <c r="O30" s="166"/>
      <c r="P30" s="166"/>
      <c r="Q30" s="166"/>
      <c r="R30" s="166"/>
      <c r="S30" s="166"/>
      <c r="T30" s="167"/>
      <c r="U30" s="241"/>
      <c r="V30" s="242"/>
      <c r="W30" s="242"/>
      <c r="X30" s="242"/>
      <c r="Y30" s="242"/>
      <c r="Z30" s="242"/>
      <c r="AA30" s="242"/>
      <c r="AB30" s="242"/>
      <c r="AC30" s="242"/>
      <c r="AD30" s="242"/>
      <c r="AE30" s="243"/>
      <c r="AF30" s="68"/>
      <c r="AY30" s="7" t="b">
        <v>0</v>
      </c>
    </row>
    <row r="31" spans="1:168" ht="18" customHeight="1" x14ac:dyDescent="0.2">
      <c r="A31" s="71">
        <v>6</v>
      </c>
      <c r="B31" s="247"/>
      <c r="C31" s="247"/>
      <c r="D31" s="247"/>
      <c r="E31" s="247"/>
      <c r="F31" s="248"/>
      <c r="G31" s="248"/>
      <c r="H31" s="248"/>
      <c r="I31" s="248"/>
      <c r="J31" s="165"/>
      <c r="K31" s="165"/>
      <c r="L31" s="166"/>
      <c r="M31" s="167"/>
      <c r="N31" s="165"/>
      <c r="O31" s="166"/>
      <c r="P31" s="166"/>
      <c r="Q31" s="166"/>
      <c r="R31" s="166"/>
      <c r="S31" s="166"/>
      <c r="T31" s="167"/>
      <c r="U31" s="241"/>
      <c r="V31" s="242"/>
      <c r="W31" s="242"/>
      <c r="X31" s="242"/>
      <c r="Y31" s="242"/>
      <c r="Z31" s="242"/>
      <c r="AA31" s="242"/>
      <c r="AB31" s="242"/>
      <c r="AC31" s="242"/>
      <c r="AD31" s="242"/>
      <c r="AE31" s="243"/>
      <c r="AF31" s="68"/>
      <c r="AY31" s="7" t="b">
        <v>0</v>
      </c>
    </row>
    <row r="32" spans="1:168" ht="18" customHeight="1" x14ac:dyDescent="0.2">
      <c r="A32" s="71">
        <v>7</v>
      </c>
      <c r="B32" s="247"/>
      <c r="C32" s="247"/>
      <c r="D32" s="247"/>
      <c r="E32" s="247"/>
      <c r="F32" s="248"/>
      <c r="G32" s="248"/>
      <c r="H32" s="248"/>
      <c r="I32" s="248"/>
      <c r="J32" s="165"/>
      <c r="K32" s="165"/>
      <c r="L32" s="166"/>
      <c r="M32" s="167"/>
      <c r="N32" s="165"/>
      <c r="O32" s="166"/>
      <c r="P32" s="166"/>
      <c r="Q32" s="166"/>
      <c r="R32" s="166"/>
      <c r="S32" s="166"/>
      <c r="T32" s="167"/>
      <c r="U32" s="241"/>
      <c r="V32" s="242"/>
      <c r="W32" s="242"/>
      <c r="X32" s="242"/>
      <c r="Y32" s="242"/>
      <c r="Z32" s="242"/>
      <c r="AA32" s="242"/>
      <c r="AB32" s="242"/>
      <c r="AC32" s="242"/>
      <c r="AD32" s="242"/>
      <c r="AE32" s="243"/>
      <c r="AF32" s="68"/>
      <c r="AY32" s="7" t="b">
        <v>0</v>
      </c>
    </row>
    <row r="33" spans="1:130" ht="18" customHeight="1" x14ac:dyDescent="0.2">
      <c r="A33" s="71">
        <v>8</v>
      </c>
      <c r="B33" s="247"/>
      <c r="C33" s="247"/>
      <c r="D33" s="247"/>
      <c r="E33" s="247"/>
      <c r="F33" s="248"/>
      <c r="G33" s="248"/>
      <c r="H33" s="248"/>
      <c r="I33" s="248"/>
      <c r="J33" s="165"/>
      <c r="K33" s="165"/>
      <c r="L33" s="166"/>
      <c r="M33" s="167"/>
      <c r="N33" s="165"/>
      <c r="O33" s="166"/>
      <c r="P33" s="166"/>
      <c r="Q33" s="166"/>
      <c r="R33" s="166"/>
      <c r="S33" s="166"/>
      <c r="T33" s="167"/>
      <c r="U33" s="241"/>
      <c r="V33" s="242"/>
      <c r="W33" s="242"/>
      <c r="X33" s="242"/>
      <c r="Y33" s="242"/>
      <c r="Z33" s="242"/>
      <c r="AA33" s="242"/>
      <c r="AB33" s="242"/>
      <c r="AC33" s="242"/>
      <c r="AD33" s="242"/>
      <c r="AE33" s="243"/>
      <c r="AF33" s="68"/>
      <c r="AY33" s="7" t="b">
        <v>0</v>
      </c>
    </row>
    <row r="34" spans="1:130" ht="18" customHeight="1" x14ac:dyDescent="0.2">
      <c r="A34" s="71">
        <v>9</v>
      </c>
      <c r="B34" s="247"/>
      <c r="C34" s="247"/>
      <c r="D34" s="247"/>
      <c r="E34" s="247"/>
      <c r="F34" s="248"/>
      <c r="G34" s="248"/>
      <c r="H34" s="248"/>
      <c r="I34" s="248"/>
      <c r="J34" s="165"/>
      <c r="K34" s="165"/>
      <c r="L34" s="166"/>
      <c r="M34" s="167"/>
      <c r="N34" s="165"/>
      <c r="O34" s="166"/>
      <c r="P34" s="166"/>
      <c r="Q34" s="166"/>
      <c r="R34" s="166"/>
      <c r="S34" s="166"/>
      <c r="T34" s="167"/>
      <c r="U34" s="241"/>
      <c r="V34" s="242"/>
      <c r="W34" s="242"/>
      <c r="X34" s="242"/>
      <c r="Y34" s="242"/>
      <c r="Z34" s="242"/>
      <c r="AA34" s="242"/>
      <c r="AB34" s="242"/>
      <c r="AC34" s="242"/>
      <c r="AD34" s="242"/>
      <c r="AE34" s="243"/>
      <c r="AF34" s="68"/>
      <c r="AY34" s="7" t="b">
        <v>0</v>
      </c>
    </row>
    <row r="35" spans="1:130" ht="18" customHeight="1" x14ac:dyDescent="0.2">
      <c r="A35" s="71">
        <v>10</v>
      </c>
      <c r="B35" s="247"/>
      <c r="C35" s="247"/>
      <c r="D35" s="247"/>
      <c r="E35" s="247"/>
      <c r="F35" s="248"/>
      <c r="G35" s="248"/>
      <c r="H35" s="248"/>
      <c r="I35" s="248"/>
      <c r="J35" s="165"/>
      <c r="K35" s="165"/>
      <c r="L35" s="166"/>
      <c r="M35" s="167"/>
      <c r="N35" s="165"/>
      <c r="O35" s="166"/>
      <c r="P35" s="166"/>
      <c r="Q35" s="166"/>
      <c r="R35" s="166"/>
      <c r="S35" s="166"/>
      <c r="T35" s="167"/>
      <c r="U35" s="241"/>
      <c r="V35" s="242"/>
      <c r="W35" s="242"/>
      <c r="X35" s="242"/>
      <c r="Y35" s="242"/>
      <c r="Z35" s="242"/>
      <c r="AA35" s="242"/>
      <c r="AB35" s="242"/>
      <c r="AC35" s="242"/>
      <c r="AD35" s="242"/>
      <c r="AE35" s="243"/>
      <c r="AF35" s="68"/>
      <c r="AY35" s="7" t="b">
        <v>0</v>
      </c>
    </row>
    <row r="36" spans="1:130" ht="18" customHeight="1" x14ac:dyDescent="0.2">
      <c r="A36" s="71">
        <v>11</v>
      </c>
      <c r="B36" s="247"/>
      <c r="C36" s="247"/>
      <c r="D36" s="247"/>
      <c r="E36" s="247"/>
      <c r="F36" s="248"/>
      <c r="G36" s="248"/>
      <c r="H36" s="248"/>
      <c r="I36" s="248"/>
      <c r="J36" s="165"/>
      <c r="K36" s="165"/>
      <c r="L36" s="166"/>
      <c r="M36" s="167"/>
      <c r="N36" s="165"/>
      <c r="O36" s="166"/>
      <c r="P36" s="166"/>
      <c r="Q36" s="166"/>
      <c r="R36" s="166"/>
      <c r="S36" s="166"/>
      <c r="T36" s="167"/>
      <c r="U36" s="241"/>
      <c r="V36" s="242"/>
      <c r="W36" s="242"/>
      <c r="X36" s="242"/>
      <c r="Y36" s="242"/>
      <c r="Z36" s="242"/>
      <c r="AA36" s="242"/>
      <c r="AB36" s="242"/>
      <c r="AC36" s="242"/>
      <c r="AD36" s="242"/>
      <c r="AE36" s="243"/>
      <c r="AF36" s="68"/>
    </row>
    <row r="37" spans="1:130" ht="18" customHeight="1" x14ac:dyDescent="0.2">
      <c r="A37" s="71">
        <v>12</v>
      </c>
      <c r="B37" s="247"/>
      <c r="C37" s="247"/>
      <c r="D37" s="247"/>
      <c r="E37" s="247"/>
      <c r="F37" s="248"/>
      <c r="G37" s="248"/>
      <c r="H37" s="248"/>
      <c r="I37" s="248"/>
      <c r="J37" s="165"/>
      <c r="K37" s="165"/>
      <c r="L37" s="166"/>
      <c r="M37" s="167"/>
      <c r="N37" s="165"/>
      <c r="O37" s="166"/>
      <c r="P37" s="166"/>
      <c r="Q37" s="166"/>
      <c r="R37" s="166"/>
      <c r="S37" s="166"/>
      <c r="T37" s="167"/>
      <c r="U37" s="241"/>
      <c r="V37" s="242"/>
      <c r="W37" s="242"/>
      <c r="X37" s="242"/>
      <c r="Y37" s="242"/>
      <c r="Z37" s="242"/>
      <c r="AA37" s="242"/>
      <c r="AB37" s="242"/>
      <c r="AC37" s="242"/>
      <c r="AD37" s="242"/>
      <c r="AE37" s="243"/>
      <c r="AF37" s="68"/>
    </row>
    <row r="38" spans="1:130" ht="18" customHeight="1" x14ac:dyDescent="0.2">
      <c r="A38" s="71">
        <v>13</v>
      </c>
      <c r="B38" s="247"/>
      <c r="C38" s="247"/>
      <c r="D38" s="247"/>
      <c r="E38" s="247"/>
      <c r="F38" s="248"/>
      <c r="G38" s="248"/>
      <c r="H38" s="248"/>
      <c r="I38" s="248"/>
      <c r="J38" s="165"/>
      <c r="K38" s="165"/>
      <c r="L38" s="166"/>
      <c r="M38" s="167"/>
      <c r="N38" s="165"/>
      <c r="O38" s="166"/>
      <c r="P38" s="166"/>
      <c r="Q38" s="166"/>
      <c r="R38" s="166"/>
      <c r="S38" s="166"/>
      <c r="T38" s="167"/>
      <c r="U38" s="241"/>
      <c r="V38" s="242"/>
      <c r="W38" s="242"/>
      <c r="X38" s="242"/>
      <c r="Y38" s="242"/>
      <c r="Z38" s="242"/>
      <c r="AA38" s="242"/>
      <c r="AB38" s="242"/>
      <c r="AC38" s="242"/>
      <c r="AD38" s="242"/>
      <c r="AE38" s="243"/>
      <c r="AF38" s="68"/>
    </row>
    <row r="39" spans="1:130" ht="18" customHeight="1" x14ac:dyDescent="0.2">
      <c r="A39" s="71">
        <v>14</v>
      </c>
      <c r="B39" s="247"/>
      <c r="C39" s="247"/>
      <c r="D39" s="247"/>
      <c r="E39" s="247"/>
      <c r="F39" s="248"/>
      <c r="G39" s="248"/>
      <c r="H39" s="248"/>
      <c r="I39" s="248"/>
      <c r="J39" s="165"/>
      <c r="K39" s="165"/>
      <c r="L39" s="166"/>
      <c r="M39" s="167"/>
      <c r="N39" s="165"/>
      <c r="O39" s="166"/>
      <c r="P39" s="166"/>
      <c r="Q39" s="166"/>
      <c r="R39" s="166"/>
      <c r="S39" s="166"/>
      <c r="T39" s="167"/>
      <c r="U39" s="241"/>
      <c r="V39" s="242"/>
      <c r="W39" s="242"/>
      <c r="X39" s="242"/>
      <c r="Y39" s="242"/>
      <c r="Z39" s="242"/>
      <c r="AA39" s="242"/>
      <c r="AB39" s="242"/>
      <c r="AC39" s="242"/>
      <c r="AD39" s="242"/>
      <c r="AE39" s="243"/>
      <c r="AF39" s="68"/>
    </row>
    <row r="40" spans="1:130" ht="18" customHeight="1" thickBot="1" x14ac:dyDescent="0.25">
      <c r="A40" s="72">
        <v>15</v>
      </c>
      <c r="B40" s="284"/>
      <c r="C40" s="284"/>
      <c r="D40" s="284"/>
      <c r="E40" s="284"/>
      <c r="F40" s="285"/>
      <c r="G40" s="285"/>
      <c r="H40" s="285"/>
      <c r="I40" s="285"/>
      <c r="J40" s="168"/>
      <c r="K40" s="168"/>
      <c r="L40" s="169"/>
      <c r="M40" s="170"/>
      <c r="N40" s="168"/>
      <c r="O40" s="169"/>
      <c r="P40" s="169"/>
      <c r="Q40" s="169"/>
      <c r="R40" s="169"/>
      <c r="S40" s="169"/>
      <c r="T40" s="170"/>
      <c r="U40" s="244"/>
      <c r="V40" s="245"/>
      <c r="W40" s="245"/>
      <c r="X40" s="245"/>
      <c r="Y40" s="245"/>
      <c r="Z40" s="245"/>
      <c r="AA40" s="245"/>
      <c r="AB40" s="245"/>
      <c r="AC40" s="245"/>
      <c r="AD40" s="245"/>
      <c r="AE40" s="246"/>
    </row>
    <row r="41" spans="1:130" ht="16.5" thickTop="1" thickBot="1" x14ac:dyDescent="0.25">
      <c r="A41" s="73"/>
      <c r="B41" s="286" t="s">
        <v>625</v>
      </c>
      <c r="C41" s="286"/>
      <c r="D41" s="286"/>
      <c r="E41" s="286"/>
      <c r="F41" s="286"/>
      <c r="G41" s="286"/>
      <c r="H41" s="286"/>
      <c r="I41" s="286"/>
      <c r="J41" s="74"/>
      <c r="K41" s="74"/>
      <c r="L41" s="74"/>
      <c r="M41" s="74"/>
      <c r="N41" s="74"/>
      <c r="O41" s="74"/>
      <c r="P41" s="74"/>
      <c r="Q41" s="74"/>
      <c r="R41" s="75"/>
      <c r="S41" s="75"/>
      <c r="T41" s="75"/>
      <c r="U41" s="75"/>
      <c r="V41" s="75"/>
      <c r="W41" s="75"/>
      <c r="X41" s="75"/>
      <c r="Y41" s="70"/>
      <c r="Z41" s="70"/>
      <c r="AA41" s="70"/>
      <c r="AB41" s="70"/>
      <c r="AC41" s="70"/>
      <c r="AD41" s="70"/>
      <c r="AE41" s="70"/>
      <c r="AF41" s="70"/>
    </row>
    <row r="42" spans="1:130" s="88" customFormat="1" ht="30.75" thickBot="1" x14ac:dyDescent="0.25">
      <c r="A42" s="112" t="s">
        <v>624</v>
      </c>
      <c r="B42" s="113" t="s">
        <v>494</v>
      </c>
      <c r="C42" s="114" t="s">
        <v>495</v>
      </c>
      <c r="D42" s="287" t="s">
        <v>496</v>
      </c>
      <c r="E42" s="288"/>
      <c r="F42" s="288"/>
      <c r="G42" s="288"/>
      <c r="H42" s="288"/>
      <c r="I42" s="289"/>
      <c r="J42" s="290" t="s">
        <v>413</v>
      </c>
      <c r="K42" s="291"/>
      <c r="L42" s="115" t="s">
        <v>414</v>
      </c>
      <c r="M42" s="146" t="s">
        <v>494</v>
      </c>
      <c r="N42" s="171" t="s">
        <v>497</v>
      </c>
      <c r="O42" s="172"/>
      <c r="P42" s="172"/>
      <c r="Q42" s="172"/>
      <c r="R42" s="172"/>
      <c r="S42" s="172"/>
      <c r="T42" s="173"/>
      <c r="U42" s="292" t="s">
        <v>414</v>
      </c>
      <c r="V42" s="292"/>
      <c r="W42" s="292"/>
      <c r="X42" s="292"/>
      <c r="Y42" s="292"/>
      <c r="Z42" s="293" t="s">
        <v>498</v>
      </c>
      <c r="AA42" s="293"/>
      <c r="AB42" s="293"/>
      <c r="AC42" s="294"/>
      <c r="AD42" s="294"/>
      <c r="AE42" s="295"/>
      <c r="AF42" s="116"/>
      <c r="BD42" s="88" t="s">
        <v>499</v>
      </c>
      <c r="BJ42" s="117"/>
      <c r="BK42" s="121"/>
      <c r="BL42" s="121"/>
      <c r="BM42" s="121"/>
      <c r="CI42" s="121"/>
      <c r="CJ42" s="121"/>
      <c r="CO42" s="121"/>
      <c r="CP42" s="121"/>
      <c r="DH42" s="121"/>
      <c r="DI42" s="117"/>
      <c r="DJ42" s="117"/>
      <c r="DM42" s="121"/>
      <c r="DN42" s="117"/>
      <c r="DO42" s="117"/>
      <c r="DP42" s="117"/>
      <c r="DQ42" s="117"/>
      <c r="DR42" s="117"/>
      <c r="DS42" s="117"/>
      <c r="DZ42" s="121"/>
    </row>
    <row r="43" spans="1:130" ht="15" customHeight="1" thickTop="1" x14ac:dyDescent="0.25">
      <c r="A43" s="77">
        <v>1</v>
      </c>
      <c r="B43" s="78"/>
      <c r="C43" s="79"/>
      <c r="D43" s="306"/>
      <c r="E43" s="306"/>
      <c r="F43" s="306"/>
      <c r="G43" s="306"/>
      <c r="H43" s="306"/>
      <c r="I43" s="306"/>
      <c r="J43" s="279"/>
      <c r="K43" s="279"/>
      <c r="L43" s="93"/>
      <c r="M43" s="150"/>
      <c r="N43" s="174"/>
      <c r="O43" s="175"/>
      <c r="P43" s="175"/>
      <c r="Q43" s="175"/>
      <c r="R43" s="175"/>
      <c r="S43" s="175"/>
      <c r="T43" s="176"/>
      <c r="U43" s="279"/>
      <c r="V43" s="279"/>
      <c r="W43" s="279"/>
      <c r="X43" s="279"/>
      <c r="Y43" s="279"/>
      <c r="Z43" s="280"/>
      <c r="AA43" s="281"/>
      <c r="AB43" s="281"/>
      <c r="AC43" s="282"/>
      <c r="AD43" s="282"/>
      <c r="AE43" s="283"/>
      <c r="AF43" s="70"/>
      <c r="AT43" s="80"/>
      <c r="AY43" s="81" t="str">
        <f>IF(OR(AND(J43="Basswood",D43="Large Z Frame")),"NonStandard", "Standard" )</f>
        <v>Standard</v>
      </c>
      <c r="AZ43" s="7" t="s">
        <v>157</v>
      </c>
      <c r="BA43" s="7" t="b">
        <v>0</v>
      </c>
      <c r="BD43" s="76" t="b">
        <f>IF(N43='Designer Shutter Data'!$EV$2,'Designer Shutter Data'!$EX$27,IF(N43='Designer Shutter Data'!$EV$3,'Designer Shutter Data'!$EY$27,IF(N43='Designer Shutter Data'!$EV$4,'Designer Shutter Data'!$EX$2,IF(N43='Designer Shutter Data'!$EV$5,'Designer Shutter Data'!$FA$27,IF(N43='Designer Shutter Data'!$EV$6,'Designer Shutter Data'!$FC$27,IF(N43='Designer Shutter Data'!$EV$7,'Designer Shutter Data'!$EY$2,IF(N43='Designer Shutter Data'!$EV$8,'Designer Shutter Data'!$EZ$2,IF(N43='Designer Shutter Data'!$EV$9,'Designer Shutter Data'!$FA$2,IF(N43='Designer Shutter Data'!$EV$10,'Designer Shutter Data'!$FB$2,IF(N43='Designer Shutter Data'!$EV$11,'Designer Shutter Data'!$FB$2,IF(N43='Designer Shutter Data'!$EV$11,'Designer Shutter Data'!$FC$2,IF(N43='Designer Shutter Data'!$EV$12,'Designer Shutter Data'!$FD$2,IF(N43='Designer Shutter Data'!$EV$13,'Designer Shutter Data'!$FE$11,IF(N43='Designer Shutter Data'!$EV$14,'Designer Shutter Data'!$FE$2,IF(N43='Designer Shutter Data'!$EV$15,'Designer Shutter Data'!$FN$27,IF(N43='Designer Shutter Data'!$EV$16,'Designer Shutter Data'!$FO$27,IF(N43='Designer Shutter Data'!$EV$17,'Designer Shutter Data'!$FG$2,IF(N43='Designer Shutter Data'!$EV$18,'Designer Shutter Data'!$FG$2,IF(N43='Designer Shutter Data'!$EV$19,'Designer Shutter Data'!$FA$38)))))))))))))))))))</f>
        <v>0</v>
      </c>
    </row>
    <row r="44" spans="1:130" ht="15" customHeight="1" x14ac:dyDescent="0.25">
      <c r="A44" s="42">
        <v>2</v>
      </c>
      <c r="B44" s="149"/>
      <c r="C44" s="82"/>
      <c r="D44" s="248"/>
      <c r="E44" s="248"/>
      <c r="F44" s="248"/>
      <c r="G44" s="248"/>
      <c r="H44" s="248"/>
      <c r="I44" s="248"/>
      <c r="J44" s="296"/>
      <c r="K44" s="296"/>
      <c r="L44" s="94"/>
      <c r="M44" s="149"/>
      <c r="N44" s="165"/>
      <c r="O44" s="166"/>
      <c r="P44" s="166"/>
      <c r="Q44" s="166"/>
      <c r="R44" s="166"/>
      <c r="S44" s="166"/>
      <c r="T44" s="167"/>
      <c r="U44" s="296"/>
      <c r="V44" s="296"/>
      <c r="W44" s="296"/>
      <c r="X44" s="296"/>
      <c r="Y44" s="296"/>
      <c r="Z44" s="297"/>
      <c r="AA44" s="298"/>
      <c r="AB44" s="298"/>
      <c r="AC44" s="299"/>
      <c r="AD44" s="299"/>
      <c r="AE44" s="300"/>
      <c r="AF44" s="70"/>
      <c r="AT44" s="80"/>
      <c r="AY44" s="81" t="str">
        <f>IF(OR(AND(J44="Basswood",D44="Large Z Frame")),"NonStandard", "Standard" )</f>
        <v>Standard</v>
      </c>
      <c r="AZ44" s="7" t="s">
        <v>157</v>
      </c>
      <c r="BA44" s="7" t="b">
        <v>0</v>
      </c>
      <c r="BD44" s="76" t="b">
        <f>IF(N44='Designer Shutter Data'!$EV$2,'Designer Shutter Data'!$EX$27,IF(N44='Designer Shutter Data'!$EV$3,'Designer Shutter Data'!$EY$27,IF(N44='Designer Shutter Data'!$EV$4,'Designer Shutter Data'!$EX$2,IF(N44='Designer Shutter Data'!$EV$5,'Designer Shutter Data'!$FA$27,IF(N44='Designer Shutter Data'!$EV$6,'Designer Shutter Data'!$FC$27,IF(N44='Designer Shutter Data'!$EV$7,'Designer Shutter Data'!$EY$2,IF(N44='Designer Shutter Data'!$EV$8,'Designer Shutter Data'!$EZ$2,IF(N44='Designer Shutter Data'!$EV$9,'Designer Shutter Data'!$FA$2,IF(N44='Designer Shutter Data'!$EV$10,'Designer Shutter Data'!$FB$2,IF(N44='Designer Shutter Data'!$EV$11,'Designer Shutter Data'!$FB$2,IF(N44='Designer Shutter Data'!$EV$11,'Designer Shutter Data'!$FC$2,IF(N44='Designer Shutter Data'!$EV$12,'Designer Shutter Data'!$FD$2,IF(N44='Designer Shutter Data'!$EV$13,'Designer Shutter Data'!$FE$11,IF(N44='Designer Shutter Data'!$EV$14,'Designer Shutter Data'!$FE$2,IF(N44='Designer Shutter Data'!$EV$15,'Designer Shutter Data'!$FN$27,IF(N44='Designer Shutter Data'!$EV$16,'Designer Shutter Data'!$FO$27,IF(N44='Designer Shutter Data'!$EV$17,'Designer Shutter Data'!$FG$2,IF(N44='Designer Shutter Data'!$EV$18,'Designer Shutter Data'!$FG$2,IF(N44='Designer Shutter Data'!$EV$19,'Designer Shutter Data'!$FA$38)))))))))))))))))))</f>
        <v>0</v>
      </c>
    </row>
    <row r="45" spans="1:130" ht="15" customHeight="1" x14ac:dyDescent="0.25">
      <c r="A45" s="42">
        <v>3</v>
      </c>
      <c r="B45" s="149"/>
      <c r="C45" s="82"/>
      <c r="D45" s="248"/>
      <c r="E45" s="248"/>
      <c r="F45" s="248"/>
      <c r="G45" s="248"/>
      <c r="H45" s="248"/>
      <c r="I45" s="248"/>
      <c r="J45" s="296"/>
      <c r="K45" s="296"/>
      <c r="L45" s="94"/>
      <c r="M45" s="149"/>
      <c r="N45" s="165"/>
      <c r="O45" s="166"/>
      <c r="P45" s="166"/>
      <c r="Q45" s="166"/>
      <c r="R45" s="166"/>
      <c r="S45" s="166"/>
      <c r="T45" s="167"/>
      <c r="U45" s="296"/>
      <c r="V45" s="296"/>
      <c r="W45" s="296"/>
      <c r="X45" s="296"/>
      <c r="Y45" s="296"/>
      <c r="Z45" s="297"/>
      <c r="AA45" s="298"/>
      <c r="AB45" s="298"/>
      <c r="AC45" s="299"/>
      <c r="AD45" s="299"/>
      <c r="AE45" s="300"/>
      <c r="AF45" s="70"/>
      <c r="AT45" s="80"/>
      <c r="AY45" s="81" t="str">
        <f t="shared" ref="AY45:AY52" si="49">IF(OR(AND(J45="Basswood",D45="Large Z Frame")),"NonStandard", "Standard" )</f>
        <v>Standard</v>
      </c>
      <c r="AZ45" s="7" t="s">
        <v>157</v>
      </c>
      <c r="BA45" s="7" t="b">
        <v>0</v>
      </c>
      <c r="BD45" s="76" t="b">
        <f>IF(N45='Designer Shutter Data'!$EV$2,'Designer Shutter Data'!$EX$27,IF(N45='Designer Shutter Data'!$EV$3,'Designer Shutter Data'!$EY$27,IF(N45='Designer Shutter Data'!$EV$4,'Designer Shutter Data'!$EX$2,IF(N45='Designer Shutter Data'!$EV$5,'Designer Shutter Data'!$FA$27,IF(N45='Designer Shutter Data'!$EV$6,'Designer Shutter Data'!$FC$27,IF(N45='Designer Shutter Data'!$EV$7,'Designer Shutter Data'!$EY$2,IF(N45='Designer Shutter Data'!$EV$8,'Designer Shutter Data'!$EZ$2,IF(N45='Designer Shutter Data'!$EV$9,'Designer Shutter Data'!$FA$2,IF(N45='Designer Shutter Data'!$EV$10,'Designer Shutter Data'!$FB$2,IF(N45='Designer Shutter Data'!$EV$11,'Designer Shutter Data'!$FB$2,IF(N45='Designer Shutter Data'!$EV$11,'Designer Shutter Data'!$FC$2,IF(N45='Designer Shutter Data'!$EV$12,'Designer Shutter Data'!$FD$2,IF(N45='Designer Shutter Data'!$EV$13,'Designer Shutter Data'!$FE$11,IF(N45='Designer Shutter Data'!$EV$14,'Designer Shutter Data'!$FE$2,IF(N45='Designer Shutter Data'!$EV$15,'Designer Shutter Data'!$FN$27,IF(N45='Designer Shutter Data'!$EV$16,'Designer Shutter Data'!$FO$27,IF(N45='Designer Shutter Data'!$EV$17,'Designer Shutter Data'!$FG$2,IF(N45='Designer Shutter Data'!$EV$18,'Designer Shutter Data'!$FG$2,IF(N45='Designer Shutter Data'!$EV$19,'Designer Shutter Data'!$FA$38)))))))))))))))))))</f>
        <v>0</v>
      </c>
    </row>
    <row r="46" spans="1:130" ht="15" customHeight="1" x14ac:dyDescent="0.25">
      <c r="A46" s="42">
        <v>4</v>
      </c>
      <c r="B46" s="149"/>
      <c r="C46" s="82"/>
      <c r="D46" s="248"/>
      <c r="E46" s="248"/>
      <c r="F46" s="248"/>
      <c r="G46" s="248"/>
      <c r="H46" s="248"/>
      <c r="I46" s="248"/>
      <c r="J46" s="296"/>
      <c r="K46" s="296"/>
      <c r="L46" s="94"/>
      <c r="M46" s="149"/>
      <c r="N46" s="165"/>
      <c r="O46" s="166"/>
      <c r="P46" s="166"/>
      <c r="Q46" s="166"/>
      <c r="R46" s="166"/>
      <c r="S46" s="166"/>
      <c r="T46" s="167"/>
      <c r="U46" s="296"/>
      <c r="V46" s="296"/>
      <c r="W46" s="296"/>
      <c r="X46" s="296"/>
      <c r="Y46" s="296"/>
      <c r="Z46" s="297"/>
      <c r="AA46" s="298"/>
      <c r="AB46" s="298"/>
      <c r="AC46" s="299"/>
      <c r="AD46" s="299"/>
      <c r="AE46" s="300"/>
      <c r="AF46" s="70"/>
      <c r="AT46" s="80"/>
      <c r="AY46" s="81" t="str">
        <f t="shared" si="49"/>
        <v>Standard</v>
      </c>
      <c r="AZ46" s="7" t="s">
        <v>157</v>
      </c>
      <c r="BA46" s="7" t="b">
        <v>0</v>
      </c>
      <c r="BD46" s="76" t="b">
        <f>IF(N46='Designer Shutter Data'!$EV$2,'Designer Shutter Data'!$EX$27,IF(N46='Designer Shutter Data'!$EV$3,'Designer Shutter Data'!$EY$27,IF(N46='Designer Shutter Data'!$EV$4,'Designer Shutter Data'!$EX$2,IF(N46='Designer Shutter Data'!$EV$5,'Designer Shutter Data'!$FA$27,IF(N46='Designer Shutter Data'!$EV$6,'Designer Shutter Data'!$FC$27,IF(N46='Designer Shutter Data'!$EV$7,'Designer Shutter Data'!$EY$2,IF(N46='Designer Shutter Data'!$EV$8,'Designer Shutter Data'!$EZ$2,IF(N46='Designer Shutter Data'!$EV$9,'Designer Shutter Data'!$FA$2,IF(N46='Designer Shutter Data'!$EV$10,'Designer Shutter Data'!$FB$2,IF(N46='Designer Shutter Data'!$EV$11,'Designer Shutter Data'!$FB$2,IF(N46='Designer Shutter Data'!$EV$11,'Designer Shutter Data'!$FC$2,IF(N46='Designer Shutter Data'!$EV$12,'Designer Shutter Data'!$FD$2,IF(N46='Designer Shutter Data'!$EV$13,'Designer Shutter Data'!$FE$11,IF(N46='Designer Shutter Data'!$EV$14,'Designer Shutter Data'!$FE$2,IF(N46='Designer Shutter Data'!$EV$15,'Designer Shutter Data'!$FN$27,IF(N46='Designer Shutter Data'!$EV$16,'Designer Shutter Data'!$FO$27,IF(N46='Designer Shutter Data'!$EV$17,'Designer Shutter Data'!$FG$2,IF(N46='Designer Shutter Data'!$EV$18,'Designer Shutter Data'!$FG$2,IF(N46='Designer Shutter Data'!$EV$19,'Designer Shutter Data'!$FA$38)))))))))))))))))))</f>
        <v>0</v>
      </c>
    </row>
    <row r="47" spans="1:130" ht="15" customHeight="1" x14ac:dyDescent="0.25">
      <c r="A47" s="42">
        <v>5</v>
      </c>
      <c r="B47" s="149"/>
      <c r="C47" s="82"/>
      <c r="D47" s="248"/>
      <c r="E47" s="248"/>
      <c r="F47" s="248"/>
      <c r="G47" s="248"/>
      <c r="H47" s="248"/>
      <c r="I47" s="248"/>
      <c r="J47" s="296"/>
      <c r="K47" s="296"/>
      <c r="L47" s="94"/>
      <c r="M47" s="149"/>
      <c r="N47" s="165"/>
      <c r="O47" s="166"/>
      <c r="P47" s="166"/>
      <c r="Q47" s="166"/>
      <c r="R47" s="166"/>
      <c r="S47" s="166"/>
      <c r="T47" s="167"/>
      <c r="U47" s="296"/>
      <c r="V47" s="296"/>
      <c r="W47" s="296"/>
      <c r="X47" s="296"/>
      <c r="Y47" s="296"/>
      <c r="Z47" s="297"/>
      <c r="AA47" s="298"/>
      <c r="AB47" s="298"/>
      <c r="AC47" s="299"/>
      <c r="AD47" s="299"/>
      <c r="AE47" s="300"/>
      <c r="AF47" s="70"/>
      <c r="AT47" s="80"/>
      <c r="AY47" s="81" t="str">
        <f t="shared" si="49"/>
        <v>Standard</v>
      </c>
      <c r="AZ47" s="7" t="s">
        <v>157</v>
      </c>
      <c r="BA47" s="7" t="b">
        <v>0</v>
      </c>
      <c r="BD47" s="76" t="b">
        <f>IF(N47='Designer Shutter Data'!$EV$2,'Designer Shutter Data'!$EX$27,IF(N47='Designer Shutter Data'!$EV$3,'Designer Shutter Data'!$EY$27,IF(N47='Designer Shutter Data'!$EV$4,'Designer Shutter Data'!$EX$2,IF(N47='Designer Shutter Data'!$EV$5,'Designer Shutter Data'!$FA$27,IF(N47='Designer Shutter Data'!$EV$6,'Designer Shutter Data'!$FC$27,IF(N47='Designer Shutter Data'!$EV$7,'Designer Shutter Data'!$EY$2,IF(N47='Designer Shutter Data'!$EV$8,'Designer Shutter Data'!$EZ$2,IF(N47='Designer Shutter Data'!$EV$9,'Designer Shutter Data'!$FA$2,IF(N47='Designer Shutter Data'!$EV$10,'Designer Shutter Data'!$FB$2,IF(N47='Designer Shutter Data'!$EV$11,'Designer Shutter Data'!$FB$2,IF(N47='Designer Shutter Data'!$EV$11,'Designer Shutter Data'!$FC$2,IF(N47='Designer Shutter Data'!$EV$12,'Designer Shutter Data'!$FD$2,IF(N47='Designer Shutter Data'!$EV$13,'Designer Shutter Data'!$FE$11,IF(N47='Designer Shutter Data'!$EV$14,'Designer Shutter Data'!$FE$2,IF(N47='Designer Shutter Data'!$EV$15,'Designer Shutter Data'!$FN$27,IF(N47='Designer Shutter Data'!$EV$16,'Designer Shutter Data'!$FO$27,IF(N47='Designer Shutter Data'!$EV$17,'Designer Shutter Data'!$FG$2,IF(N47='Designer Shutter Data'!$EV$18,'Designer Shutter Data'!$FG$2,IF(N47='Designer Shutter Data'!$EV$19,'Designer Shutter Data'!$FA$38)))))))))))))))))))</f>
        <v>0</v>
      </c>
    </row>
    <row r="48" spans="1:130" ht="15" customHeight="1" x14ac:dyDescent="0.25">
      <c r="A48" s="42">
        <v>6</v>
      </c>
      <c r="B48" s="149"/>
      <c r="C48" s="82"/>
      <c r="D48" s="248"/>
      <c r="E48" s="248"/>
      <c r="F48" s="248"/>
      <c r="G48" s="248"/>
      <c r="H48" s="248"/>
      <c r="I48" s="248"/>
      <c r="J48" s="296"/>
      <c r="K48" s="296"/>
      <c r="L48" s="94"/>
      <c r="M48" s="149"/>
      <c r="N48" s="165"/>
      <c r="O48" s="166"/>
      <c r="P48" s="166"/>
      <c r="Q48" s="166"/>
      <c r="R48" s="166"/>
      <c r="S48" s="166"/>
      <c r="T48" s="167"/>
      <c r="U48" s="296"/>
      <c r="V48" s="296"/>
      <c r="W48" s="296"/>
      <c r="X48" s="296"/>
      <c r="Y48" s="296"/>
      <c r="Z48" s="297"/>
      <c r="AA48" s="298"/>
      <c r="AB48" s="298"/>
      <c r="AC48" s="299"/>
      <c r="AD48" s="299"/>
      <c r="AE48" s="300"/>
      <c r="AF48" s="70"/>
      <c r="AT48" s="80"/>
      <c r="AY48" s="81" t="str">
        <f t="shared" si="49"/>
        <v>Standard</v>
      </c>
      <c r="AZ48" s="7" t="s">
        <v>157</v>
      </c>
      <c r="BA48" s="7" t="b">
        <v>0</v>
      </c>
      <c r="BD48" s="76" t="b">
        <f>IF(N48='Designer Shutter Data'!$EV$2,'Designer Shutter Data'!$EX$27,IF(N48='Designer Shutter Data'!$EV$3,'Designer Shutter Data'!$EY$27,IF(N48='Designer Shutter Data'!$EV$4,'Designer Shutter Data'!$EX$2,IF(N48='Designer Shutter Data'!$EV$5,'Designer Shutter Data'!$FA$27,IF(N48='Designer Shutter Data'!$EV$6,'Designer Shutter Data'!$FC$27,IF(N48='Designer Shutter Data'!$EV$7,'Designer Shutter Data'!$EY$2,IF(N48='Designer Shutter Data'!$EV$8,'Designer Shutter Data'!$EZ$2,IF(N48='Designer Shutter Data'!$EV$9,'Designer Shutter Data'!$FA$2,IF(N48='Designer Shutter Data'!$EV$10,'Designer Shutter Data'!$FB$2,IF(N48='Designer Shutter Data'!$EV$11,'Designer Shutter Data'!$FB$2,IF(N48='Designer Shutter Data'!$EV$11,'Designer Shutter Data'!$FC$2,IF(N48='Designer Shutter Data'!$EV$12,'Designer Shutter Data'!$FD$2,IF(N48='Designer Shutter Data'!$EV$13,'Designer Shutter Data'!$FE$11,IF(N48='Designer Shutter Data'!$EV$14,'Designer Shutter Data'!$FE$2,IF(N48='Designer Shutter Data'!$EV$15,'Designer Shutter Data'!$FN$27,IF(N48='Designer Shutter Data'!$EV$16,'Designer Shutter Data'!$FO$27,IF(N48='Designer Shutter Data'!$EV$17,'Designer Shutter Data'!$FG$2,IF(N48='Designer Shutter Data'!$EV$18,'Designer Shutter Data'!$FG$2,IF(N48='Designer Shutter Data'!$EV$19,'Designer Shutter Data'!$FA$38)))))))))))))))))))</f>
        <v>0</v>
      </c>
    </row>
    <row r="49" spans="1:56" ht="15" customHeight="1" x14ac:dyDescent="0.25">
      <c r="A49" s="42">
        <v>7</v>
      </c>
      <c r="B49" s="149"/>
      <c r="C49" s="82"/>
      <c r="D49" s="248"/>
      <c r="E49" s="248"/>
      <c r="F49" s="248"/>
      <c r="G49" s="248"/>
      <c r="H49" s="248"/>
      <c r="I49" s="248"/>
      <c r="J49" s="296"/>
      <c r="K49" s="296"/>
      <c r="L49" s="94"/>
      <c r="M49" s="149"/>
      <c r="N49" s="165"/>
      <c r="O49" s="166"/>
      <c r="P49" s="166"/>
      <c r="Q49" s="166"/>
      <c r="R49" s="166"/>
      <c r="S49" s="166"/>
      <c r="T49" s="167"/>
      <c r="U49" s="296"/>
      <c r="V49" s="296"/>
      <c r="W49" s="296"/>
      <c r="X49" s="296"/>
      <c r="Y49" s="296"/>
      <c r="Z49" s="297"/>
      <c r="AA49" s="298"/>
      <c r="AB49" s="298"/>
      <c r="AC49" s="299"/>
      <c r="AD49" s="299"/>
      <c r="AE49" s="300"/>
      <c r="AF49" s="70"/>
      <c r="AT49" s="80"/>
      <c r="AY49" s="81" t="str">
        <f t="shared" si="49"/>
        <v>Standard</v>
      </c>
      <c r="AZ49" s="7" t="s">
        <v>157</v>
      </c>
      <c r="BA49" s="7" t="b">
        <v>0</v>
      </c>
      <c r="BD49" s="76" t="b">
        <f>IF(N49='Designer Shutter Data'!$EV$2,'Designer Shutter Data'!$EX$27,IF(N49='Designer Shutter Data'!$EV$3,'Designer Shutter Data'!$EY$27,IF(N49='Designer Shutter Data'!$EV$4,'Designer Shutter Data'!$EX$2,IF(N49='Designer Shutter Data'!$EV$5,'Designer Shutter Data'!$FA$27,IF(N49='Designer Shutter Data'!$EV$6,'Designer Shutter Data'!$FC$27,IF(N49='Designer Shutter Data'!$EV$7,'Designer Shutter Data'!$EY$2,IF(N49='Designer Shutter Data'!$EV$8,'Designer Shutter Data'!$EZ$2,IF(N49='Designer Shutter Data'!$EV$9,'Designer Shutter Data'!$FA$2,IF(N49='Designer Shutter Data'!$EV$10,'Designer Shutter Data'!$FB$2,IF(N49='Designer Shutter Data'!$EV$11,'Designer Shutter Data'!$FB$2,IF(N49='Designer Shutter Data'!$EV$11,'Designer Shutter Data'!$FC$2,IF(N49='Designer Shutter Data'!$EV$12,'Designer Shutter Data'!$FD$2,IF(N49='Designer Shutter Data'!$EV$13,'Designer Shutter Data'!$FE$11,IF(N49='Designer Shutter Data'!$EV$14,'Designer Shutter Data'!$FE$2,IF(N49='Designer Shutter Data'!$EV$15,'Designer Shutter Data'!$FN$27,IF(N49='Designer Shutter Data'!$EV$16,'Designer Shutter Data'!$FO$27,IF(N49='Designer Shutter Data'!$EV$17,'Designer Shutter Data'!$FG$2,IF(N49='Designer Shutter Data'!$EV$18,'Designer Shutter Data'!$FG$2,IF(N49='Designer Shutter Data'!$EV$19,'Designer Shutter Data'!$FA$38)))))))))))))))))))</f>
        <v>0</v>
      </c>
    </row>
    <row r="50" spans="1:56" ht="15" customHeight="1" x14ac:dyDescent="0.25">
      <c r="A50" s="42">
        <v>8</v>
      </c>
      <c r="B50" s="149"/>
      <c r="C50" s="82"/>
      <c r="D50" s="248"/>
      <c r="E50" s="248"/>
      <c r="F50" s="248"/>
      <c r="G50" s="248"/>
      <c r="H50" s="248"/>
      <c r="I50" s="248"/>
      <c r="J50" s="296"/>
      <c r="K50" s="296"/>
      <c r="L50" s="94"/>
      <c r="M50" s="149"/>
      <c r="N50" s="165"/>
      <c r="O50" s="166"/>
      <c r="P50" s="166"/>
      <c r="Q50" s="166"/>
      <c r="R50" s="166"/>
      <c r="S50" s="166"/>
      <c r="T50" s="167"/>
      <c r="U50" s="296"/>
      <c r="V50" s="296"/>
      <c r="W50" s="296"/>
      <c r="X50" s="296"/>
      <c r="Y50" s="296"/>
      <c r="Z50" s="297"/>
      <c r="AA50" s="298"/>
      <c r="AB50" s="298"/>
      <c r="AC50" s="299"/>
      <c r="AD50" s="299"/>
      <c r="AE50" s="300"/>
      <c r="AF50" s="70"/>
      <c r="AT50" s="80"/>
      <c r="AY50" s="81" t="str">
        <f t="shared" si="49"/>
        <v>Standard</v>
      </c>
      <c r="AZ50" s="7" t="s">
        <v>157</v>
      </c>
      <c r="BA50" s="7" t="b">
        <v>0</v>
      </c>
      <c r="BD50" s="76" t="b">
        <f>IF(N50='Designer Shutter Data'!$EV$2,'Designer Shutter Data'!$EX$27,IF(N50='Designer Shutter Data'!$EV$3,'Designer Shutter Data'!$EY$27,IF(N50='Designer Shutter Data'!$EV$4,'Designer Shutter Data'!$EX$2,IF(N50='Designer Shutter Data'!$EV$5,'Designer Shutter Data'!$FA$27,IF(N50='Designer Shutter Data'!$EV$6,'Designer Shutter Data'!$FC$27,IF(N50='Designer Shutter Data'!$EV$7,'Designer Shutter Data'!$EY$2,IF(N50='Designer Shutter Data'!$EV$8,'Designer Shutter Data'!$EZ$2,IF(N50='Designer Shutter Data'!$EV$9,'Designer Shutter Data'!$FA$2,IF(N50='Designer Shutter Data'!$EV$10,'Designer Shutter Data'!$FB$2,IF(N50='Designer Shutter Data'!$EV$11,'Designer Shutter Data'!$FB$2,IF(N50='Designer Shutter Data'!$EV$11,'Designer Shutter Data'!$FC$2,IF(N50='Designer Shutter Data'!$EV$12,'Designer Shutter Data'!$FD$2,IF(N50='Designer Shutter Data'!$EV$13,'Designer Shutter Data'!$FE$11,IF(N50='Designer Shutter Data'!$EV$14,'Designer Shutter Data'!$FE$2,IF(N50='Designer Shutter Data'!$EV$15,'Designer Shutter Data'!$FN$27,IF(N50='Designer Shutter Data'!$EV$16,'Designer Shutter Data'!$FO$27,IF(N50='Designer Shutter Data'!$EV$17,'Designer Shutter Data'!$FG$2,IF(N50='Designer Shutter Data'!$EV$18,'Designer Shutter Data'!$FG$2,IF(N50='Designer Shutter Data'!$EV$19,'Designer Shutter Data'!$FA$38)))))))))))))))))))</f>
        <v>0</v>
      </c>
    </row>
    <row r="51" spans="1:56" ht="15" customHeight="1" x14ac:dyDescent="0.25">
      <c r="A51" s="42">
        <v>9</v>
      </c>
      <c r="B51" s="149"/>
      <c r="C51" s="82"/>
      <c r="D51" s="248"/>
      <c r="E51" s="248"/>
      <c r="F51" s="248"/>
      <c r="G51" s="248"/>
      <c r="H51" s="248"/>
      <c r="I51" s="248"/>
      <c r="J51" s="296"/>
      <c r="K51" s="296"/>
      <c r="L51" s="94"/>
      <c r="M51" s="149"/>
      <c r="N51" s="165"/>
      <c r="O51" s="166"/>
      <c r="P51" s="166"/>
      <c r="Q51" s="166"/>
      <c r="R51" s="166"/>
      <c r="S51" s="166"/>
      <c r="T51" s="167"/>
      <c r="U51" s="296"/>
      <c r="V51" s="296"/>
      <c r="W51" s="296"/>
      <c r="X51" s="296"/>
      <c r="Y51" s="296"/>
      <c r="Z51" s="297"/>
      <c r="AA51" s="298"/>
      <c r="AB51" s="298"/>
      <c r="AC51" s="299"/>
      <c r="AD51" s="299"/>
      <c r="AE51" s="300"/>
      <c r="AF51" s="70"/>
      <c r="AT51" s="80"/>
      <c r="AY51" s="81" t="str">
        <f t="shared" si="49"/>
        <v>Standard</v>
      </c>
      <c r="AZ51" s="7" t="s">
        <v>157</v>
      </c>
      <c r="BA51" s="7" t="b">
        <v>0</v>
      </c>
      <c r="BD51" s="76" t="b">
        <f>IF(N51='Designer Shutter Data'!$EV$2,'Designer Shutter Data'!$EX$27,IF(N51='Designer Shutter Data'!$EV$3,'Designer Shutter Data'!$EY$27,IF(N51='Designer Shutter Data'!$EV$4,'Designer Shutter Data'!$EX$2,IF(N51='Designer Shutter Data'!$EV$5,'Designer Shutter Data'!$FA$27,IF(N51='Designer Shutter Data'!$EV$6,'Designer Shutter Data'!$FC$27,IF(N51='Designer Shutter Data'!$EV$7,'Designer Shutter Data'!$EY$2,IF(N51='Designer Shutter Data'!$EV$8,'Designer Shutter Data'!$EZ$2,IF(N51='Designer Shutter Data'!$EV$9,'Designer Shutter Data'!$FA$2,IF(N51='Designer Shutter Data'!$EV$10,'Designer Shutter Data'!$FB$2,IF(N51='Designer Shutter Data'!$EV$11,'Designer Shutter Data'!$FB$2,IF(N51='Designer Shutter Data'!$EV$11,'Designer Shutter Data'!$FC$2,IF(N51='Designer Shutter Data'!$EV$12,'Designer Shutter Data'!$FD$2,IF(N51='Designer Shutter Data'!$EV$13,'Designer Shutter Data'!$FE$11,IF(N51='Designer Shutter Data'!$EV$14,'Designer Shutter Data'!$FE$2,IF(N51='Designer Shutter Data'!$EV$15,'Designer Shutter Data'!$FN$27,IF(N51='Designer Shutter Data'!$EV$16,'Designer Shutter Data'!$FO$27,IF(N51='Designer Shutter Data'!$EV$17,'Designer Shutter Data'!$FG$2,IF(N51='Designer Shutter Data'!$EV$18,'Designer Shutter Data'!$FG$2,IF(N51='Designer Shutter Data'!$EV$19,'Designer Shutter Data'!$FA$38)))))))))))))))))))</f>
        <v>0</v>
      </c>
    </row>
    <row r="52" spans="1:56" ht="15" customHeight="1" thickBot="1" x14ac:dyDescent="0.3">
      <c r="A52" s="83">
        <v>10</v>
      </c>
      <c r="B52" s="151"/>
      <c r="C52" s="84"/>
      <c r="D52" s="285"/>
      <c r="E52" s="285"/>
      <c r="F52" s="285"/>
      <c r="G52" s="285"/>
      <c r="H52" s="285"/>
      <c r="I52" s="285"/>
      <c r="J52" s="301"/>
      <c r="K52" s="301"/>
      <c r="L52" s="95"/>
      <c r="M52" s="151"/>
      <c r="N52" s="168"/>
      <c r="O52" s="169"/>
      <c r="P52" s="169"/>
      <c r="Q52" s="169"/>
      <c r="R52" s="169"/>
      <c r="S52" s="169"/>
      <c r="T52" s="170"/>
      <c r="U52" s="301"/>
      <c r="V52" s="301"/>
      <c r="W52" s="301"/>
      <c r="X52" s="301"/>
      <c r="Y52" s="301"/>
      <c r="Z52" s="302"/>
      <c r="AA52" s="303"/>
      <c r="AB52" s="303"/>
      <c r="AC52" s="304"/>
      <c r="AD52" s="304"/>
      <c r="AE52" s="305"/>
      <c r="AF52" s="70"/>
      <c r="AT52" s="80"/>
      <c r="AY52" s="81" t="str">
        <f t="shared" si="49"/>
        <v>Standard</v>
      </c>
      <c r="AZ52" s="7" t="s">
        <v>157</v>
      </c>
      <c r="BA52" s="7" t="b">
        <v>0</v>
      </c>
      <c r="BD52" s="76" t="b">
        <f>IF(N52='Designer Shutter Data'!$EV$2,'Designer Shutter Data'!$EX$27,IF(N52='Designer Shutter Data'!$EV$3,'Designer Shutter Data'!$EY$27,IF(N52='Designer Shutter Data'!$EV$4,'Designer Shutter Data'!$EX$2,IF(N52='Designer Shutter Data'!$EV$5,'Designer Shutter Data'!$FA$27,IF(N52='Designer Shutter Data'!$EV$6,'Designer Shutter Data'!$FC$27,IF(N52='Designer Shutter Data'!$EV$7,'Designer Shutter Data'!$EY$2,IF(N52='Designer Shutter Data'!$EV$8,'Designer Shutter Data'!$EZ$2,IF(N52='Designer Shutter Data'!$EV$9,'Designer Shutter Data'!$FA$2,IF(N52='Designer Shutter Data'!$EV$10,'Designer Shutter Data'!$FB$2,IF(N52='Designer Shutter Data'!$EV$11,'Designer Shutter Data'!$FB$2,IF(N52='Designer Shutter Data'!$EV$11,'Designer Shutter Data'!$FC$2,IF(N52='Designer Shutter Data'!$EV$12,'Designer Shutter Data'!$FD$2,IF(N52='Designer Shutter Data'!$EV$13,'Designer Shutter Data'!$FE$11,IF(N52='Designer Shutter Data'!$EV$14,'Designer Shutter Data'!$FE$2,IF(N52='Designer Shutter Data'!$EV$15,'Designer Shutter Data'!$FN$27,IF(N52='Designer Shutter Data'!$EV$16,'Designer Shutter Data'!$FO$27,IF(N52='Designer Shutter Data'!$EV$17,'Designer Shutter Data'!$FG$2,IF(N52='Designer Shutter Data'!$EV$18,'Designer Shutter Data'!$FG$2,IF(N52='Designer Shutter Data'!$EV$19,'Designer Shutter Data'!$FA$38)))))))))))))))))))</f>
        <v>0</v>
      </c>
    </row>
    <row r="53" spans="1:56" ht="15.75" thickTop="1" x14ac:dyDescent="0.2"/>
  </sheetData>
  <sheetProtection algorithmName="SHA-512" hashValue="ILkZH9AhNzZrpdjNjLfi1vYYJNWGU4ESROb989kw8ffG2beignKk8/+//gJ6hl1HJmILzwaI7QKbhNq11ptVJg==" saltValue="QAajd95KvrKe0lQPfQmxGA==" spinCount="100000" sheet="1" objects="1" scenarios="1"/>
  <mergeCells count="182">
    <mergeCell ref="A1:F2"/>
    <mergeCell ref="G1:J2"/>
    <mergeCell ref="M1:Z1"/>
    <mergeCell ref="M2:Z2"/>
    <mergeCell ref="AB2:AC2"/>
    <mergeCell ref="AD2:AE2"/>
    <mergeCell ref="A3:E3"/>
    <mergeCell ref="F3:J3"/>
    <mergeCell ref="M3:Z3"/>
    <mergeCell ref="AB3:AC3"/>
    <mergeCell ref="AD3:AE3"/>
    <mergeCell ref="A4:E5"/>
    <mergeCell ref="F4:J5"/>
    <mergeCell ref="M4:Z4"/>
    <mergeCell ref="AB4:AC4"/>
    <mergeCell ref="AD4:AE4"/>
    <mergeCell ref="M5:Z5"/>
    <mergeCell ref="AB5:AC5"/>
    <mergeCell ref="AD5:AE5"/>
    <mergeCell ref="A6:J6"/>
    <mergeCell ref="M6:Z6"/>
    <mergeCell ref="AB6:AC7"/>
    <mergeCell ref="AD6:AE7"/>
    <mergeCell ref="B7:J7"/>
    <mergeCell ref="L7:V7"/>
    <mergeCell ref="W7:X7"/>
    <mergeCell ref="H11:I11"/>
    <mergeCell ref="P11:Q11"/>
    <mergeCell ref="H12:I12"/>
    <mergeCell ref="P12:Q12"/>
    <mergeCell ref="H13:I13"/>
    <mergeCell ref="P13:Q13"/>
    <mergeCell ref="Y7:AA7"/>
    <mergeCell ref="H8:I8"/>
    <mergeCell ref="P8:Q8"/>
    <mergeCell ref="H9:I9"/>
    <mergeCell ref="P9:Q9"/>
    <mergeCell ref="H10:I10"/>
    <mergeCell ref="P10:Q10"/>
    <mergeCell ref="H17:I17"/>
    <mergeCell ref="P17:Q17"/>
    <mergeCell ref="H18:I18"/>
    <mergeCell ref="P18:Q18"/>
    <mergeCell ref="H19:I19"/>
    <mergeCell ref="P19:Q19"/>
    <mergeCell ref="H14:I14"/>
    <mergeCell ref="P14:Q14"/>
    <mergeCell ref="H15:I15"/>
    <mergeCell ref="P15:Q15"/>
    <mergeCell ref="H16:I16"/>
    <mergeCell ref="P16:Q16"/>
    <mergeCell ref="H23:I23"/>
    <mergeCell ref="P23:Q23"/>
    <mergeCell ref="A24:B24"/>
    <mergeCell ref="B25:E25"/>
    <mergeCell ref="F25:J25"/>
    <mergeCell ref="K25:M25"/>
    <mergeCell ref="N25:T25"/>
    <mergeCell ref="H20:I20"/>
    <mergeCell ref="P20:Q20"/>
    <mergeCell ref="H21:I21"/>
    <mergeCell ref="P21:Q21"/>
    <mergeCell ref="H22:I22"/>
    <mergeCell ref="P22:Q22"/>
    <mergeCell ref="U25:AE25"/>
    <mergeCell ref="B26:E26"/>
    <mergeCell ref="F26:J26"/>
    <mergeCell ref="K26:M26"/>
    <mergeCell ref="N26:T26"/>
    <mergeCell ref="U26:AE40"/>
    <mergeCell ref="B27:E27"/>
    <mergeCell ref="F27:J27"/>
    <mergeCell ref="K27:M27"/>
    <mergeCell ref="N27:T27"/>
    <mergeCell ref="B30:E30"/>
    <mergeCell ref="F30:J30"/>
    <mergeCell ref="K30:M30"/>
    <mergeCell ref="N30:T30"/>
    <mergeCell ref="B31:E31"/>
    <mergeCell ref="F31:J31"/>
    <mergeCell ref="K31:M31"/>
    <mergeCell ref="N31:T31"/>
    <mergeCell ref="B28:E28"/>
    <mergeCell ref="F28:J28"/>
    <mergeCell ref="K28:M28"/>
    <mergeCell ref="N28:T28"/>
    <mergeCell ref="B29:E29"/>
    <mergeCell ref="F29:J29"/>
    <mergeCell ref="K29:M29"/>
    <mergeCell ref="N29:T29"/>
    <mergeCell ref="B34:E34"/>
    <mergeCell ref="F34:J34"/>
    <mergeCell ref="K34:M34"/>
    <mergeCell ref="N34:T34"/>
    <mergeCell ref="B35:E35"/>
    <mergeCell ref="F35:J35"/>
    <mergeCell ref="K35:M35"/>
    <mergeCell ref="N35:T35"/>
    <mergeCell ref="B32:E32"/>
    <mergeCell ref="F32:J32"/>
    <mergeCell ref="K32:M32"/>
    <mergeCell ref="N32:T32"/>
    <mergeCell ref="B33:E33"/>
    <mergeCell ref="F33:J33"/>
    <mergeCell ref="K33:M33"/>
    <mergeCell ref="N33:T33"/>
    <mergeCell ref="B38:E38"/>
    <mergeCell ref="F38:J38"/>
    <mergeCell ref="K38:M38"/>
    <mergeCell ref="N38:T38"/>
    <mergeCell ref="B39:E39"/>
    <mergeCell ref="F39:J39"/>
    <mergeCell ref="K39:M39"/>
    <mergeCell ref="N39:T39"/>
    <mergeCell ref="B36:E36"/>
    <mergeCell ref="F36:J36"/>
    <mergeCell ref="K36:M36"/>
    <mergeCell ref="N36:T36"/>
    <mergeCell ref="B37:E37"/>
    <mergeCell ref="F37:J37"/>
    <mergeCell ref="K37:M37"/>
    <mergeCell ref="N37:T37"/>
    <mergeCell ref="U42:Y42"/>
    <mergeCell ref="Z42:AE42"/>
    <mergeCell ref="D43:I43"/>
    <mergeCell ref="J43:K43"/>
    <mergeCell ref="N43:T43"/>
    <mergeCell ref="U43:Y43"/>
    <mergeCell ref="Z43:AE43"/>
    <mergeCell ref="B40:E40"/>
    <mergeCell ref="F40:J40"/>
    <mergeCell ref="K40:M40"/>
    <mergeCell ref="N40:T40"/>
    <mergeCell ref="B41:I41"/>
    <mergeCell ref="D42:I42"/>
    <mergeCell ref="J42:K42"/>
    <mergeCell ref="N42:T42"/>
    <mergeCell ref="D44:I44"/>
    <mergeCell ref="J44:K44"/>
    <mergeCell ref="N44:T44"/>
    <mergeCell ref="U44:Y44"/>
    <mergeCell ref="Z44:AE44"/>
    <mergeCell ref="D45:I45"/>
    <mergeCell ref="J45:K45"/>
    <mergeCell ref="N45:T45"/>
    <mergeCell ref="U45:Y45"/>
    <mergeCell ref="Z45:AE45"/>
    <mergeCell ref="D46:I46"/>
    <mergeCell ref="J46:K46"/>
    <mergeCell ref="N46:T46"/>
    <mergeCell ref="U46:Y46"/>
    <mergeCell ref="Z46:AE46"/>
    <mergeCell ref="D47:I47"/>
    <mergeCell ref="J47:K47"/>
    <mergeCell ref="N47:T47"/>
    <mergeCell ref="U47:Y47"/>
    <mergeCell ref="Z47:AE47"/>
    <mergeCell ref="D48:I48"/>
    <mergeCell ref="J48:K48"/>
    <mergeCell ref="N48:T48"/>
    <mergeCell ref="U48:Y48"/>
    <mergeCell ref="Z48:AE48"/>
    <mergeCell ref="D49:I49"/>
    <mergeCell ref="J49:K49"/>
    <mergeCell ref="N49:T49"/>
    <mergeCell ref="U49:Y49"/>
    <mergeCell ref="Z49:AE49"/>
    <mergeCell ref="D52:I52"/>
    <mergeCell ref="J52:K52"/>
    <mergeCell ref="N52:T52"/>
    <mergeCell ref="U52:Y52"/>
    <mergeCell ref="Z52:AE52"/>
    <mergeCell ref="D50:I50"/>
    <mergeCell ref="J50:K50"/>
    <mergeCell ref="N50:T50"/>
    <mergeCell ref="U50:Y50"/>
    <mergeCell ref="Z50:AE50"/>
    <mergeCell ref="D51:I51"/>
    <mergeCell ref="J51:K51"/>
    <mergeCell ref="N51:T51"/>
    <mergeCell ref="U51:Y51"/>
    <mergeCell ref="Z51:AE51"/>
  </mergeCells>
  <conditionalFormatting sqref="B44:C52">
    <cfRule type="expression" dxfId="43" priority="24">
      <formula>BQ27="Yes"</formula>
    </cfRule>
    <cfRule type="expression" dxfId="42" priority="25">
      <formula>BP27="Yes"</formula>
    </cfRule>
  </conditionalFormatting>
  <conditionalFormatting sqref="C9:C23">
    <cfRule type="expression" dxfId="41" priority="8">
      <formula>AW9="Yes"</formula>
    </cfRule>
  </conditionalFormatting>
  <conditionalFormatting sqref="C43">
    <cfRule type="expression" dxfId="40" priority="22">
      <formula>BR26="Yes"</formula>
    </cfRule>
    <cfRule type="expression" dxfId="39" priority="23">
      <formula>BQ26="Yes"</formula>
    </cfRule>
  </conditionalFormatting>
  <conditionalFormatting sqref="D9:D23">
    <cfRule type="expression" dxfId="38" priority="31">
      <formula>BD9="Yes"</formula>
    </cfRule>
  </conditionalFormatting>
  <conditionalFormatting sqref="D43:D52">
    <cfRule type="expression" dxfId="37" priority="20">
      <formula>BS26="Yes"</formula>
    </cfRule>
    <cfRule type="expression" dxfId="36" priority="21">
      <formula>BR26="Yes"</formula>
    </cfRule>
  </conditionalFormatting>
  <conditionalFormatting sqref="F9:F23">
    <cfRule type="expression" dxfId="35" priority="19">
      <formula>CJ9="Failed"</formula>
    </cfRule>
  </conditionalFormatting>
  <conditionalFormatting sqref="G9:G23">
    <cfRule type="containsText" dxfId="34" priority="1" operator="containsText" text="Luvre">
      <formula>NOT(ISERROR(SEARCH("Luvre",G9)))</formula>
    </cfRule>
    <cfRule type="containsText" dxfId="33" priority="2" operator="containsText" text="Night">
      <formula>NOT(ISERROR(SEARCH("Night",G9)))</formula>
    </cfRule>
    <cfRule type="containsText" dxfId="32" priority="4" operator="containsText" text="Plus">
      <formula>NOT(ISERROR(SEARCH("Plus",G9)))</formula>
    </cfRule>
  </conditionalFormatting>
  <conditionalFormatting sqref="H9:I23">
    <cfRule type="expression" dxfId="31" priority="29">
      <formula>CB9="No"</formula>
    </cfRule>
  </conditionalFormatting>
  <conditionalFormatting sqref="J9:J23">
    <cfRule type="expression" dxfId="30" priority="28">
      <formula>CC9="Yes"</formula>
    </cfRule>
  </conditionalFormatting>
  <conditionalFormatting sqref="K9:K23">
    <cfRule type="expression" dxfId="29" priority="13" stopIfTrue="1">
      <formula>AZ9="Yes"</formula>
    </cfRule>
  </conditionalFormatting>
  <conditionalFormatting sqref="M6:N6">
    <cfRule type="notContainsBlanks" dxfId="28" priority="18">
      <formula>LEN(TRIM(M6))&gt;0</formula>
    </cfRule>
  </conditionalFormatting>
  <conditionalFormatting sqref="O9:O23">
    <cfRule type="expression" dxfId="27" priority="6">
      <formula>EH9="ERROR"</formula>
    </cfRule>
    <cfRule type="expression" dxfId="26" priority="10">
      <formula>DJ9="Layout Code &amp; T Post Quantity Issue"</formula>
    </cfRule>
    <cfRule type="expression" dxfId="25" priority="11">
      <formula>CJ9="Failed"</formula>
    </cfRule>
  </conditionalFormatting>
  <conditionalFormatting sqref="P9:Q23">
    <cfRule type="expression" dxfId="24" priority="26">
      <formula>CG9="Error"</formula>
    </cfRule>
  </conditionalFormatting>
  <conditionalFormatting sqref="U9:U23">
    <cfRule type="expression" dxfId="23" priority="32">
      <formula>EC9="Highlight"</formula>
    </cfRule>
  </conditionalFormatting>
  <conditionalFormatting sqref="V9:V23">
    <cfRule type="expression" dxfId="22" priority="12">
      <formula>AX9="Required"</formula>
    </cfRule>
  </conditionalFormatting>
  <conditionalFormatting sqref="W9:W23">
    <cfRule type="expression" dxfId="21" priority="7">
      <formula>EE9="Yes"</formula>
    </cfRule>
  </conditionalFormatting>
  <conditionalFormatting sqref="X9:X23">
    <cfRule type="expression" dxfId="20" priority="9">
      <formula>BH9="Highlight"</formula>
    </cfRule>
    <cfRule type="expression" dxfId="19" priority="17">
      <formula>DE9="Yes"</formula>
    </cfRule>
    <cfRule type="expression" dxfId="18" priority="27">
      <formula>CE9="Yes"</formula>
    </cfRule>
  </conditionalFormatting>
  <conditionalFormatting sqref="Y7">
    <cfRule type="containsText" dxfId="17" priority="16" operator="containsText" text="Layout Code &amp; T Post Quantity Issue">
      <formula>NOT(ISERROR(SEARCH("Layout Code &amp; T Post Quantity Issue",Y7)))</formula>
    </cfRule>
  </conditionalFormatting>
  <conditionalFormatting sqref="Y9:Y23">
    <cfRule type="expression" dxfId="16" priority="30">
      <formula>DO9="Yes"</formula>
    </cfRule>
  </conditionalFormatting>
  <conditionalFormatting sqref="Z9:AA23">
    <cfRule type="expression" dxfId="15" priority="14">
      <formula>DQ9="Error"</formula>
    </cfRule>
    <cfRule type="expression" dxfId="14" priority="15">
      <formula>BK9="Error"</formula>
    </cfRule>
  </conditionalFormatting>
  <conditionalFormatting sqref="AD9:AD23">
    <cfRule type="containsText" dxfId="13" priority="3" operator="containsText" text="Yes">
      <formula>NOT(ISERROR(SEARCH("Yes",AD9)))</formula>
    </cfRule>
  </conditionalFormatting>
  <conditionalFormatting sqref="AE1">
    <cfRule type="cellIs" dxfId="12" priority="5" operator="greaterThan">
      <formula>1</formula>
    </cfRule>
  </conditionalFormatting>
  <conditionalFormatting sqref="AT9:AT23">
    <cfRule type="containsErrors" dxfId="11" priority="33">
      <formula>ISERROR(AT9)</formula>
    </cfRule>
  </conditionalFormatting>
  <dataValidations count="36">
    <dataValidation type="list" allowBlank="1" showInputMessage="1" showErrorMessage="1" errorTitle="Invalid Entry" error="Invalid Entry" sqref="R9:R23" xr:uid="{DD4C41F3-26B0-4AFA-80A6-5DAB117659D6}">
      <formula1>INDIRECT(DK9)</formula1>
    </dataValidation>
    <dataValidation type="list" allowBlank="1" showInputMessage="1" showErrorMessage="1" errorTitle="Invalid Entry" error="Invalid Entry" sqref="S9:T23" xr:uid="{3A1DB770-39D1-4BC5-98DD-6536AF62F914}">
      <formula1>INDIRECT(DK9)</formula1>
    </dataValidation>
    <dataValidation type="list" allowBlank="1" showInputMessage="1" showErrorMessage="1" errorTitle="Invalid Entry" error="Invalid Entry" sqref="X9:X23" xr:uid="{647CED1A-B425-4BEC-89A2-3114FC2C1B7A}">
      <formula1>INDIRECT(DE9)</formula1>
    </dataValidation>
    <dataValidation type="list" allowBlank="1" showInputMessage="1" showErrorMessage="1" errorTitle="Invalid Entry" error="Invalid Entry" sqref="P9:Q23" xr:uid="{602A0CDE-F5AD-4C3B-9127-ADAB55489601}">
      <formula1>INDIRECT(SUBSTITUTE(DW9," ","_"))</formula1>
    </dataValidation>
    <dataValidation type="list" errorStyle="information" allowBlank="1" showInputMessage="1" showErrorMessage="1" errorTitle="Invalid Entry" error="Invalid Entry" sqref="L9:L23" xr:uid="{554467AE-A82E-48EB-B592-8E2547D4E8C0}">
      <formula1>INDIRECT(DY9)</formula1>
    </dataValidation>
    <dataValidation type="list" errorStyle="information" allowBlank="1" showInputMessage="1" showErrorMessage="1" errorTitle="Check Layout Code" error="The Layout Codes In This List Are The Most Common Codes._x000a__x000a_When Entering A Different Special Code, Please Refer To The Shutter Manual." sqref="O9:O23" xr:uid="{91B5B8F8-D482-4DA7-8F93-70C1D74E036E}">
      <formula1>INDIRECT(SUBSTITUTE(EB9," ","_"))</formula1>
    </dataValidation>
    <dataValidation type="list" allowBlank="1" showInputMessage="1" showErrorMessage="1" errorTitle="Invalid Entry" error="Invalid Entry" sqref="X44:Y52" xr:uid="{5B2EEB11-E26A-45D8-B190-3F9F3A98751A}">
      <formula1>INDIRECT(SUBSTITUTE(BE44," ","_"))</formula1>
    </dataValidation>
    <dataValidation type="list" allowBlank="1" showInputMessage="1" showErrorMessage="1" errorTitle="Invalid Entry" error="Invalid Entry" sqref="U44:V52 U43:Y43" xr:uid="{A0818EED-4BC3-47B8-B0F9-68625EC8EEF9}">
      <formula1>INDIRECT(SUBSTITUTE(BD43," ","_"))</formula1>
    </dataValidation>
    <dataValidation type="list" allowBlank="1" showInputMessage="1" showErrorMessage="1" errorTitle="Invalid Entry" error="Invalid Entry" sqref="W44:W52" xr:uid="{4242BD7C-9150-4C39-8D75-3B893742C3BC}">
      <formula1>INDIRECT(SUBSTITUTE(BE44," ","_"))</formula1>
    </dataValidation>
    <dataValidation type="list" allowBlank="1" showInputMessage="1" showErrorMessage="1" errorTitle="Invalid Entry" error="Please select from list!" sqref="AT42:AT52" xr:uid="{F9D23A7F-F820-4AB1-B1B1-4F72E5C140B9}">
      <formula1>Pelmet</formula1>
    </dataValidation>
    <dataValidation allowBlank="1" showInputMessage="1" showErrorMessage="1" errorTitle="Invalid Entry" error="Invalid Entry" sqref="AY9:AY23 AT9:AT23" xr:uid="{05A5C5F6-9B14-4AAC-95DC-C44CE223539D}"/>
    <dataValidation type="list" allowBlank="1" showInputMessage="1" showErrorMessage="1" errorTitle="Invalid Entry" error="Invalid Entry" sqref="N43:T52" xr:uid="{8F3257C4-CB83-45F3-9B84-80172EBFD6D1}">
      <formula1>FauxwoodDesignerHardware</formula1>
    </dataValidation>
    <dataValidation type="list" allowBlank="1" showInputMessage="1" showErrorMessage="1" errorTitle="Invalid Entry" error="Invalid Entry" sqref="K40 K26:K38" xr:uid="{1C1DA587-AE17-48B2-9ED1-B809FAF8215E}">
      <formula1>FauxwoodDesignerSpecialComments3</formula1>
    </dataValidation>
    <dataValidation type="list" allowBlank="1" showInputMessage="1" showErrorMessage="1" errorTitle="Invalid Entry" error="Invalid Entry" sqref="F26:J40" xr:uid="{FA001D0B-D6EC-4FF3-9241-C76681949724}">
      <formula1>FauxwoodDesignerSpecialComments2</formula1>
    </dataValidation>
    <dataValidation type="list" allowBlank="1" showInputMessage="1" showErrorMessage="1" errorTitle="Invalid Entry" error="Invalid Entry" sqref="G9:G23" xr:uid="{C50733D6-A931-4155-9D7F-F4EA8739DADC}">
      <formula1>FauxwoodDesignerShutterMaterial</formula1>
    </dataValidation>
    <dataValidation type="whole" errorStyle="information" allowBlank="1" showInputMessage="1" showErrorMessage="1" errorTitle="Be Aware" error="Minimum Panel Height is 350mm._x000a__x000a_Maximum Panel Height is 2600mm." sqref="D9:D23" xr:uid="{FE4F4149-C525-4418-A42A-CC9EE5D8C5E7}">
      <formula1>350</formula1>
      <formula2>2600</formula2>
    </dataValidation>
    <dataValidation type="list" allowBlank="1" showInputMessage="1" showErrorMessage="1" sqref="E9:E23" xr:uid="{7E2F4298-50FB-4DC4-8DD5-93BD0CF09ACE}">
      <formula1>"IN,OUT,MS"</formula1>
    </dataValidation>
    <dataValidation type="whole" errorStyle="information" allowBlank="1" showInputMessage="1" showErrorMessage="1" errorTitle="Be Aware" error="Minimum Panel Width is 180mm._x000a__x000a_Maximum Fauxwood Panel Width _x000a_is 900mm." sqref="C9:C23" xr:uid="{D009E393-0E56-4F5A-9D12-B6D285F41652}">
      <formula1>130</formula1>
      <formula2>3600</formula2>
    </dataValidation>
    <dataValidation type="list" allowBlank="1" showInputMessage="1" showErrorMessage="1" errorTitle="Invalid Entry" error="Invalid Entry" sqref="B26:E40" xr:uid="{5A6B1C0F-147C-4710-A36C-33336E1A18B2}">
      <formula1>FauxwoodDesignerSpecialComments1</formula1>
    </dataValidation>
    <dataValidation type="whole" errorStyle="warning" allowBlank="1" showInputMessage="1" showErrorMessage="1" errorTitle="Length Warning" error="Please note that only Fascia's are able to be made greater than 3000mm in length._x000a__x000a_Fascia's can be made to a maximum of 3600mm." sqref="C43:C52" xr:uid="{34C5AEBF-90B9-48A9-9795-0141317DFAE9}">
      <formula1>0</formula1>
      <formula2>3000</formula2>
    </dataValidation>
    <dataValidation type="list" allowBlank="1" showInputMessage="1" showErrorMessage="1" errorTitle="Invalid Entry" error="Invalid Entry" sqref="D43:I52" xr:uid="{BC890E66-4DAA-49D8-8278-7FB64D64EB6D}">
      <formula1>FauxwoodDesignerExtras</formula1>
    </dataValidation>
    <dataValidation type="list" allowBlank="1" showInputMessage="1" showErrorMessage="1" errorTitle="Invalid Entry" error="Invalid Entry" sqref="J43:K52" xr:uid="{2E5B93FE-C9E4-4304-B280-D40C3285F78E}">
      <formula1>FauxwoodDesignerExtrasMaterial</formula1>
    </dataValidation>
    <dataValidation type="list" allowBlank="1" showInputMessage="1" showErrorMessage="1" errorTitle="Invalid Entry" error="Invalid Entry" sqref="L43:L52" xr:uid="{E5013074-756F-410F-8250-916E37DD8EF8}">
      <formula1>FauxwoodDesignerExtrasColour</formula1>
    </dataValidation>
    <dataValidation type="list" allowBlank="1" showInputMessage="1" showErrorMessage="1" errorTitle="Invalid Entry" error="Invalid Entry" sqref="W9:W23" xr:uid="{6540E9AB-D329-49D2-A272-1A0E91D5FDEF}">
      <formula1>INDIRECT(DF9)</formula1>
    </dataValidation>
    <dataValidation type="list" allowBlank="1" showInputMessage="1" showErrorMessage="1" errorTitle="Invalid Entry" error="Invalid Entry" sqref="Y9:Y23" xr:uid="{21E22459-AE96-49CA-90FA-79BAE0348217}">
      <formula1>INDIRECT(SUBSTITUTE(AX9," ","_"))</formula1>
    </dataValidation>
    <dataValidation type="list" allowBlank="1" showInputMessage="1" showErrorMessage="1" errorTitle="Invalid Entry" error="Invalid Entry" sqref="AD6" xr:uid="{AA66FCAE-EAB7-4F94-8C21-4350077E6031}">
      <formula1>Port</formula1>
    </dataValidation>
    <dataValidation allowBlank="1" showInputMessage="1" errorTitle="Invalid Entry" error="Invalid Entry" sqref="M43:M52" xr:uid="{BC7937D2-61B9-49B1-B527-296FE543C665}"/>
    <dataValidation type="list" allowBlank="1" showInputMessage="1" showErrorMessage="1" errorTitle="Invalid Entry" error="Invalid Entry" sqref="F3:J3" xr:uid="{6892EA34-F61C-4965-BCEE-E611BAF7FB27}">
      <formula1>ShutterEmail</formula1>
    </dataValidation>
    <dataValidation type="list" allowBlank="1" showInputMessage="1" showErrorMessage="1" errorTitle="Invalid Entry" error="Invalid Entry" sqref="J9:J23" xr:uid="{E212F9C1-D683-4C19-81E2-52732EEE11C5}">
      <formula1>INDIRECT(SUBSTITUTE(ER9," ","_"))</formula1>
    </dataValidation>
    <dataValidation type="list" allowBlank="1" showInputMessage="1" showErrorMessage="1" errorTitle="Invalid Entry" error="Invalid Entry" sqref="AC9:AC23" xr:uid="{42760C2B-33E5-4B18-B60E-D574C7284370}">
      <formula1>INDIRECT(SUBSTITUTE(ET9," ","_"))</formula1>
    </dataValidation>
    <dataValidation type="list" allowBlank="1" showInputMessage="1" showErrorMessage="1" errorTitle="Invalid Entry" error="Invalid Entry" sqref="AD9:AD23" xr:uid="{28348E6B-3723-4AB1-ADCF-A4C8A10996D0}">
      <formula1>INDIRECT(SUBSTITUTE(EY9," ","_"))</formula1>
    </dataValidation>
    <dataValidation type="list" allowBlank="1" showInputMessage="1" showErrorMessage="1" errorTitle="Invalid Entry" error="Invalid Entry" sqref="M9:M23" xr:uid="{C148BCAF-F2AE-4AAC-AE40-E96B21B1BAB4}">
      <formula1>INDIRECT(SUBSTITUTE(FE9," ","_"))</formula1>
    </dataValidation>
    <dataValidation type="list" allowBlank="1" showInputMessage="1" showErrorMessage="1" errorTitle="Invalid Entry" error="Invalid Entry" sqref="V9:V23" xr:uid="{8802B5FB-291C-4498-BCFF-E3079D1B7E2E}">
      <formula1>INDIRECT(SUBSTITUTE(FB9," ","_"))</formula1>
    </dataValidation>
    <dataValidation type="list" allowBlank="1" showInputMessage="1" showErrorMessage="1" errorTitle="Invalid Entry" error="Invalid Entry" sqref="N9:N23" xr:uid="{17727C11-F8FC-4A4C-8D26-7B501CAC3BD6}">
      <formula1>INDIRECT(SUBSTITUTE(FH9," ","_"))</formula1>
    </dataValidation>
    <dataValidation type="list" allowBlank="1" showInputMessage="1" showErrorMessage="1" errorTitle="Invalid Entry" error="Invalid Entry" sqref="U9:U23" xr:uid="{D29168EB-6937-4DCC-9A33-FEFBF9D9A4B1}">
      <formula1>INDIRECT(SUBSTITUTE(FL9," ","_"))</formula1>
    </dataValidation>
    <dataValidation type="list" allowBlank="1" showInputMessage="1" showErrorMessage="1" errorTitle="Invalid Entry" error="Invalid Entry" sqref="H9:I23" xr:uid="{3C1F4199-A80B-468C-B400-BD54A3C690F9}">
      <formula1>INDIRECT(SUBSTITUTE(AV9," ","_"))</formula1>
    </dataValidation>
  </dataValidations>
  <printOptions horizontalCentered="1"/>
  <pageMargins left="0.15748031496062992" right="0.15748031496062992" top="0.19685039370078741" bottom="0.19685039370078741" header="0.15748031496062992" footer="0.15748031496062992"/>
  <pageSetup paperSize="9" scale="35" orientation="landscape"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T171"/>
  <sheetViews>
    <sheetView workbookViewId="0">
      <selection activeCell="F46" sqref="F46"/>
    </sheetView>
  </sheetViews>
  <sheetFormatPr defaultRowHeight="12.75" x14ac:dyDescent="0.2"/>
  <cols>
    <col min="1" max="1" width="34.7109375" bestFit="1" customWidth="1"/>
    <col min="2" max="2" width="18.7109375" bestFit="1" customWidth="1"/>
    <col min="3" max="3" width="28.42578125" customWidth="1"/>
    <col min="4" max="4" width="26.42578125" customWidth="1"/>
    <col min="5" max="5" width="28.140625" customWidth="1"/>
    <col min="6" max="6" width="31.140625" bestFit="1" customWidth="1"/>
    <col min="7" max="7" width="19.7109375" customWidth="1"/>
    <col min="8" max="8" width="26.5703125" customWidth="1"/>
    <col min="9" max="9" width="19.7109375" customWidth="1"/>
    <col min="10" max="10" width="30.5703125" customWidth="1"/>
    <col min="11" max="11" width="30" bestFit="1" customWidth="1"/>
    <col min="12" max="12" width="9.42578125" customWidth="1"/>
    <col min="13" max="13" width="17.5703125" customWidth="1"/>
    <col min="14" max="14" width="30.42578125" customWidth="1"/>
    <col min="15" max="15" width="10.85546875" customWidth="1"/>
    <col min="16" max="16" width="10.7109375" customWidth="1"/>
    <col min="17" max="17" width="18.28515625" customWidth="1"/>
    <col min="18" max="18" width="9.140625" customWidth="1"/>
    <col min="19" max="19" width="36" customWidth="1"/>
    <col min="20" max="20" width="31.28515625" bestFit="1" customWidth="1"/>
    <col min="21" max="21" width="9.140625" customWidth="1"/>
    <col min="22" max="22" width="17" customWidth="1"/>
    <col min="23" max="24" width="9.140625" customWidth="1"/>
    <col min="25" max="25" width="10.5703125" customWidth="1"/>
    <col min="26" max="26" width="12.85546875" customWidth="1"/>
    <col min="27" max="27" width="18" customWidth="1"/>
    <col min="28" max="29" width="9.140625" customWidth="1"/>
    <col min="30" max="30" width="12.85546875" customWidth="1"/>
    <col min="31" max="31" width="14.42578125" customWidth="1"/>
    <col min="32" max="32" width="9.140625" customWidth="1"/>
    <col min="33" max="33" width="17.5703125" customWidth="1"/>
    <col min="34" max="34" width="2" customWidth="1"/>
    <col min="35" max="35" width="9.140625" customWidth="1"/>
    <col min="36" max="36" width="11.140625" customWidth="1"/>
    <col min="37" max="37" width="13.5703125" customWidth="1"/>
    <col min="38" max="40" width="9.140625" customWidth="1"/>
    <col min="41" max="41" width="28.140625" customWidth="1"/>
    <col min="42" max="42" width="6.42578125" customWidth="1"/>
    <col min="43" max="43" width="9.140625" customWidth="1"/>
    <col min="44" max="44" width="11.140625" customWidth="1"/>
    <col min="45" max="45" width="18.140625" customWidth="1"/>
    <col min="46" max="46" width="17.5703125" customWidth="1"/>
    <col min="47" max="47" width="14.140625" customWidth="1"/>
    <col min="48" max="48" width="26" bestFit="1" customWidth="1"/>
    <col min="49" max="49" width="21.5703125" bestFit="1" customWidth="1"/>
    <col min="50" max="50" width="26" bestFit="1" customWidth="1"/>
    <col min="51" max="51" width="22.5703125" bestFit="1" customWidth="1"/>
    <col min="52" max="52" width="16.7109375" customWidth="1"/>
    <col min="53" max="53" width="16.140625" customWidth="1"/>
    <col min="54" max="54" width="9.7109375" customWidth="1"/>
    <col min="55" max="55" width="8.7109375" customWidth="1"/>
    <col min="56" max="56" width="15" customWidth="1"/>
    <col min="57" max="58" width="9.140625" customWidth="1"/>
    <col min="59" max="59" width="11" customWidth="1"/>
    <col min="60" max="60" width="36.140625" customWidth="1"/>
    <col min="61" max="61" width="32.140625" style="4" customWidth="1"/>
    <col min="62" max="62" width="32.7109375" style="4" customWidth="1"/>
    <col min="63" max="63" width="16.42578125" customWidth="1"/>
    <col min="64" max="64" width="37.140625" customWidth="1"/>
    <col min="65" max="65" width="55" bestFit="1" customWidth="1"/>
    <col min="66" max="67" width="34.140625" customWidth="1"/>
    <col min="68" max="68" width="9.140625" customWidth="1"/>
    <col min="69" max="69" width="28.5703125" customWidth="1"/>
    <col min="70" max="70" width="20" customWidth="1"/>
    <col min="71" max="71" width="20.140625" customWidth="1"/>
    <col min="72" max="72" width="9.140625" customWidth="1"/>
    <col min="73" max="73" width="17.5703125" customWidth="1"/>
    <col min="74" max="74" width="9.140625" customWidth="1"/>
    <col min="75" max="75" width="15.42578125" customWidth="1"/>
    <col min="76" max="76" width="15.28515625" customWidth="1"/>
    <col min="77" max="77" width="23.85546875" customWidth="1"/>
    <col min="78" max="78" width="9.140625" customWidth="1"/>
    <col min="79" max="79" width="27.28515625" customWidth="1"/>
    <col min="80" max="80" width="3.7109375" customWidth="1"/>
    <col min="81" max="81" width="18.7109375" customWidth="1"/>
    <col min="82" max="82" width="4.28515625" customWidth="1"/>
    <col min="83" max="83" width="9.140625" customWidth="1"/>
    <col min="84" max="84" width="44.5703125" customWidth="1"/>
    <col min="85" max="85" width="30.140625" customWidth="1"/>
    <col min="86" max="86" width="42.85546875" customWidth="1"/>
    <col min="87" max="87" width="9.140625" customWidth="1"/>
    <col min="88" max="88" width="18.7109375" customWidth="1"/>
    <col min="89" max="89" width="25.140625" customWidth="1"/>
    <col min="90" max="90" width="24.5703125" customWidth="1"/>
    <col min="91" max="91" width="18.140625" customWidth="1"/>
    <col min="92" max="92" width="18.7109375" customWidth="1"/>
    <col min="93" max="93" width="9.140625" customWidth="1"/>
    <col min="94" max="94" width="44.5703125" customWidth="1"/>
    <col min="95" max="96" width="9.140625" customWidth="1"/>
    <col min="97" max="98" width="38" customWidth="1"/>
    <col min="99" max="99" width="36.85546875" customWidth="1"/>
    <col min="100" max="102" width="40.7109375" customWidth="1"/>
    <col min="103" max="103" width="34.28515625" customWidth="1"/>
    <col min="104" max="104" width="23.140625" customWidth="1"/>
    <col min="105" max="105" width="34.7109375" customWidth="1"/>
    <col min="106" max="106" width="28.140625" customWidth="1"/>
    <col min="107" max="107" width="20.42578125" customWidth="1"/>
    <col min="108" max="109" width="30.28515625" customWidth="1"/>
    <col min="110" max="110" width="30.85546875" customWidth="1"/>
    <col min="111" max="111" width="29.140625" customWidth="1"/>
    <col min="112" max="112" width="32.42578125" customWidth="1"/>
    <col min="113" max="115" width="30.28515625" customWidth="1"/>
    <col min="116" max="116" width="22.5703125" customWidth="1"/>
    <col min="117" max="118" width="34.85546875" customWidth="1"/>
    <col min="119" max="119" width="47.85546875" customWidth="1"/>
    <col min="120" max="120" width="28.28515625" customWidth="1"/>
    <col min="121" max="121" width="20.5703125" customWidth="1"/>
    <col min="122" max="122" width="13.7109375" customWidth="1"/>
    <col min="123" max="123" width="38" customWidth="1"/>
    <col min="124" max="124" width="39.5703125" customWidth="1"/>
    <col min="125" max="126" width="30.42578125" customWidth="1"/>
    <col min="127" max="127" width="18.42578125" customWidth="1"/>
    <col min="128" max="128" width="42.85546875" customWidth="1"/>
    <col min="129" max="129" width="43.28515625" customWidth="1"/>
    <col min="130" max="130" width="41.5703125" customWidth="1"/>
    <col min="131" max="131" width="10.7109375" customWidth="1"/>
    <col min="132" max="132" width="13.140625" customWidth="1"/>
    <col min="133" max="133" width="17.28515625" customWidth="1"/>
    <col min="134" max="134" width="11.28515625" customWidth="1"/>
    <col min="135" max="135" width="11.42578125" customWidth="1"/>
    <col min="136" max="136" width="23.140625" customWidth="1"/>
    <col min="137" max="137" width="17.85546875" customWidth="1"/>
    <col min="138" max="138" width="11" customWidth="1"/>
    <col min="139" max="139" width="11.7109375" customWidth="1"/>
    <col min="140" max="140" width="10.85546875" customWidth="1"/>
    <col min="141" max="141" width="15.28515625" customWidth="1"/>
    <col min="142" max="142" width="14.5703125" customWidth="1"/>
    <col min="143" max="143" width="16.5703125" customWidth="1"/>
    <col min="144" max="144" width="10" customWidth="1"/>
    <col min="145" max="145" width="12.28515625" customWidth="1"/>
    <col min="146" max="146" width="16.42578125" customWidth="1"/>
    <col min="147" max="147" width="14" customWidth="1"/>
    <col min="148" max="148" width="16.28515625" customWidth="1"/>
    <col min="149" max="149" width="20.42578125" customWidth="1"/>
    <col min="150" max="151" width="9.140625" customWidth="1"/>
    <col min="152" max="152" width="49.85546875" customWidth="1"/>
    <col min="153" max="153" width="9.140625" customWidth="1"/>
    <col min="154" max="154" width="34.28515625" customWidth="1"/>
    <col min="155" max="155" width="36.85546875" customWidth="1"/>
    <col min="156" max="156" width="18.28515625" customWidth="1"/>
    <col min="157" max="157" width="35.42578125" customWidth="1"/>
    <col min="158" max="158" width="13.7109375" customWidth="1"/>
    <col min="159" max="159" width="26.28515625" bestFit="1" customWidth="1"/>
    <col min="160" max="160" width="31.7109375" customWidth="1"/>
    <col min="161" max="161" width="25.5703125" customWidth="1"/>
    <col min="162" max="162" width="18.28515625" customWidth="1"/>
    <col min="163" max="163" width="29.42578125" customWidth="1"/>
    <col min="164" max="164" width="12.140625" customWidth="1"/>
    <col min="165" max="165" width="20.140625" customWidth="1"/>
    <col min="166" max="166" width="13.7109375" customWidth="1"/>
    <col min="167" max="167" width="12.5703125" customWidth="1"/>
    <col min="168" max="168" width="25.5703125" customWidth="1"/>
    <col min="169" max="169" width="6.140625" customWidth="1"/>
    <col min="170" max="170" width="29.42578125" bestFit="1" customWidth="1"/>
    <col min="171" max="171" width="9.5703125" customWidth="1"/>
    <col min="172" max="172" width="13.85546875" customWidth="1"/>
    <col min="173" max="173" width="19.85546875" customWidth="1"/>
    <col min="174" max="174" width="21" customWidth="1"/>
    <col min="175" max="175" width="21.85546875" customWidth="1"/>
    <col min="176" max="176" width="9.85546875" customWidth="1"/>
    <col min="177" max="177" width="9.140625" customWidth="1"/>
    <col min="178" max="178" width="27.28515625" customWidth="1"/>
    <col min="179" max="179" width="21.7109375" customWidth="1"/>
    <col min="180" max="180" width="10" customWidth="1"/>
    <col min="181" max="181" width="40.42578125" customWidth="1"/>
    <col min="182" max="182" width="47.140625" bestFit="1" customWidth="1"/>
    <col min="183" max="183" width="45.42578125" bestFit="1" customWidth="1"/>
    <col min="184" max="184" width="41" bestFit="1" customWidth="1"/>
    <col min="185" max="185" width="30.140625" customWidth="1"/>
    <col min="186" max="186" width="51.28515625" customWidth="1"/>
    <col min="187" max="187" width="46.85546875" bestFit="1" customWidth="1"/>
    <col min="188" max="188" width="48.5703125" bestFit="1" customWidth="1"/>
    <col min="189" max="189" width="43.85546875" bestFit="1" customWidth="1"/>
    <col min="190" max="190" width="39.85546875" bestFit="1" customWidth="1"/>
    <col min="191" max="191" width="47.28515625" bestFit="1" customWidth="1"/>
    <col min="192" max="192" width="43" bestFit="1" customWidth="1"/>
    <col min="193" max="193" width="47.7109375" bestFit="1" customWidth="1"/>
    <col min="194" max="194" width="42.140625" bestFit="1" customWidth="1"/>
    <col min="195" max="195" width="38.140625" bestFit="1" customWidth="1"/>
    <col min="196" max="196" width="45.7109375" bestFit="1" customWidth="1"/>
    <col min="197" max="197" width="42.5703125" bestFit="1" customWidth="1"/>
    <col min="198" max="198" width="48.28515625" customWidth="1"/>
    <col min="199" max="199" width="21" bestFit="1" customWidth="1"/>
    <col min="200" max="202" width="6.140625" customWidth="1"/>
    <col min="203" max="203" width="10.28515625" bestFit="1" customWidth="1"/>
    <col min="204" max="204" width="38.5703125" customWidth="1"/>
    <col min="205" max="205" width="21" bestFit="1" customWidth="1"/>
    <col min="206" max="206" width="28.85546875" customWidth="1"/>
    <col min="207" max="207" width="25.140625" customWidth="1"/>
    <col min="208" max="208" width="38.5703125" customWidth="1"/>
    <col min="209" max="209" width="39.42578125" style="4" customWidth="1"/>
    <col min="210" max="210" width="36.7109375" style="4" bestFit="1" customWidth="1"/>
    <col min="211" max="211" width="36.7109375" bestFit="1" customWidth="1"/>
    <col min="212" max="212" width="33.85546875" bestFit="1" customWidth="1"/>
    <col min="213" max="213" width="38.5703125" style="4" customWidth="1"/>
    <col min="214" max="214" width="31.42578125" bestFit="1" customWidth="1"/>
    <col min="215" max="215" width="15.5703125" bestFit="1" customWidth="1"/>
    <col min="216" max="216" width="18" bestFit="1" customWidth="1"/>
    <col min="217" max="217" width="17.5703125" bestFit="1" customWidth="1"/>
    <col min="218" max="218" width="19.85546875" bestFit="1" customWidth="1"/>
    <col min="219" max="219" width="15.42578125" bestFit="1" customWidth="1"/>
    <col min="220" max="220" width="17.85546875" bestFit="1" customWidth="1"/>
    <col min="221" max="221" width="18.42578125" bestFit="1" customWidth="1"/>
    <col min="222" max="222" width="15.42578125" bestFit="1" customWidth="1"/>
    <col min="223" max="223" width="18.140625" bestFit="1" customWidth="1"/>
    <col min="224" max="224" width="12.42578125" bestFit="1" customWidth="1"/>
    <col min="225" max="228" width="10.5703125" bestFit="1" customWidth="1"/>
    <col min="231" max="231" width="32.5703125" bestFit="1" customWidth="1"/>
    <col min="233" max="233" width="28.28515625" bestFit="1" customWidth="1"/>
    <col min="234" max="234" width="27.28515625" bestFit="1" customWidth="1"/>
    <col min="235" max="235" width="23.5703125" bestFit="1" customWidth="1"/>
    <col min="237" max="237" width="12.85546875" bestFit="1" customWidth="1"/>
    <col min="238" max="238" width="37.140625" bestFit="1" customWidth="1"/>
    <col min="239" max="239" width="6.42578125" bestFit="1" customWidth="1"/>
    <col min="240" max="240" width="15.42578125" bestFit="1" customWidth="1"/>
    <col min="241" max="242" width="34" bestFit="1" customWidth="1"/>
    <col min="243" max="243" width="37.140625" customWidth="1"/>
    <col min="244" max="244" width="36.28515625" bestFit="1" customWidth="1"/>
    <col min="245" max="245" width="37.85546875" customWidth="1"/>
    <col min="248" max="248" width="32.5703125" bestFit="1" customWidth="1"/>
    <col min="249" max="249" width="23.140625" customWidth="1"/>
    <col min="253" max="253" width="79" bestFit="1" customWidth="1"/>
    <col min="254" max="254" width="14.7109375" customWidth="1"/>
    <col min="257" max="257" width="28.7109375" customWidth="1"/>
    <col min="258" max="258" width="14.28515625" bestFit="1" customWidth="1"/>
    <col min="259" max="259" width="17.5703125" bestFit="1" customWidth="1"/>
    <col min="261" max="261" width="39.85546875" customWidth="1"/>
    <col min="263" max="263" width="37.28515625" bestFit="1" customWidth="1"/>
    <col min="265" max="265" width="33" bestFit="1" customWidth="1"/>
    <col min="267" max="267" width="30.140625" bestFit="1" customWidth="1"/>
    <col min="269" max="269" width="33.5703125" customWidth="1"/>
    <col min="271" max="271" width="21.85546875" customWidth="1"/>
    <col min="272" max="272" width="13.140625" customWidth="1"/>
    <col min="275" max="275" width="19.42578125" customWidth="1"/>
    <col min="276" max="276" width="17.140625" customWidth="1"/>
    <col min="278" max="278" width="23.5703125" customWidth="1"/>
    <col min="279" max="279" width="11.42578125" customWidth="1"/>
    <col min="283" max="283" width="13.140625" bestFit="1" customWidth="1"/>
    <col min="286" max="286" width="41.7109375" customWidth="1"/>
    <col min="289" max="289" width="22.85546875" bestFit="1" customWidth="1"/>
    <col min="290" max="295" width="14.42578125" customWidth="1"/>
    <col min="302" max="302" width="16.42578125" bestFit="1" customWidth="1"/>
    <col min="303" max="303" width="13.7109375" bestFit="1" customWidth="1"/>
    <col min="304" max="304" width="20" customWidth="1"/>
    <col min="305" max="305" width="19.28515625" customWidth="1"/>
    <col min="306" max="306" width="20" customWidth="1"/>
  </cols>
  <sheetData>
    <row r="1" spans="1:306" x14ac:dyDescent="0.2">
      <c r="M1" t="s">
        <v>633</v>
      </c>
      <c r="BW1" t="s">
        <v>0</v>
      </c>
      <c r="CA1" t="s">
        <v>1</v>
      </c>
      <c r="CF1" t="s">
        <v>2</v>
      </c>
      <c r="CG1" t="s">
        <v>3</v>
      </c>
      <c r="CH1" t="s">
        <v>4</v>
      </c>
      <c r="CJ1" t="s">
        <v>5</v>
      </c>
      <c r="CK1" t="s">
        <v>6</v>
      </c>
      <c r="CL1" t="s">
        <v>7</v>
      </c>
      <c r="CM1" t="s">
        <v>8</v>
      </c>
      <c r="CN1" t="s">
        <v>9</v>
      </c>
      <c r="CP1" t="s">
        <v>10</v>
      </c>
      <c r="CS1" t="s">
        <v>11</v>
      </c>
      <c r="CT1" t="s">
        <v>12</v>
      </c>
      <c r="CU1" t="s">
        <v>13</v>
      </c>
      <c r="CV1" t="s">
        <v>14</v>
      </c>
      <c r="CW1" t="s">
        <v>15</v>
      </c>
      <c r="CX1" t="s">
        <v>16</v>
      </c>
      <c r="CY1" t="s">
        <v>17</v>
      </c>
      <c r="CZ1" t="s">
        <v>18</v>
      </c>
      <c r="DA1" t="s">
        <v>19</v>
      </c>
      <c r="DB1" t="s">
        <v>20</v>
      </c>
      <c r="DC1" t="s">
        <v>21</v>
      </c>
      <c r="DD1" t="s">
        <v>22</v>
      </c>
      <c r="DE1" t="s">
        <v>23</v>
      </c>
      <c r="DF1" t="s">
        <v>24</v>
      </c>
      <c r="DG1" t="s">
        <v>25</v>
      </c>
      <c r="DH1" t="s">
        <v>26</v>
      </c>
      <c r="DI1" t="s">
        <v>27</v>
      </c>
      <c r="DJ1" t="s">
        <v>28</v>
      </c>
      <c r="DK1" t="s">
        <v>29</v>
      </c>
      <c r="DL1" t="s">
        <v>30</v>
      </c>
      <c r="DM1" t="s">
        <v>31</v>
      </c>
      <c r="DN1" t="s">
        <v>32</v>
      </c>
      <c r="DO1" t="s">
        <v>33</v>
      </c>
      <c r="DP1" t="s">
        <v>34</v>
      </c>
      <c r="DQ1" t="s">
        <v>35</v>
      </c>
      <c r="DR1" t="s">
        <v>36</v>
      </c>
      <c r="DS1" t="s">
        <v>37</v>
      </c>
      <c r="DT1" t="s">
        <v>38</v>
      </c>
      <c r="DU1" t="s">
        <v>39</v>
      </c>
      <c r="DV1" t="s">
        <v>40</v>
      </c>
      <c r="DW1" t="s">
        <v>41</v>
      </c>
      <c r="DX1" t="s">
        <v>42</v>
      </c>
      <c r="DY1" t="s">
        <v>43</v>
      </c>
      <c r="DZ1" t="s">
        <v>44</v>
      </c>
      <c r="EV1" t="s">
        <v>45</v>
      </c>
      <c r="GC1" s="1" t="s">
        <v>46</v>
      </c>
      <c r="GD1" s="310" t="s">
        <v>47</v>
      </c>
      <c r="GE1" s="310"/>
      <c r="GF1" s="310"/>
      <c r="GG1" s="310"/>
      <c r="GH1" s="310"/>
      <c r="GI1" s="310"/>
      <c r="GJ1" s="310"/>
      <c r="GK1" s="310"/>
      <c r="GL1" s="310"/>
      <c r="GM1" s="310"/>
      <c r="GN1" s="310"/>
      <c r="GO1" s="310"/>
      <c r="GP1" s="85"/>
      <c r="HA1" s="89"/>
      <c r="HB1" s="89" t="s">
        <v>135</v>
      </c>
      <c r="HC1" s="89" t="s">
        <v>136</v>
      </c>
      <c r="HD1" s="89" t="s">
        <v>134</v>
      </c>
      <c r="HE1" s="90" t="s">
        <v>550</v>
      </c>
      <c r="IF1" t="s">
        <v>418</v>
      </c>
      <c r="IG1" s="87" t="s">
        <v>134</v>
      </c>
      <c r="IH1" s="87" t="s">
        <v>135</v>
      </c>
      <c r="II1" s="87" t="s">
        <v>136</v>
      </c>
      <c r="IN1" s="85" t="s">
        <v>48</v>
      </c>
      <c r="IO1" s="85" t="s">
        <v>527</v>
      </c>
      <c r="IR1" t="s">
        <v>134</v>
      </c>
      <c r="IS1" t="s">
        <v>566</v>
      </c>
      <c r="IW1" t="s">
        <v>567</v>
      </c>
      <c r="JK1" t="s">
        <v>348</v>
      </c>
      <c r="JO1" t="s">
        <v>639</v>
      </c>
      <c r="JP1" t="s">
        <v>640</v>
      </c>
      <c r="JS1" t="s">
        <v>137</v>
      </c>
      <c r="KC1" s="85"/>
      <c r="KD1" s="85" t="s">
        <v>275</v>
      </c>
      <c r="KE1" s="85" t="s">
        <v>293</v>
      </c>
      <c r="KF1" s="85" t="s">
        <v>163</v>
      </c>
      <c r="KG1" s="85" t="s">
        <v>288</v>
      </c>
      <c r="KH1" s="85" t="s">
        <v>281</v>
      </c>
      <c r="KI1" s="85" t="s">
        <v>165</v>
      </c>
      <c r="KP1" t="s">
        <v>416</v>
      </c>
      <c r="KQ1" t="s">
        <v>848</v>
      </c>
      <c r="KR1" t="s">
        <v>871</v>
      </c>
      <c r="KS1" t="s">
        <v>872</v>
      </c>
      <c r="KT1" t="s">
        <v>873</v>
      </c>
    </row>
    <row r="2" spans="1:306" ht="15" x14ac:dyDescent="0.25">
      <c r="A2" t="s">
        <v>796</v>
      </c>
      <c r="B2" t="s">
        <v>758</v>
      </c>
      <c r="C2" t="s">
        <v>49</v>
      </c>
      <c r="D2" t="s">
        <v>50</v>
      </c>
      <c r="E2" t="s">
        <v>51</v>
      </c>
      <c r="F2" t="s">
        <v>52</v>
      </c>
      <c r="H2" s="2" t="s">
        <v>53</v>
      </c>
      <c r="J2" t="s">
        <v>54</v>
      </c>
      <c r="K2" t="s">
        <v>631</v>
      </c>
      <c r="L2" t="s">
        <v>55</v>
      </c>
      <c r="M2" t="s">
        <v>293</v>
      </c>
      <c r="N2" t="str">
        <f>K2</f>
        <v>FauxwoodDesignerHingeColourNA</v>
      </c>
      <c r="O2" t="s">
        <v>56</v>
      </c>
      <c r="P2" t="s">
        <v>57</v>
      </c>
      <c r="Q2" t="s">
        <v>58</v>
      </c>
      <c r="S2" t="s">
        <v>59</v>
      </c>
      <c r="T2" t="s">
        <v>861</v>
      </c>
      <c r="V2" t="s">
        <v>60</v>
      </c>
      <c r="Y2" s="3" t="s">
        <v>61</v>
      </c>
      <c r="Z2" s="3" t="s">
        <v>62</v>
      </c>
      <c r="AA2" s="3" t="s">
        <v>63</v>
      </c>
      <c r="AD2" t="s">
        <v>64</v>
      </c>
      <c r="AE2" t="s">
        <v>65</v>
      </c>
      <c r="AG2" t="s">
        <v>66</v>
      </c>
      <c r="AJ2" t="s">
        <v>67</v>
      </c>
      <c r="AK2" t="s">
        <v>68</v>
      </c>
      <c r="AO2" s="85" t="s">
        <v>614</v>
      </c>
      <c r="AP2" s="85"/>
      <c r="AQ2" s="85"/>
      <c r="BA2" t="s">
        <v>69</v>
      </c>
      <c r="BH2" s="3" t="s">
        <v>799</v>
      </c>
      <c r="BI2" s="4" t="s">
        <v>551</v>
      </c>
      <c r="BJ2" s="4" t="s">
        <v>70</v>
      </c>
      <c r="BM2" t="s">
        <v>71</v>
      </c>
      <c r="BN2" t="s">
        <v>72</v>
      </c>
      <c r="BO2" t="s">
        <v>73</v>
      </c>
      <c r="BQ2" t="s">
        <v>74</v>
      </c>
      <c r="BR2" t="s">
        <v>75</v>
      </c>
      <c r="BS2" t="s">
        <v>76</v>
      </c>
      <c r="BU2" t="s">
        <v>77</v>
      </c>
      <c r="BW2" t="s">
        <v>78</v>
      </c>
      <c r="BX2" t="s">
        <v>79</v>
      </c>
      <c r="BY2" t="s">
        <v>80</v>
      </c>
      <c r="CA2" t="s">
        <v>81</v>
      </c>
      <c r="CB2" t="s">
        <v>82</v>
      </c>
      <c r="CC2" t="s">
        <v>83</v>
      </c>
      <c r="CD2" t="s">
        <v>84</v>
      </c>
      <c r="CF2" t="s">
        <v>85</v>
      </c>
      <c r="CG2" t="s">
        <v>55</v>
      </c>
      <c r="CH2" t="s">
        <v>86</v>
      </c>
      <c r="CJ2" t="s">
        <v>83</v>
      </c>
      <c r="CK2" t="s">
        <v>83</v>
      </c>
      <c r="CL2" t="s">
        <v>87</v>
      </c>
      <c r="CM2" t="s">
        <v>87</v>
      </c>
      <c r="CN2" t="s">
        <v>88</v>
      </c>
      <c r="CP2" t="s">
        <v>89</v>
      </c>
      <c r="CS2" t="s">
        <v>77</v>
      </c>
      <c r="CT2" t="s">
        <v>77</v>
      </c>
      <c r="CU2" t="s">
        <v>77</v>
      </c>
      <c r="CV2" t="s">
        <v>77</v>
      </c>
      <c r="CW2" t="s">
        <v>77</v>
      </c>
      <c r="CX2" t="s">
        <v>77</v>
      </c>
      <c r="CY2" t="s">
        <v>77</v>
      </c>
      <c r="CZ2" t="s">
        <v>77</v>
      </c>
      <c r="DA2" t="s">
        <v>77</v>
      </c>
      <c r="DB2" t="s">
        <v>77</v>
      </c>
      <c r="DC2" t="s">
        <v>77</v>
      </c>
      <c r="DD2" t="s">
        <v>55</v>
      </c>
      <c r="DE2" t="s">
        <v>77</v>
      </c>
      <c r="DF2" t="s">
        <v>77</v>
      </c>
      <c r="DG2" t="s">
        <v>77</v>
      </c>
      <c r="DH2" t="s">
        <v>77</v>
      </c>
      <c r="DI2" t="s">
        <v>77</v>
      </c>
      <c r="DJ2" t="s">
        <v>77</v>
      </c>
      <c r="DK2" t="s">
        <v>77</v>
      </c>
      <c r="DL2" t="s">
        <v>77</v>
      </c>
      <c r="DM2" t="s">
        <v>77</v>
      </c>
      <c r="DN2" t="s">
        <v>77</v>
      </c>
      <c r="DO2" t="s">
        <v>77</v>
      </c>
      <c r="DP2" t="s">
        <v>77</v>
      </c>
      <c r="DQ2" t="s">
        <v>77</v>
      </c>
      <c r="DR2" t="s">
        <v>77</v>
      </c>
      <c r="DS2" t="s">
        <v>77</v>
      </c>
      <c r="DT2" t="s">
        <v>77</v>
      </c>
      <c r="DU2" t="s">
        <v>77</v>
      </c>
      <c r="DV2" t="s">
        <v>77</v>
      </c>
      <c r="DW2" t="s">
        <v>77</v>
      </c>
      <c r="DX2" t="s">
        <v>77</v>
      </c>
      <c r="DY2" t="s">
        <v>77</v>
      </c>
      <c r="DZ2" t="s">
        <v>55</v>
      </c>
      <c r="EA2" t="s">
        <v>90</v>
      </c>
      <c r="EB2" t="s">
        <v>91</v>
      </c>
      <c r="EC2" t="s">
        <v>92</v>
      </c>
      <c r="ED2" t="s">
        <v>93</v>
      </c>
      <c r="EE2" t="s">
        <v>94</v>
      </c>
      <c r="EF2" t="s">
        <v>95</v>
      </c>
      <c r="EG2" t="s">
        <v>96</v>
      </c>
      <c r="EH2" t="s">
        <v>97</v>
      </c>
      <c r="EI2" t="s">
        <v>98</v>
      </c>
      <c r="EJ2" t="s">
        <v>99</v>
      </c>
      <c r="EK2" t="s">
        <v>100</v>
      </c>
      <c r="EL2" t="s">
        <v>101</v>
      </c>
      <c r="EM2" t="s">
        <v>102</v>
      </c>
      <c r="EN2" t="s">
        <v>103</v>
      </c>
      <c r="EO2" t="s">
        <v>104</v>
      </c>
      <c r="EP2" t="s">
        <v>105</v>
      </c>
      <c r="EQ2" t="s">
        <v>106</v>
      </c>
      <c r="ER2" t="s">
        <v>107</v>
      </c>
      <c r="ES2" t="s">
        <v>108</v>
      </c>
      <c r="EV2" s="3" t="s">
        <v>352</v>
      </c>
      <c r="EX2" t="s">
        <v>110</v>
      </c>
      <c r="EY2" t="s">
        <v>111</v>
      </c>
      <c r="EZ2" t="s">
        <v>112</v>
      </c>
      <c r="FA2" t="s">
        <v>113</v>
      </c>
      <c r="FB2" t="s">
        <v>114</v>
      </c>
      <c r="FC2" t="s">
        <v>115</v>
      </c>
      <c r="FD2" t="s">
        <v>116</v>
      </c>
      <c r="FE2" t="s">
        <v>117</v>
      </c>
      <c r="FF2" t="s">
        <v>118</v>
      </c>
      <c r="FG2" t="s">
        <v>119</v>
      </c>
      <c r="FV2" t="s">
        <v>120</v>
      </c>
      <c r="FW2" t="s">
        <v>121</v>
      </c>
      <c r="FX2" t="s">
        <v>122</v>
      </c>
      <c r="FY2" t="s">
        <v>564</v>
      </c>
      <c r="FZ2" t="s">
        <v>539</v>
      </c>
      <c r="GA2" t="s">
        <v>541</v>
      </c>
      <c r="GB2" t="s">
        <v>540</v>
      </c>
      <c r="GC2" s="2" t="s">
        <v>83</v>
      </c>
      <c r="GD2" s="85" t="s">
        <v>123</v>
      </c>
      <c r="GE2" s="85" t="s">
        <v>124</v>
      </c>
      <c r="GF2" s="85" t="s">
        <v>125</v>
      </c>
      <c r="GG2" s="85" t="s">
        <v>126</v>
      </c>
      <c r="GH2" s="85" t="s">
        <v>127</v>
      </c>
      <c r="GI2" s="85" t="s">
        <v>128</v>
      </c>
      <c r="GJ2" s="85" t="s">
        <v>528</v>
      </c>
      <c r="GK2" s="85" t="s">
        <v>129</v>
      </c>
      <c r="GL2" s="85" t="s">
        <v>130</v>
      </c>
      <c r="GM2" s="85" t="s">
        <v>131</v>
      </c>
      <c r="GN2" s="85" t="s">
        <v>132</v>
      </c>
      <c r="GO2" s="85" t="s">
        <v>133</v>
      </c>
      <c r="GP2" s="85" t="s">
        <v>531</v>
      </c>
      <c r="GR2" t="s">
        <v>134</v>
      </c>
      <c r="GS2" t="s">
        <v>135</v>
      </c>
      <c r="GT2" t="s">
        <v>136</v>
      </c>
      <c r="GU2" t="s">
        <v>137</v>
      </c>
      <c r="GV2" s="4" t="s">
        <v>134</v>
      </c>
      <c r="GW2" s="3" t="s">
        <v>138</v>
      </c>
      <c r="GX2" t="s">
        <v>139</v>
      </c>
      <c r="GY2" t="s">
        <v>140</v>
      </c>
      <c r="GZ2" t="s">
        <v>138</v>
      </c>
      <c r="HA2" s="89" t="s">
        <v>163</v>
      </c>
      <c r="HB2" s="89" t="str">
        <f>GX2</f>
        <v>FauxwoodDesignerIN</v>
      </c>
      <c r="HC2" s="89" t="str">
        <f>GY2</f>
        <v>FauxwoodDesignerOUT</v>
      </c>
      <c r="HD2" s="89" t="str">
        <f>$GZ$2</f>
        <v>FauxwoodDesignerMS</v>
      </c>
      <c r="HE2" s="4" t="s">
        <v>165</v>
      </c>
      <c r="HF2" s="3" t="s">
        <v>141</v>
      </c>
      <c r="HG2" s="3" t="s">
        <v>142</v>
      </c>
      <c r="HH2" s="3" t="s">
        <v>143</v>
      </c>
      <c r="HI2" s="3" t="s">
        <v>144</v>
      </c>
      <c r="HJ2" s="3" t="s">
        <v>145</v>
      </c>
      <c r="HK2" s="3" t="s">
        <v>146</v>
      </c>
      <c r="HL2" s="3" t="s">
        <v>147</v>
      </c>
      <c r="HM2" s="3" t="s">
        <v>148</v>
      </c>
      <c r="HN2" s="3" t="s">
        <v>149</v>
      </c>
      <c r="HO2" s="3" t="s">
        <v>150</v>
      </c>
      <c r="HP2" s="3" t="s">
        <v>151</v>
      </c>
      <c r="HQ2" s="3" t="s">
        <v>152</v>
      </c>
      <c r="HR2" s="3" t="s">
        <v>153</v>
      </c>
      <c r="HS2" s="3" t="s">
        <v>154</v>
      </c>
      <c r="HT2" s="3" t="s">
        <v>155</v>
      </c>
      <c r="HW2" t="s">
        <v>156</v>
      </c>
      <c r="HY2" t="s">
        <v>157</v>
      </c>
      <c r="HZ2" t="s">
        <v>158</v>
      </c>
      <c r="IA2" t="s">
        <v>159</v>
      </c>
      <c r="IC2" t="s">
        <v>160</v>
      </c>
      <c r="IG2" s="4" t="s">
        <v>547</v>
      </c>
      <c r="IH2" s="4" t="s">
        <v>548</v>
      </c>
      <c r="II2" s="4" t="s">
        <v>549</v>
      </c>
      <c r="IJ2" t="s">
        <v>849</v>
      </c>
      <c r="IK2" t="s">
        <v>850</v>
      </c>
      <c r="IN2" s="85" t="s">
        <v>587</v>
      </c>
      <c r="IO2" s="85">
        <f t="shared" ref="IO2:IO66" si="0">LEN(IN2)-LEN(SUBSTITUTE(IN2,"T",""))</f>
        <v>0</v>
      </c>
      <c r="IT2" s="3" t="s">
        <v>281</v>
      </c>
      <c r="IW2" s="96" t="s">
        <v>416</v>
      </c>
      <c r="IX2" s="96" t="s">
        <v>568</v>
      </c>
      <c r="IY2" s="96" t="s">
        <v>418</v>
      </c>
      <c r="JA2" s="86" t="s">
        <v>606</v>
      </c>
      <c r="JC2" s="86" t="s">
        <v>608</v>
      </c>
      <c r="JE2" s="86" t="s">
        <v>607</v>
      </c>
      <c r="JG2" s="86" t="s">
        <v>609</v>
      </c>
      <c r="JI2" t="s">
        <v>626</v>
      </c>
      <c r="JK2" t="s">
        <v>293</v>
      </c>
      <c r="JL2" t="str">
        <f>JP1</f>
        <v>TPostQtyNA</v>
      </c>
      <c r="JO2">
        <v>1</v>
      </c>
      <c r="JP2" t="s">
        <v>165</v>
      </c>
      <c r="JR2" s="3" t="s">
        <v>87</v>
      </c>
      <c r="JZ2" t="s">
        <v>648</v>
      </c>
      <c r="KC2" s="85" t="s">
        <v>87</v>
      </c>
      <c r="KD2" s="85">
        <v>0</v>
      </c>
      <c r="KE2" s="85">
        <v>0</v>
      </c>
      <c r="KF2" s="85">
        <v>0</v>
      </c>
      <c r="KG2" s="85">
        <v>40</v>
      </c>
      <c r="KH2" s="85">
        <v>0</v>
      </c>
      <c r="KI2" s="85">
        <v>0</v>
      </c>
      <c r="KP2" s="85" t="s">
        <v>587</v>
      </c>
      <c r="KQ2" s="85">
        <v>1</v>
      </c>
      <c r="KR2" t="s">
        <v>872</v>
      </c>
      <c r="KS2" t="s">
        <v>195</v>
      </c>
      <c r="KT2" t="s">
        <v>218</v>
      </c>
    </row>
    <row r="3" spans="1:306" ht="15" x14ac:dyDescent="0.25">
      <c r="A3" t="s">
        <v>784</v>
      </c>
      <c r="B3" t="s">
        <v>819</v>
      </c>
      <c r="C3" t="s">
        <v>799</v>
      </c>
      <c r="D3" t="s">
        <v>86</v>
      </c>
      <c r="E3" t="s">
        <v>162</v>
      </c>
      <c r="F3" t="s">
        <v>293</v>
      </c>
      <c r="H3" s="2" t="s">
        <v>164</v>
      </c>
      <c r="I3" t="s">
        <v>167</v>
      </c>
      <c r="J3" t="s">
        <v>813</v>
      </c>
      <c r="K3" t="s">
        <v>165</v>
      </c>
      <c r="M3" t="s">
        <v>163</v>
      </c>
      <c r="N3" t="str">
        <f>J2</f>
        <v>FauxwoodDesignerHingeColour</v>
      </c>
      <c r="O3" t="s">
        <v>165</v>
      </c>
      <c r="P3" t="s">
        <v>84</v>
      </c>
      <c r="Q3" t="s">
        <v>165</v>
      </c>
      <c r="S3" t="s">
        <v>166</v>
      </c>
      <c r="T3" t="s">
        <v>166</v>
      </c>
      <c r="V3" t="s">
        <v>167</v>
      </c>
      <c r="Y3" s="3" t="s">
        <v>168</v>
      </c>
      <c r="Z3" s="3" t="s">
        <v>168</v>
      </c>
      <c r="AA3" s="3" t="s">
        <v>168</v>
      </c>
      <c r="AD3" t="s">
        <v>168</v>
      </c>
      <c r="AE3" t="s">
        <v>168</v>
      </c>
      <c r="AG3" t="s">
        <v>161</v>
      </c>
      <c r="AH3">
        <v>1</v>
      </c>
      <c r="AJ3" t="s">
        <v>167</v>
      </c>
      <c r="AK3" t="s">
        <v>165</v>
      </c>
      <c r="AO3" s="86" t="s">
        <v>587</v>
      </c>
      <c r="AP3" s="86">
        <v>2</v>
      </c>
      <c r="AQ3" s="85" t="s">
        <v>82</v>
      </c>
      <c r="AR3" t="s">
        <v>169</v>
      </c>
      <c r="AS3" t="s">
        <v>170</v>
      </c>
      <c r="AT3" t="s">
        <v>171</v>
      </c>
      <c r="AU3" t="s">
        <v>172</v>
      </c>
      <c r="AV3" t="s">
        <v>173</v>
      </c>
      <c r="AW3" t="s">
        <v>174</v>
      </c>
      <c r="AY3" t="s">
        <v>175</v>
      </c>
      <c r="AZ3" t="s">
        <v>176</v>
      </c>
      <c r="BA3" t="s">
        <v>177</v>
      </c>
      <c r="BB3" t="s">
        <v>178</v>
      </c>
      <c r="BC3" t="s">
        <v>179</v>
      </c>
      <c r="BD3" t="s">
        <v>180</v>
      </c>
      <c r="BG3" t="s">
        <v>69</v>
      </c>
      <c r="BH3" s="3" t="s">
        <v>800</v>
      </c>
      <c r="BI3" s="4" t="s">
        <v>165</v>
      </c>
      <c r="BJ3" s="4" t="s">
        <v>181</v>
      </c>
      <c r="BK3" t="s">
        <v>84</v>
      </c>
      <c r="BM3" t="s">
        <v>182</v>
      </c>
      <c r="BN3" t="s">
        <v>182</v>
      </c>
      <c r="BO3" t="s">
        <v>182</v>
      </c>
      <c r="BQ3" t="s">
        <v>167</v>
      </c>
      <c r="BR3" t="s">
        <v>167</v>
      </c>
      <c r="BS3" t="s">
        <v>165</v>
      </c>
      <c r="BU3" t="s">
        <v>55</v>
      </c>
      <c r="BW3" t="s">
        <v>162</v>
      </c>
      <c r="BX3" t="s">
        <v>162</v>
      </c>
      <c r="BY3" t="s">
        <v>183</v>
      </c>
      <c r="CA3" t="s">
        <v>184</v>
      </c>
      <c r="CB3" t="s">
        <v>82</v>
      </c>
      <c r="CC3" t="s">
        <v>185</v>
      </c>
      <c r="CD3" t="s">
        <v>167</v>
      </c>
      <c r="CF3" t="s">
        <v>186</v>
      </c>
      <c r="CH3" t="s">
        <v>797</v>
      </c>
      <c r="CJ3" t="s">
        <v>185</v>
      </c>
      <c r="CK3" t="s">
        <v>185</v>
      </c>
      <c r="CM3" t="s">
        <v>188</v>
      </c>
      <c r="CN3" t="s">
        <v>189</v>
      </c>
      <c r="CP3" t="s">
        <v>190</v>
      </c>
      <c r="CS3" t="s">
        <v>55</v>
      </c>
      <c r="CT3" t="s">
        <v>55</v>
      </c>
      <c r="CU3" t="s">
        <v>55</v>
      </c>
      <c r="CV3" t="s">
        <v>55</v>
      </c>
      <c r="CW3" t="s">
        <v>55</v>
      </c>
      <c r="CX3" t="s">
        <v>55</v>
      </c>
      <c r="CY3" t="s">
        <v>55</v>
      </c>
      <c r="CZ3" t="s">
        <v>55</v>
      </c>
      <c r="DA3" t="s">
        <v>55</v>
      </c>
      <c r="DB3" t="s">
        <v>55</v>
      </c>
      <c r="DC3" t="s">
        <v>55</v>
      </c>
      <c r="DE3" t="s">
        <v>55</v>
      </c>
      <c r="DG3" t="s">
        <v>55</v>
      </c>
      <c r="DH3" t="s">
        <v>55</v>
      </c>
      <c r="DI3" t="s">
        <v>55</v>
      </c>
      <c r="DJ3" t="s">
        <v>55</v>
      </c>
      <c r="DK3" t="s">
        <v>55</v>
      </c>
      <c r="DL3" t="s">
        <v>55</v>
      </c>
      <c r="DM3" t="s">
        <v>55</v>
      </c>
      <c r="DN3" t="s">
        <v>55</v>
      </c>
      <c r="DO3" t="s">
        <v>55</v>
      </c>
      <c r="DP3" t="s">
        <v>55</v>
      </c>
      <c r="DQ3" t="s">
        <v>55</v>
      </c>
      <c r="DR3" t="s">
        <v>55</v>
      </c>
      <c r="DT3" t="s">
        <v>55</v>
      </c>
      <c r="DU3" t="s">
        <v>55</v>
      </c>
      <c r="DV3" t="s">
        <v>55</v>
      </c>
      <c r="DW3" t="s">
        <v>55</v>
      </c>
      <c r="DY3" t="s">
        <v>55</v>
      </c>
      <c r="EA3" t="s">
        <v>162</v>
      </c>
      <c r="EB3" t="s">
        <v>162</v>
      </c>
      <c r="EC3" t="s">
        <v>162</v>
      </c>
      <c r="ED3" t="s">
        <v>162</v>
      </c>
      <c r="EE3" t="s">
        <v>162</v>
      </c>
      <c r="EF3" t="s">
        <v>162</v>
      </c>
      <c r="EG3" t="s">
        <v>162</v>
      </c>
      <c r="EH3" t="s">
        <v>162</v>
      </c>
      <c r="EI3" t="s">
        <v>162</v>
      </c>
      <c r="EJ3" t="s">
        <v>162</v>
      </c>
      <c r="EK3" t="s">
        <v>162</v>
      </c>
      <c r="EL3" t="s">
        <v>162</v>
      </c>
      <c r="EM3" t="s">
        <v>162</v>
      </c>
      <c r="EN3" t="s">
        <v>162</v>
      </c>
      <c r="EO3" t="s">
        <v>162</v>
      </c>
      <c r="EP3" t="s">
        <v>162</v>
      </c>
      <c r="EQ3" t="s">
        <v>183</v>
      </c>
      <c r="ER3" t="s">
        <v>183</v>
      </c>
      <c r="ES3" t="s">
        <v>183</v>
      </c>
      <c r="EV3" s="3" t="s">
        <v>363</v>
      </c>
      <c r="EX3" t="s">
        <v>192</v>
      </c>
      <c r="EY3" t="s">
        <v>192</v>
      </c>
      <c r="EZ3" t="s">
        <v>192</v>
      </c>
      <c r="FA3" t="s">
        <v>192</v>
      </c>
      <c r="FB3" t="s">
        <v>192</v>
      </c>
      <c r="FC3" t="s">
        <v>192</v>
      </c>
      <c r="FD3" t="s">
        <v>193</v>
      </c>
      <c r="FE3" t="s">
        <v>192</v>
      </c>
      <c r="FF3" t="s">
        <v>192</v>
      </c>
      <c r="FG3" t="s">
        <v>86</v>
      </c>
      <c r="FV3" t="s">
        <v>81</v>
      </c>
      <c r="FW3" t="s">
        <v>194</v>
      </c>
      <c r="FX3" t="s">
        <v>167</v>
      </c>
      <c r="FY3" t="s">
        <v>165</v>
      </c>
      <c r="FZ3" t="s">
        <v>165</v>
      </c>
      <c r="GA3" t="s">
        <v>165</v>
      </c>
      <c r="GB3" t="s">
        <v>195</v>
      </c>
      <c r="GC3" s="2" t="s">
        <v>164</v>
      </c>
      <c r="GD3" s="85" t="s">
        <v>84</v>
      </c>
      <c r="GE3" s="85" t="s">
        <v>167</v>
      </c>
      <c r="GF3" s="85" t="s">
        <v>167</v>
      </c>
      <c r="GG3" s="85" t="s">
        <v>167</v>
      </c>
      <c r="GH3" s="85" t="s">
        <v>167</v>
      </c>
      <c r="GI3" s="85" t="s">
        <v>167</v>
      </c>
      <c r="GJ3" s="85" t="s">
        <v>167</v>
      </c>
      <c r="GK3" s="85" t="s">
        <v>167</v>
      </c>
      <c r="GL3" s="85" t="s">
        <v>167</v>
      </c>
      <c r="GM3" s="85" t="s">
        <v>167</v>
      </c>
      <c r="GN3" s="85" t="s">
        <v>167</v>
      </c>
      <c r="GO3" s="85" t="s">
        <v>167</v>
      </c>
      <c r="GP3" s="85" t="s">
        <v>167</v>
      </c>
      <c r="GQ3" t="s">
        <v>164</v>
      </c>
      <c r="GR3" t="s">
        <v>196</v>
      </c>
      <c r="GS3" t="s">
        <v>196</v>
      </c>
      <c r="GT3" t="s">
        <v>197</v>
      </c>
      <c r="GU3">
        <v>40</v>
      </c>
      <c r="GV3" s="4" t="s">
        <v>135</v>
      </c>
      <c r="GW3" s="3" t="s">
        <v>164</v>
      </c>
      <c r="GX3" t="s">
        <v>164</v>
      </c>
      <c r="GY3" t="s">
        <v>198</v>
      </c>
      <c r="GZ3" t="s">
        <v>165</v>
      </c>
      <c r="HA3" s="89" t="s">
        <v>288</v>
      </c>
      <c r="HB3" s="89" t="str">
        <f>HB10</f>
        <v>FauxwoodDesignerSlidingFrameType</v>
      </c>
      <c r="HC3" s="89" t="str">
        <f>HB10</f>
        <v>FauxwoodDesignerSlidingFrameType</v>
      </c>
      <c r="HD3" s="89" t="str">
        <f t="shared" ref="HD3:HD4" si="1">$GZ$2</f>
        <v>FauxwoodDesignerMS</v>
      </c>
      <c r="HF3" s="3" t="s">
        <v>167</v>
      </c>
      <c r="HG3" s="3" t="s">
        <v>167</v>
      </c>
      <c r="HH3" s="3" t="s">
        <v>167</v>
      </c>
      <c r="HI3" s="3" t="s">
        <v>167</v>
      </c>
      <c r="HJ3" s="3" t="s">
        <v>167</v>
      </c>
      <c r="HK3" s="3" t="s">
        <v>167</v>
      </c>
      <c r="HL3" s="3" t="s">
        <v>167</v>
      </c>
      <c r="HM3" s="3" t="s">
        <v>167</v>
      </c>
      <c r="HN3" s="3" t="s">
        <v>167</v>
      </c>
      <c r="HO3" s="3" t="s">
        <v>167</v>
      </c>
      <c r="HP3" s="3" t="s">
        <v>84</v>
      </c>
      <c r="HQ3" s="3" t="s">
        <v>167</v>
      </c>
      <c r="HR3" s="3" t="s">
        <v>167</v>
      </c>
      <c r="HS3" s="3" t="s">
        <v>167</v>
      </c>
      <c r="HT3" s="3" t="s">
        <v>167</v>
      </c>
      <c r="HY3" t="s">
        <v>81</v>
      </c>
      <c r="HZ3" t="s">
        <v>81</v>
      </c>
      <c r="IA3" t="s">
        <v>194</v>
      </c>
      <c r="IC3" t="s">
        <v>199</v>
      </c>
      <c r="ID3" t="s">
        <v>200</v>
      </c>
      <c r="IG3" s="4" t="s">
        <v>165</v>
      </c>
      <c r="IH3" s="4" t="s">
        <v>275</v>
      </c>
      <c r="II3" s="4" t="s">
        <v>275</v>
      </c>
      <c r="IJ3" s="4" t="s">
        <v>293</v>
      </c>
      <c r="IK3" s="4" t="s">
        <v>163</v>
      </c>
      <c r="IN3" s="85" t="s">
        <v>664</v>
      </c>
      <c r="IO3" s="85">
        <f t="shared" si="0"/>
        <v>0</v>
      </c>
      <c r="IT3" s="3" t="s">
        <v>288</v>
      </c>
      <c r="IW3" s="85" t="s">
        <v>569</v>
      </c>
      <c r="IX3" s="85">
        <v>2</v>
      </c>
      <c r="IY3" s="97" t="s">
        <v>570</v>
      </c>
      <c r="JA3" s="85" t="s">
        <v>569</v>
      </c>
      <c r="JC3" s="85" t="s">
        <v>587</v>
      </c>
      <c r="JE3" s="86" t="s">
        <v>161</v>
      </c>
      <c r="JG3" s="85" t="s">
        <v>165</v>
      </c>
      <c r="JI3" t="s">
        <v>165</v>
      </c>
      <c r="JK3" t="s">
        <v>163</v>
      </c>
      <c r="JL3" t="str">
        <f>JO1</f>
        <v>TPostQuantity</v>
      </c>
      <c r="JO3">
        <v>2</v>
      </c>
      <c r="JR3" s="3" t="s">
        <v>188</v>
      </c>
      <c r="JZ3" s="3" t="s">
        <v>689</v>
      </c>
      <c r="KC3" s="85" t="s">
        <v>188</v>
      </c>
      <c r="KD3" s="85">
        <v>0</v>
      </c>
      <c r="KE3" s="85">
        <v>0</v>
      </c>
      <c r="KF3" s="85">
        <v>0</v>
      </c>
      <c r="KG3" s="85">
        <v>40</v>
      </c>
      <c r="KH3" s="85">
        <v>0</v>
      </c>
      <c r="KI3" s="85">
        <v>0</v>
      </c>
      <c r="KP3" s="85" t="s">
        <v>664</v>
      </c>
      <c r="KQ3" s="85">
        <v>2</v>
      </c>
      <c r="KR3" t="s">
        <v>872</v>
      </c>
      <c r="KS3" t="s">
        <v>218</v>
      </c>
    </row>
    <row r="4" spans="1:306" ht="15" x14ac:dyDescent="0.25">
      <c r="A4" t="s">
        <v>785</v>
      </c>
      <c r="B4" t="s">
        <v>759</v>
      </c>
      <c r="C4" t="s">
        <v>800</v>
      </c>
      <c r="D4" t="s">
        <v>187</v>
      </c>
      <c r="E4" t="s">
        <v>183</v>
      </c>
      <c r="F4" t="s">
        <v>163</v>
      </c>
      <c r="H4" s="2" t="s">
        <v>202</v>
      </c>
      <c r="I4" t="s">
        <v>167</v>
      </c>
      <c r="J4" t="s">
        <v>216</v>
      </c>
      <c r="M4" t="s">
        <v>288</v>
      </c>
      <c r="N4" t="str">
        <f>J2</f>
        <v>FauxwoodDesignerHingeColour</v>
      </c>
      <c r="P4" t="s">
        <v>167</v>
      </c>
      <c r="S4" t="s">
        <v>168</v>
      </c>
      <c r="T4" t="s">
        <v>168</v>
      </c>
      <c r="V4" t="s">
        <v>84</v>
      </c>
      <c r="Y4" s="3" t="s">
        <v>166</v>
      </c>
      <c r="Z4" s="3" t="s">
        <v>166</v>
      </c>
      <c r="AA4" s="3" t="s">
        <v>166</v>
      </c>
      <c r="AD4" t="s">
        <v>166</v>
      </c>
      <c r="AE4" t="s">
        <v>166</v>
      </c>
      <c r="AG4" t="s">
        <v>201</v>
      </c>
      <c r="AH4">
        <v>1</v>
      </c>
      <c r="AJ4" t="s">
        <v>84</v>
      </c>
      <c r="AO4" s="86" t="s">
        <v>664</v>
      </c>
      <c r="AP4" s="86">
        <v>4</v>
      </c>
      <c r="AQ4" s="85" t="s">
        <v>82</v>
      </c>
      <c r="AR4" t="s">
        <v>167</v>
      </c>
      <c r="AS4" t="s">
        <v>167</v>
      </c>
      <c r="AT4" t="s">
        <v>203</v>
      </c>
      <c r="AU4" t="s">
        <v>204</v>
      </c>
      <c r="AV4" t="s">
        <v>167</v>
      </c>
      <c r="AW4" t="s">
        <v>84</v>
      </c>
      <c r="AY4" t="s">
        <v>167</v>
      </c>
      <c r="AZ4" t="s">
        <v>167</v>
      </c>
      <c r="BA4" t="s">
        <v>167</v>
      </c>
      <c r="BB4" t="s">
        <v>167</v>
      </c>
      <c r="BC4" t="s">
        <v>167</v>
      </c>
      <c r="BD4" t="s">
        <v>84</v>
      </c>
      <c r="BG4" t="s">
        <v>167</v>
      </c>
      <c r="BH4" s="3" t="s">
        <v>836</v>
      </c>
      <c r="BJ4" s="87" t="s">
        <v>205</v>
      </c>
      <c r="BK4" t="s">
        <v>167</v>
      </c>
      <c r="BL4" t="s">
        <v>206</v>
      </c>
      <c r="BM4" t="s">
        <v>207</v>
      </c>
      <c r="BN4" t="s">
        <v>207</v>
      </c>
      <c r="BO4" t="s">
        <v>207</v>
      </c>
      <c r="BR4" t="s">
        <v>84</v>
      </c>
      <c r="BU4" t="s">
        <v>208</v>
      </c>
      <c r="BW4" t="s">
        <v>183</v>
      </c>
      <c r="BX4" t="s">
        <v>183</v>
      </c>
      <c r="CA4" t="s">
        <v>209</v>
      </c>
      <c r="CB4" t="s">
        <v>84</v>
      </c>
      <c r="CC4" t="s">
        <v>88</v>
      </c>
      <c r="CD4" t="s">
        <v>167</v>
      </c>
      <c r="CF4" t="s">
        <v>210</v>
      </c>
      <c r="CH4" t="s">
        <v>724</v>
      </c>
      <c r="CJ4" t="s">
        <v>88</v>
      </c>
      <c r="CK4" t="s">
        <v>88</v>
      </c>
      <c r="CM4" t="s">
        <v>212</v>
      </c>
      <c r="CN4" t="s">
        <v>213</v>
      </c>
      <c r="CP4" t="s">
        <v>214</v>
      </c>
      <c r="EA4" t="s">
        <v>183</v>
      </c>
      <c r="EB4" t="s">
        <v>183</v>
      </c>
      <c r="EC4" t="s">
        <v>183</v>
      </c>
      <c r="ED4" t="s">
        <v>183</v>
      </c>
      <c r="EE4" t="s">
        <v>183</v>
      </c>
      <c r="EF4" t="s">
        <v>183</v>
      </c>
      <c r="EG4" t="s">
        <v>183</v>
      </c>
      <c r="EH4" t="s">
        <v>183</v>
      </c>
      <c r="EI4" t="s">
        <v>183</v>
      </c>
      <c r="EJ4" t="s">
        <v>183</v>
      </c>
      <c r="EK4" t="s">
        <v>183</v>
      </c>
      <c r="EL4" t="s">
        <v>183</v>
      </c>
      <c r="EM4" t="s">
        <v>183</v>
      </c>
      <c r="EN4" t="s">
        <v>183</v>
      </c>
      <c r="EO4" t="s">
        <v>183</v>
      </c>
      <c r="EP4" t="s">
        <v>183</v>
      </c>
      <c r="EV4" t="s">
        <v>109</v>
      </c>
      <c r="FD4" t="s">
        <v>192</v>
      </c>
      <c r="FE4" t="s">
        <v>216</v>
      </c>
      <c r="FG4" t="s">
        <v>797</v>
      </c>
      <c r="FV4" t="s">
        <v>184</v>
      </c>
      <c r="FW4" t="s">
        <v>217</v>
      </c>
      <c r="GB4" t="s">
        <v>218</v>
      </c>
      <c r="GC4" s="2" t="s">
        <v>202</v>
      </c>
      <c r="GD4" s="85" t="s">
        <v>219</v>
      </c>
      <c r="GE4" s="85" t="s">
        <v>84</v>
      </c>
      <c r="GF4" s="85" t="s">
        <v>84</v>
      </c>
      <c r="GG4" s="85" t="s">
        <v>84</v>
      </c>
      <c r="GH4" s="85" t="s">
        <v>84</v>
      </c>
      <c r="GI4" s="85" t="s">
        <v>84</v>
      </c>
      <c r="GJ4" s="85" t="s">
        <v>84</v>
      </c>
      <c r="GK4" s="85" t="s">
        <v>84</v>
      </c>
      <c r="GL4" s="85" t="s">
        <v>84</v>
      </c>
      <c r="GM4" s="85" t="s">
        <v>84</v>
      </c>
      <c r="GN4" s="85" t="s">
        <v>84</v>
      </c>
      <c r="GO4" s="85" t="s">
        <v>84</v>
      </c>
      <c r="GP4" s="85" t="s">
        <v>84</v>
      </c>
      <c r="GQ4" t="s">
        <v>202</v>
      </c>
      <c r="GR4" t="s">
        <v>196</v>
      </c>
      <c r="GS4" t="s">
        <v>196</v>
      </c>
      <c r="GT4" t="s">
        <v>197</v>
      </c>
      <c r="GU4">
        <v>50</v>
      </c>
      <c r="GV4" s="4" t="s">
        <v>136</v>
      </c>
      <c r="GW4" s="3" t="s">
        <v>202</v>
      </c>
      <c r="GX4" t="s">
        <v>202</v>
      </c>
      <c r="GY4" t="s">
        <v>390</v>
      </c>
      <c r="HA4" s="89" t="s">
        <v>281</v>
      </c>
      <c r="HB4" s="89" t="str">
        <f>HA10</f>
        <v>FauxwoodDesignerTrackBiFoldFrameType</v>
      </c>
      <c r="HC4" s="89" t="str">
        <f>HA10</f>
        <v>FauxwoodDesignerTrackBiFoldFrameType</v>
      </c>
      <c r="HD4" s="89" t="str">
        <f t="shared" si="1"/>
        <v>FauxwoodDesignerMS</v>
      </c>
      <c r="HF4" s="3" t="s">
        <v>84</v>
      </c>
      <c r="HG4" s="3" t="s">
        <v>84</v>
      </c>
      <c r="HH4" s="3" t="s">
        <v>84</v>
      </c>
      <c r="HI4" s="3" t="s">
        <v>84</v>
      </c>
      <c r="HJ4" s="3" t="s">
        <v>84</v>
      </c>
      <c r="HK4" s="3" t="s">
        <v>84</v>
      </c>
      <c r="HL4" s="3" t="s">
        <v>84</v>
      </c>
      <c r="HM4" s="3" t="s">
        <v>84</v>
      </c>
      <c r="HN4" s="3" t="s">
        <v>84</v>
      </c>
      <c r="HO4" s="3" t="s">
        <v>84</v>
      </c>
      <c r="HP4" s="3" t="s">
        <v>219</v>
      </c>
      <c r="HQ4" s="3" t="s">
        <v>84</v>
      </c>
      <c r="HR4" s="3" t="s">
        <v>84</v>
      </c>
      <c r="HS4" s="3" t="s">
        <v>84</v>
      </c>
      <c r="HT4" s="3" t="s">
        <v>84</v>
      </c>
      <c r="HY4" t="s">
        <v>184</v>
      </c>
      <c r="HZ4" t="s">
        <v>184</v>
      </c>
      <c r="IA4" t="s">
        <v>217</v>
      </c>
      <c r="IC4" t="s">
        <v>221</v>
      </c>
      <c r="ID4" t="s">
        <v>200</v>
      </c>
      <c r="IG4" s="4"/>
      <c r="IH4" s="4" t="s">
        <v>293</v>
      </c>
      <c r="II4" s="4" t="s">
        <v>163</v>
      </c>
      <c r="IJ4" t="s">
        <v>163</v>
      </c>
      <c r="IN4" s="85" t="s">
        <v>665</v>
      </c>
      <c r="IO4" s="85">
        <f t="shared" si="0"/>
        <v>0</v>
      </c>
      <c r="IT4" s="3" t="s">
        <v>163</v>
      </c>
      <c r="IW4" s="85" t="s">
        <v>571</v>
      </c>
      <c r="IX4" s="85">
        <v>2</v>
      </c>
      <c r="IY4" s="97" t="s">
        <v>570</v>
      </c>
      <c r="JA4" s="85" t="s">
        <v>573</v>
      </c>
      <c r="JC4" s="85" t="s">
        <v>664</v>
      </c>
      <c r="JE4" s="141" t="s">
        <v>705</v>
      </c>
      <c r="JK4" t="s">
        <v>288</v>
      </c>
      <c r="JL4" t="str">
        <f>JP1</f>
        <v>TPostQtyNA</v>
      </c>
      <c r="JO4">
        <v>3</v>
      </c>
      <c r="JR4" s="3" t="s">
        <v>212</v>
      </c>
      <c r="JZ4" s="3" t="s">
        <v>690</v>
      </c>
      <c r="KC4" s="85" t="s">
        <v>212</v>
      </c>
      <c r="KD4" s="85">
        <v>0</v>
      </c>
      <c r="KE4" s="85">
        <v>0</v>
      </c>
      <c r="KF4" s="85">
        <v>0</v>
      </c>
      <c r="KG4" s="85">
        <v>40</v>
      </c>
      <c r="KH4" s="85">
        <v>0</v>
      </c>
      <c r="KI4" s="85">
        <v>0</v>
      </c>
      <c r="KP4" s="85" t="s">
        <v>665</v>
      </c>
      <c r="KQ4" s="85">
        <v>2</v>
      </c>
      <c r="KR4" t="s">
        <v>872</v>
      </c>
    </row>
    <row r="5" spans="1:306" ht="15" x14ac:dyDescent="0.25">
      <c r="A5" t="s">
        <v>786</v>
      </c>
      <c r="B5" t="s">
        <v>843</v>
      </c>
      <c r="C5" t="s">
        <v>836</v>
      </c>
      <c r="D5" t="s">
        <v>724</v>
      </c>
      <c r="F5" t="s">
        <v>288</v>
      </c>
      <c r="H5" s="2" t="s">
        <v>223</v>
      </c>
      <c r="I5" t="s">
        <v>167</v>
      </c>
      <c r="M5" t="s">
        <v>281</v>
      </c>
      <c r="N5" t="str">
        <f>J2</f>
        <v>FauxwoodDesignerHingeColour</v>
      </c>
      <c r="S5" t="s">
        <v>224</v>
      </c>
      <c r="T5" t="s">
        <v>224</v>
      </c>
      <c r="V5" t="s">
        <v>219</v>
      </c>
      <c r="Y5" s="3" t="s">
        <v>224</v>
      </c>
      <c r="Z5" s="3" t="s">
        <v>224</v>
      </c>
      <c r="AA5" s="3" t="s">
        <v>224</v>
      </c>
      <c r="AD5" t="s">
        <v>224</v>
      </c>
      <c r="AE5" t="s">
        <v>224</v>
      </c>
      <c r="AG5" t="s">
        <v>222</v>
      </c>
      <c r="AH5">
        <v>2</v>
      </c>
      <c r="AO5" s="86" t="s">
        <v>665</v>
      </c>
      <c r="AP5" s="86">
        <v>4</v>
      </c>
      <c r="AQ5" s="85" t="s">
        <v>82</v>
      </c>
      <c r="AR5" t="s">
        <v>84</v>
      </c>
      <c r="AS5" t="s">
        <v>84</v>
      </c>
      <c r="AT5" t="s">
        <v>225</v>
      </c>
      <c r="AU5" t="s">
        <v>203</v>
      </c>
      <c r="AY5" t="s">
        <v>84</v>
      </c>
      <c r="AZ5" t="s">
        <v>84</v>
      </c>
      <c r="BG5" t="s">
        <v>84</v>
      </c>
      <c r="BJ5" s="87" t="s">
        <v>226</v>
      </c>
      <c r="BK5" t="s">
        <v>167</v>
      </c>
      <c r="BL5" t="s">
        <v>200</v>
      </c>
      <c r="BM5" t="s">
        <v>840</v>
      </c>
      <c r="BN5" t="s">
        <v>840</v>
      </c>
      <c r="BO5" t="s">
        <v>840</v>
      </c>
      <c r="BW5" t="s">
        <v>227</v>
      </c>
      <c r="BX5" t="s">
        <v>227</v>
      </c>
      <c r="CA5" t="s">
        <v>228</v>
      </c>
      <c r="CB5" t="s">
        <v>84</v>
      </c>
      <c r="CC5" t="s">
        <v>189</v>
      </c>
      <c r="CD5" t="s">
        <v>167</v>
      </c>
      <c r="CF5" s="3" t="s">
        <v>373</v>
      </c>
      <c r="CH5" t="s">
        <v>783</v>
      </c>
      <c r="CJ5" t="s">
        <v>189</v>
      </c>
      <c r="CK5" t="s">
        <v>189</v>
      </c>
      <c r="CM5" t="s">
        <v>230</v>
      </c>
      <c r="CN5" t="s">
        <v>231</v>
      </c>
      <c r="CP5" t="s">
        <v>204</v>
      </c>
      <c r="EA5" t="s">
        <v>227</v>
      </c>
      <c r="EB5" t="s">
        <v>227</v>
      </c>
      <c r="EC5" t="s">
        <v>227</v>
      </c>
      <c r="EP5" t="s">
        <v>227</v>
      </c>
      <c r="EV5" s="3" t="s">
        <v>367</v>
      </c>
      <c r="FG5" t="s">
        <v>724</v>
      </c>
      <c r="FV5" t="s">
        <v>209</v>
      </c>
      <c r="FW5" t="s">
        <v>233</v>
      </c>
      <c r="GC5" s="2" t="s">
        <v>223</v>
      </c>
      <c r="GD5" s="85"/>
      <c r="GE5" s="85" t="s">
        <v>219</v>
      </c>
      <c r="GF5" s="85" t="s">
        <v>219</v>
      </c>
      <c r="GG5" s="85" t="s">
        <v>219</v>
      </c>
      <c r="GH5" s="85" t="s">
        <v>219</v>
      </c>
      <c r="GI5" s="85" t="s">
        <v>219</v>
      </c>
      <c r="GJ5" s="85" t="s">
        <v>219</v>
      </c>
      <c r="GK5" s="85" t="s">
        <v>219</v>
      </c>
      <c r="GL5" s="85" t="s">
        <v>219</v>
      </c>
      <c r="GM5" s="85" t="s">
        <v>219</v>
      </c>
      <c r="GN5" s="85" t="s">
        <v>219</v>
      </c>
      <c r="GO5" s="85" t="s">
        <v>219</v>
      </c>
      <c r="GP5" s="85" t="s">
        <v>219</v>
      </c>
      <c r="GQ5" t="s">
        <v>223</v>
      </c>
      <c r="GR5" t="s">
        <v>196</v>
      </c>
      <c r="GS5" t="s">
        <v>196</v>
      </c>
      <c r="GT5" t="s">
        <v>197</v>
      </c>
      <c r="GU5">
        <v>40</v>
      </c>
      <c r="GW5" s="3" t="s">
        <v>223</v>
      </c>
      <c r="GX5" t="s">
        <v>223</v>
      </c>
      <c r="GY5" t="s">
        <v>860</v>
      </c>
      <c r="HA5" s="89" t="s">
        <v>165</v>
      </c>
      <c r="HB5" s="89" t="str">
        <f>HE1</f>
        <v>FauxwoodDesignerMountingMethodNA</v>
      </c>
      <c r="HC5" s="89" t="str">
        <f>$HE$1</f>
        <v>FauxwoodDesignerMountingMethodNA</v>
      </c>
      <c r="HD5" s="89" t="str">
        <f>HE1</f>
        <v>FauxwoodDesignerMountingMethodNA</v>
      </c>
      <c r="HF5" s="3" t="s">
        <v>219</v>
      </c>
      <c r="HG5" s="3" t="s">
        <v>219</v>
      </c>
      <c r="HH5" s="3" t="s">
        <v>219</v>
      </c>
      <c r="HI5" s="3" t="s">
        <v>219</v>
      </c>
      <c r="HJ5" s="3" t="s">
        <v>219</v>
      </c>
      <c r="HK5" s="3" t="s">
        <v>219</v>
      </c>
      <c r="HL5" s="3" t="s">
        <v>219</v>
      </c>
      <c r="HM5" s="3" t="s">
        <v>219</v>
      </c>
      <c r="HN5" s="3" t="s">
        <v>219</v>
      </c>
      <c r="HO5" s="3" t="s">
        <v>219</v>
      </c>
      <c r="HP5" s="3"/>
      <c r="HQ5" s="3" t="s">
        <v>219</v>
      </c>
      <c r="HR5" s="3" t="s">
        <v>219</v>
      </c>
      <c r="HS5" s="3" t="s">
        <v>219</v>
      </c>
      <c r="HT5" s="3" t="s">
        <v>219</v>
      </c>
      <c r="HY5" t="s">
        <v>209</v>
      </c>
      <c r="HZ5" t="s">
        <v>209</v>
      </c>
      <c r="IA5" t="s">
        <v>233</v>
      </c>
      <c r="IC5" t="s">
        <v>234</v>
      </c>
      <c r="ID5" t="s">
        <v>200</v>
      </c>
      <c r="IG5" s="4"/>
      <c r="IH5" s="4" t="s">
        <v>163</v>
      </c>
      <c r="II5" s="4" t="s">
        <v>852</v>
      </c>
      <c r="IN5" s="85" t="s">
        <v>670</v>
      </c>
      <c r="IO5" s="85">
        <f t="shared" si="0"/>
        <v>0</v>
      </c>
      <c r="IT5" s="3" t="s">
        <v>165</v>
      </c>
      <c r="IW5" s="85" t="s">
        <v>572</v>
      </c>
      <c r="IX5" s="85">
        <v>4</v>
      </c>
      <c r="IY5" s="97" t="s">
        <v>570</v>
      </c>
      <c r="JA5" s="85" t="s">
        <v>575</v>
      </c>
      <c r="JC5" s="85" t="s">
        <v>665</v>
      </c>
      <c r="JE5" s="141" t="s">
        <v>706</v>
      </c>
      <c r="JK5" t="s">
        <v>281</v>
      </c>
      <c r="JL5" t="str">
        <f>JP1</f>
        <v>TPostQtyNA</v>
      </c>
      <c r="JO5">
        <v>4</v>
      </c>
      <c r="JR5" s="3" t="s">
        <v>230</v>
      </c>
      <c r="JW5" t="s">
        <v>275</v>
      </c>
      <c r="JX5" t="s">
        <v>167</v>
      </c>
      <c r="JZ5" s="3" t="s">
        <v>569</v>
      </c>
      <c r="KC5" s="85" t="s">
        <v>230</v>
      </c>
      <c r="KD5" s="85">
        <v>0</v>
      </c>
      <c r="KE5" s="85">
        <v>0</v>
      </c>
      <c r="KF5" s="85">
        <v>0</v>
      </c>
      <c r="KG5" s="85">
        <v>40</v>
      </c>
      <c r="KH5" s="85">
        <v>0</v>
      </c>
      <c r="KI5" s="85">
        <v>0</v>
      </c>
      <c r="KP5" s="85" t="s">
        <v>670</v>
      </c>
      <c r="KQ5" s="85">
        <v>2</v>
      </c>
      <c r="KR5" t="s">
        <v>872</v>
      </c>
    </row>
    <row r="6" spans="1:306" ht="15" x14ac:dyDescent="0.25">
      <c r="A6" t="s">
        <v>788</v>
      </c>
      <c r="B6" t="s">
        <v>760</v>
      </c>
      <c r="C6" t="s">
        <v>880</v>
      </c>
      <c r="D6" t="s">
        <v>783</v>
      </c>
      <c r="F6" t="s">
        <v>281</v>
      </c>
      <c r="H6" s="2" t="s">
        <v>198</v>
      </c>
      <c r="I6" t="s">
        <v>167</v>
      </c>
      <c r="M6" t="s">
        <v>165</v>
      </c>
      <c r="N6" t="str">
        <f>K2</f>
        <v>FauxwoodDesignerHingeColourNA</v>
      </c>
      <c r="S6" t="s">
        <v>236</v>
      </c>
      <c r="V6" t="s">
        <v>204</v>
      </c>
      <c r="Y6" s="3"/>
      <c r="Z6" s="3" t="s">
        <v>236</v>
      </c>
      <c r="AA6" s="3"/>
      <c r="AD6" t="s">
        <v>236</v>
      </c>
      <c r="AO6" s="86" t="s">
        <v>670</v>
      </c>
      <c r="AP6" s="86">
        <v>8</v>
      </c>
      <c r="AQ6" s="85" t="s">
        <v>82</v>
      </c>
      <c r="AR6" t="s">
        <v>219</v>
      </c>
      <c r="AS6" t="s">
        <v>219</v>
      </c>
      <c r="AT6" t="s">
        <v>237</v>
      </c>
      <c r="AU6" t="s">
        <v>225</v>
      </c>
      <c r="AY6" t="s">
        <v>219</v>
      </c>
      <c r="AZ6" t="s">
        <v>219</v>
      </c>
      <c r="BG6" t="s">
        <v>219</v>
      </c>
      <c r="BJ6" s="87" t="s">
        <v>249</v>
      </c>
      <c r="BK6" t="s">
        <v>167</v>
      </c>
      <c r="BL6" t="s">
        <v>238</v>
      </c>
      <c r="BM6" s="145" t="s">
        <v>765</v>
      </c>
      <c r="BN6" s="145" t="s">
        <v>765</v>
      </c>
      <c r="BO6" s="145" t="s">
        <v>765</v>
      </c>
      <c r="CA6" t="s">
        <v>240</v>
      </c>
      <c r="CB6" t="s">
        <v>84</v>
      </c>
      <c r="CC6" t="s">
        <v>213</v>
      </c>
      <c r="CD6" t="s">
        <v>167</v>
      </c>
      <c r="CF6" s="3" t="s">
        <v>698</v>
      </c>
      <c r="CH6" t="s">
        <v>192</v>
      </c>
      <c r="CJ6" t="s">
        <v>213</v>
      </c>
      <c r="CK6" t="s">
        <v>213</v>
      </c>
      <c r="CN6" t="s">
        <v>242</v>
      </c>
      <c r="CP6" t="s">
        <v>243</v>
      </c>
      <c r="EV6" s="3" t="s">
        <v>204</v>
      </c>
      <c r="FG6" t="s">
        <v>192</v>
      </c>
      <c r="FV6" t="s">
        <v>228</v>
      </c>
      <c r="GC6" s="2" t="s">
        <v>198</v>
      </c>
      <c r="GD6" s="85"/>
      <c r="GE6" s="85"/>
      <c r="GF6" s="85" t="s">
        <v>245</v>
      </c>
      <c r="GG6" s="85" t="s">
        <v>245</v>
      </c>
      <c r="GH6" s="85"/>
      <c r="GI6" s="85" t="s">
        <v>245</v>
      </c>
      <c r="GJ6" s="85"/>
      <c r="GK6" s="85" t="s">
        <v>245</v>
      </c>
      <c r="GL6" s="85"/>
      <c r="GM6" s="85"/>
      <c r="GN6" s="85" t="s">
        <v>245</v>
      </c>
      <c r="GO6" s="85" t="s">
        <v>245</v>
      </c>
      <c r="GP6" s="85"/>
      <c r="GQ6" t="s">
        <v>198</v>
      </c>
      <c r="GR6" t="s">
        <v>196</v>
      </c>
      <c r="GS6" t="s">
        <v>197</v>
      </c>
      <c r="GT6" t="s">
        <v>196</v>
      </c>
      <c r="GU6">
        <v>100</v>
      </c>
      <c r="GW6" s="3" t="s">
        <v>198</v>
      </c>
      <c r="GX6" t="s">
        <v>246</v>
      </c>
      <c r="GY6" t="s">
        <v>83</v>
      </c>
      <c r="HA6" s="4" t="s">
        <v>293</v>
      </c>
      <c r="HB6" s="4" t="str">
        <f>HC10</f>
        <v>FauxwoodDesignerFixedFrameType</v>
      </c>
      <c r="HC6" s="89" t="str">
        <f>$HE$1</f>
        <v>FauxwoodDesignerMountingMethodNA</v>
      </c>
      <c r="HD6" s="89" t="str">
        <f>$HE$1</f>
        <v>FauxwoodDesignerMountingMethodNA</v>
      </c>
      <c r="HF6" s="3"/>
      <c r="HG6" s="3"/>
      <c r="HH6" s="3"/>
      <c r="HI6" s="3"/>
      <c r="HJ6" s="3"/>
      <c r="HK6" s="3"/>
      <c r="HL6" s="3"/>
      <c r="HM6" s="2" t="s">
        <v>245</v>
      </c>
      <c r="HN6" s="2" t="s">
        <v>245</v>
      </c>
      <c r="HO6" s="3" t="s">
        <v>245</v>
      </c>
      <c r="HP6" s="3"/>
      <c r="HQ6" s="3"/>
      <c r="HR6" s="3"/>
      <c r="HS6" s="3"/>
      <c r="HT6" s="3"/>
      <c r="HY6" t="s">
        <v>228</v>
      </c>
      <c r="HZ6" t="s">
        <v>228</v>
      </c>
      <c r="IC6" t="s">
        <v>247</v>
      </c>
      <c r="ID6" t="s">
        <v>200</v>
      </c>
      <c r="IE6" t="s">
        <v>248</v>
      </c>
      <c r="IH6" s="4" t="s">
        <v>852</v>
      </c>
      <c r="II6" s="4" t="s">
        <v>288</v>
      </c>
      <c r="IN6" s="85" t="s">
        <v>671</v>
      </c>
      <c r="IO6" s="85">
        <f t="shared" si="0"/>
        <v>0</v>
      </c>
      <c r="IT6" s="3" t="s">
        <v>293</v>
      </c>
      <c r="IW6" s="85" t="s">
        <v>573</v>
      </c>
      <c r="IX6" s="85">
        <v>4</v>
      </c>
      <c r="IY6" s="97" t="s">
        <v>570</v>
      </c>
      <c r="JA6" s="85" t="s">
        <v>577</v>
      </c>
      <c r="JC6" s="85" t="s">
        <v>670</v>
      </c>
      <c r="JE6" s="141" t="s">
        <v>707</v>
      </c>
      <c r="JK6" t="s">
        <v>165</v>
      </c>
      <c r="JL6" t="str">
        <f>JP1</f>
        <v>TPostQtyNA</v>
      </c>
      <c r="JO6">
        <v>5</v>
      </c>
      <c r="JR6" s="3" t="s">
        <v>164</v>
      </c>
      <c r="JS6">
        <v>40</v>
      </c>
      <c r="JW6" t="s">
        <v>293</v>
      </c>
      <c r="JX6" t="s">
        <v>84</v>
      </c>
      <c r="JZ6" s="2" t="s">
        <v>699</v>
      </c>
      <c r="KC6" s="85" t="s">
        <v>164</v>
      </c>
      <c r="KD6" s="85">
        <v>50</v>
      </c>
      <c r="KE6" s="85">
        <v>0</v>
      </c>
      <c r="KF6" s="85">
        <v>50</v>
      </c>
      <c r="KG6" s="85">
        <v>0</v>
      </c>
      <c r="KH6" s="85">
        <v>0</v>
      </c>
      <c r="KI6" s="85">
        <v>0</v>
      </c>
      <c r="KP6" s="85" t="s">
        <v>671</v>
      </c>
      <c r="KQ6" s="85">
        <v>2</v>
      </c>
      <c r="KR6" t="s">
        <v>872</v>
      </c>
    </row>
    <row r="7" spans="1:306" ht="15" x14ac:dyDescent="0.25">
      <c r="A7" t="s">
        <v>787</v>
      </c>
      <c r="B7" t="s">
        <v>761</v>
      </c>
      <c r="D7" t="s">
        <v>211</v>
      </c>
      <c r="F7" t="s">
        <v>165</v>
      </c>
      <c r="H7" s="2" t="s">
        <v>246</v>
      </c>
      <c r="I7" t="s">
        <v>167</v>
      </c>
      <c r="M7" t="s">
        <v>852</v>
      </c>
      <c r="N7" t="str">
        <f>N21</f>
        <v>FauxwoodDesignerPivotHingeColour</v>
      </c>
      <c r="V7" t="s">
        <v>203</v>
      </c>
      <c r="AO7" s="86" t="s">
        <v>671</v>
      </c>
      <c r="AP7" s="86">
        <v>8</v>
      </c>
      <c r="AQ7" s="85" t="s">
        <v>82</v>
      </c>
      <c r="AR7" t="s">
        <v>245</v>
      </c>
      <c r="AS7" t="s">
        <v>245</v>
      </c>
      <c r="AU7" t="s">
        <v>237</v>
      </c>
      <c r="AY7" t="s">
        <v>245</v>
      </c>
      <c r="AZ7" t="s">
        <v>245</v>
      </c>
      <c r="BG7" t="s">
        <v>245</v>
      </c>
      <c r="BJ7" s="148" t="s">
        <v>267</v>
      </c>
      <c r="BK7" t="s">
        <v>167</v>
      </c>
      <c r="BL7" t="s">
        <v>259</v>
      </c>
      <c r="BM7" s="145" t="s">
        <v>798</v>
      </c>
      <c r="BN7" s="145" t="s">
        <v>798</v>
      </c>
      <c r="BO7" s="145" t="s">
        <v>798</v>
      </c>
      <c r="CA7" t="s">
        <v>251</v>
      </c>
      <c r="CB7" t="s">
        <v>84</v>
      </c>
      <c r="CC7" t="s">
        <v>231</v>
      </c>
      <c r="CD7" t="s">
        <v>167</v>
      </c>
      <c r="CF7" s="3" t="s">
        <v>374</v>
      </c>
      <c r="CH7" s="2" t="s">
        <v>807</v>
      </c>
      <c r="CJ7" t="s">
        <v>231</v>
      </c>
      <c r="CK7" t="s">
        <v>231</v>
      </c>
      <c r="CN7" t="s">
        <v>253</v>
      </c>
      <c r="CP7" t="s">
        <v>191</v>
      </c>
      <c r="EV7" t="s">
        <v>191</v>
      </c>
      <c r="FG7" t="s">
        <v>216</v>
      </c>
      <c r="FV7" t="s">
        <v>240</v>
      </c>
      <c r="FY7" t="s">
        <v>638</v>
      </c>
      <c r="FZ7" t="s">
        <v>647</v>
      </c>
      <c r="GC7" s="2" t="s">
        <v>246</v>
      </c>
      <c r="GD7" s="85"/>
      <c r="GE7" s="85"/>
      <c r="GF7" s="85"/>
      <c r="GG7" s="85"/>
      <c r="GH7" s="85"/>
      <c r="GI7" s="85"/>
      <c r="GJ7" s="85"/>
      <c r="GK7" s="85"/>
      <c r="GL7" s="85"/>
      <c r="GM7" s="85"/>
      <c r="GN7" s="85"/>
      <c r="GO7" s="85"/>
      <c r="GP7" s="85"/>
      <c r="GQ7" t="s">
        <v>246</v>
      </c>
      <c r="GR7" t="s">
        <v>196</v>
      </c>
      <c r="GS7" t="s">
        <v>196</v>
      </c>
      <c r="GT7" t="s">
        <v>197</v>
      </c>
      <c r="GU7">
        <v>50</v>
      </c>
      <c r="GW7" s="3" t="s">
        <v>246</v>
      </c>
      <c r="GX7" t="s">
        <v>185</v>
      </c>
      <c r="GY7" t="s">
        <v>273</v>
      </c>
      <c r="HA7" s="4" t="s">
        <v>852</v>
      </c>
      <c r="HB7" s="87" t="str">
        <f>$GZ$11</f>
        <v>FauxwoodDesignerPivotHingedInOut</v>
      </c>
      <c r="HC7" s="87" t="str">
        <f>$GZ$11</f>
        <v>FauxwoodDesignerPivotHingedInOut</v>
      </c>
      <c r="HD7" s="87" t="str">
        <f>$GZ$2</f>
        <v>FauxwoodDesignerMS</v>
      </c>
      <c r="HY7" t="s">
        <v>240</v>
      </c>
      <c r="HZ7" t="s">
        <v>240</v>
      </c>
      <c r="IC7" t="s">
        <v>256</v>
      </c>
      <c r="ID7" t="s">
        <v>206</v>
      </c>
      <c r="IE7" t="s">
        <v>257</v>
      </c>
      <c r="IH7" s="4" t="s">
        <v>288</v>
      </c>
      <c r="II7" s="4" t="s">
        <v>281</v>
      </c>
      <c r="IN7" s="85" t="s">
        <v>593</v>
      </c>
      <c r="IO7" s="85">
        <f t="shared" si="0"/>
        <v>0</v>
      </c>
      <c r="IT7" s="3" t="s">
        <v>275</v>
      </c>
      <c r="IW7" s="85" t="s">
        <v>574</v>
      </c>
      <c r="IX7" s="85">
        <v>4</v>
      </c>
      <c r="IY7" s="97" t="s">
        <v>570</v>
      </c>
      <c r="JA7" s="85" t="s">
        <v>580</v>
      </c>
      <c r="JC7" s="85" t="s">
        <v>671</v>
      </c>
      <c r="JE7" s="141" t="s">
        <v>708</v>
      </c>
      <c r="JK7" t="s">
        <v>275</v>
      </c>
      <c r="JL7" t="str">
        <f>JO1</f>
        <v>TPostQuantity</v>
      </c>
      <c r="JO7">
        <v>6</v>
      </c>
      <c r="JR7" s="3" t="s">
        <v>202</v>
      </c>
      <c r="JS7">
        <v>50</v>
      </c>
      <c r="JW7" t="s">
        <v>163</v>
      </c>
      <c r="JX7" t="s">
        <v>167</v>
      </c>
      <c r="JZ7" s="2" t="s">
        <v>700</v>
      </c>
      <c r="KC7" s="85" t="s">
        <v>202</v>
      </c>
      <c r="KD7" s="85">
        <v>50</v>
      </c>
      <c r="KE7" s="85">
        <v>0</v>
      </c>
      <c r="KF7" s="85">
        <v>50</v>
      </c>
      <c r="KG7" s="85">
        <v>0</v>
      </c>
      <c r="KH7" s="85">
        <v>0</v>
      </c>
      <c r="KI7" s="85">
        <v>0</v>
      </c>
      <c r="KP7" s="85" t="s">
        <v>593</v>
      </c>
      <c r="KQ7" s="85">
        <v>2</v>
      </c>
      <c r="KR7" t="s">
        <v>872</v>
      </c>
    </row>
    <row r="8" spans="1:306" ht="15" x14ac:dyDescent="0.25">
      <c r="D8" s="2" t="s">
        <v>807</v>
      </c>
      <c r="F8" s="3" t="s">
        <v>275</v>
      </c>
      <c r="H8" s="2" t="s">
        <v>255</v>
      </c>
      <c r="I8" t="s">
        <v>167</v>
      </c>
      <c r="M8" t="s">
        <v>275</v>
      </c>
      <c r="N8" t="str">
        <f>J2</f>
        <v>FauxwoodDesignerHingeColour</v>
      </c>
      <c r="S8" s="3" t="s">
        <v>236</v>
      </c>
      <c r="V8" t="s">
        <v>225</v>
      </c>
      <c r="AO8" s="86" t="s">
        <v>593</v>
      </c>
      <c r="AP8" s="86">
        <v>4</v>
      </c>
      <c r="AQ8" s="85" t="s">
        <v>82</v>
      </c>
      <c r="BJ8" s="148" t="s">
        <v>276</v>
      </c>
      <c r="BK8" t="s">
        <v>167</v>
      </c>
      <c r="BL8" t="s">
        <v>238</v>
      </c>
      <c r="BM8" s="145" t="s">
        <v>762</v>
      </c>
      <c r="BN8" s="145" t="s">
        <v>762</v>
      </c>
      <c r="BO8" s="145" t="s">
        <v>762</v>
      </c>
      <c r="CA8" t="s">
        <v>261</v>
      </c>
      <c r="CB8" t="s">
        <v>84</v>
      </c>
      <c r="CC8" t="s">
        <v>242</v>
      </c>
      <c r="CD8" t="s">
        <v>167</v>
      </c>
      <c r="CF8" s="3" t="s">
        <v>375</v>
      </c>
      <c r="CH8" s="2" t="s">
        <v>809</v>
      </c>
      <c r="CJ8" t="s">
        <v>242</v>
      </c>
      <c r="CK8" t="s">
        <v>242</v>
      </c>
      <c r="CN8" t="s">
        <v>263</v>
      </c>
      <c r="CP8" t="s">
        <v>264</v>
      </c>
      <c r="EV8" t="s">
        <v>215</v>
      </c>
      <c r="FG8" t="s">
        <v>807</v>
      </c>
      <c r="FV8" t="s">
        <v>251</v>
      </c>
      <c r="FY8" t="s">
        <v>165</v>
      </c>
      <c r="FZ8" t="s">
        <v>165</v>
      </c>
      <c r="GC8" s="2" t="s">
        <v>391</v>
      </c>
      <c r="GD8" s="85"/>
      <c r="GE8" s="85"/>
      <c r="GF8" s="85"/>
      <c r="GG8" s="85"/>
      <c r="GH8" s="85"/>
      <c r="GI8" s="85"/>
      <c r="GJ8" s="85"/>
      <c r="GK8" s="85"/>
      <c r="GL8" s="85"/>
      <c r="GM8" s="85"/>
      <c r="GN8" s="85"/>
      <c r="GO8" s="85"/>
      <c r="GP8" s="85"/>
      <c r="GQ8" t="s">
        <v>220</v>
      </c>
      <c r="GR8" t="s">
        <v>196</v>
      </c>
      <c r="GS8" t="s">
        <v>197</v>
      </c>
      <c r="GT8" t="s">
        <v>196</v>
      </c>
      <c r="GU8">
        <v>40</v>
      </c>
      <c r="GW8" s="3" t="s">
        <v>255</v>
      </c>
      <c r="GX8" t="s">
        <v>255</v>
      </c>
      <c r="GY8" t="s">
        <v>391</v>
      </c>
      <c r="HA8" s="87" t="s">
        <v>275</v>
      </c>
      <c r="HB8" s="87" t="str">
        <f>GX2</f>
        <v>FauxwoodDesignerIN</v>
      </c>
      <c r="HC8" s="87" t="str">
        <f>GY2</f>
        <v>FauxwoodDesignerOUT</v>
      </c>
      <c r="HD8" s="87" t="str">
        <f>$GZ$2</f>
        <v>FauxwoodDesignerMS</v>
      </c>
      <c r="HZ8" t="s">
        <v>251</v>
      </c>
      <c r="IC8" t="s">
        <v>266</v>
      </c>
      <c r="ID8" t="s">
        <v>206</v>
      </c>
      <c r="IH8" s="4" t="s">
        <v>281</v>
      </c>
      <c r="IN8" s="85" t="s">
        <v>600</v>
      </c>
      <c r="IO8" s="85">
        <f t="shared" si="0"/>
        <v>0</v>
      </c>
      <c r="IT8" s="3" t="s">
        <v>852</v>
      </c>
      <c r="IW8" s="85" t="s">
        <v>575</v>
      </c>
      <c r="IX8" s="85">
        <v>6</v>
      </c>
      <c r="IY8" s="97" t="s">
        <v>570</v>
      </c>
      <c r="JA8" s="85" t="s">
        <v>578</v>
      </c>
      <c r="JC8" s="85" t="s">
        <v>593</v>
      </c>
      <c r="JE8" s="141" t="s">
        <v>709</v>
      </c>
      <c r="JR8" s="3" t="s">
        <v>223</v>
      </c>
      <c r="JS8">
        <v>40</v>
      </c>
      <c r="JW8" t="s">
        <v>288</v>
      </c>
      <c r="JX8" t="s">
        <v>84</v>
      </c>
      <c r="JZ8" s="2" t="s">
        <v>701</v>
      </c>
      <c r="KC8" s="85" t="s">
        <v>223</v>
      </c>
      <c r="KD8" s="85">
        <v>50</v>
      </c>
      <c r="KE8" s="85">
        <v>0</v>
      </c>
      <c r="KF8" s="85">
        <v>50</v>
      </c>
      <c r="KG8" s="85">
        <v>0</v>
      </c>
      <c r="KH8" s="85">
        <v>0</v>
      </c>
      <c r="KI8" s="85">
        <v>0</v>
      </c>
      <c r="KP8" s="85" t="s">
        <v>600</v>
      </c>
      <c r="KQ8" s="85">
        <v>2</v>
      </c>
      <c r="KR8" t="s">
        <v>872</v>
      </c>
    </row>
    <row r="9" spans="1:306" ht="15" x14ac:dyDescent="0.25">
      <c r="D9" s="2" t="s">
        <v>809</v>
      </c>
      <c r="F9" s="3" t="s">
        <v>163</v>
      </c>
      <c r="H9" s="2" t="s">
        <v>390</v>
      </c>
      <c r="I9" t="s">
        <v>167</v>
      </c>
      <c r="J9" s="2"/>
      <c r="V9" t="s">
        <v>237</v>
      </c>
      <c r="AO9" s="86" t="s">
        <v>600</v>
      </c>
      <c r="AP9" s="86">
        <v>8</v>
      </c>
      <c r="AQ9" s="85" t="s">
        <v>82</v>
      </c>
      <c r="BJ9" s="148" t="s">
        <v>282</v>
      </c>
      <c r="BK9" t="s">
        <v>167</v>
      </c>
      <c r="BL9" t="s">
        <v>238</v>
      </c>
      <c r="BM9" s="145" t="s">
        <v>763</v>
      </c>
      <c r="BN9" s="145" t="s">
        <v>763</v>
      </c>
      <c r="BO9" s="145" t="s">
        <v>763</v>
      </c>
      <c r="BR9" s="145" t="s">
        <v>826</v>
      </c>
      <c r="CA9" t="s">
        <v>269</v>
      </c>
      <c r="CB9" t="s">
        <v>84</v>
      </c>
      <c r="CC9" t="s">
        <v>253</v>
      </c>
      <c r="CD9" t="s">
        <v>167</v>
      </c>
      <c r="CF9" t="s">
        <v>229</v>
      </c>
      <c r="CH9" s="2" t="s">
        <v>806</v>
      </c>
      <c r="CJ9" t="s">
        <v>253</v>
      </c>
      <c r="CK9" t="s">
        <v>253</v>
      </c>
      <c r="CN9" t="s">
        <v>271</v>
      </c>
      <c r="CP9" t="s">
        <v>215</v>
      </c>
      <c r="EV9" t="s">
        <v>232</v>
      </c>
      <c r="FG9" s="2" t="s">
        <v>809</v>
      </c>
      <c r="FV9" t="s">
        <v>261</v>
      </c>
      <c r="GC9" s="2" t="s">
        <v>255</v>
      </c>
      <c r="GD9" s="85"/>
      <c r="GE9" s="85"/>
      <c r="GF9" s="85"/>
      <c r="GG9" s="85"/>
      <c r="GH9" s="85"/>
      <c r="GI9" s="85"/>
      <c r="GJ9" s="85"/>
      <c r="GK9" s="85"/>
      <c r="GL9" s="85"/>
      <c r="GM9" s="85"/>
      <c r="GN9" s="85"/>
      <c r="GO9" s="85"/>
      <c r="GP9" s="85"/>
      <c r="GQ9" t="s">
        <v>255</v>
      </c>
      <c r="GR9" t="s">
        <v>196</v>
      </c>
      <c r="GS9" t="s">
        <v>196</v>
      </c>
      <c r="GT9" t="s">
        <v>197</v>
      </c>
      <c r="GU9">
        <v>40</v>
      </c>
      <c r="GW9" s="3" t="s">
        <v>390</v>
      </c>
      <c r="GX9" t="s">
        <v>390</v>
      </c>
      <c r="GY9" t="s">
        <v>827</v>
      </c>
      <c r="HZ9" t="s">
        <v>261</v>
      </c>
      <c r="IC9" t="s">
        <v>274</v>
      </c>
      <c r="ID9" t="s">
        <v>206</v>
      </c>
      <c r="IN9" s="85" t="s">
        <v>672</v>
      </c>
      <c r="IO9" s="85">
        <f t="shared" si="0"/>
        <v>0</v>
      </c>
      <c r="IW9" s="85" t="s">
        <v>576</v>
      </c>
      <c r="IX9" s="85">
        <v>6</v>
      </c>
      <c r="IY9" s="97" t="s">
        <v>570</v>
      </c>
      <c r="JA9" s="85" t="s">
        <v>579</v>
      </c>
      <c r="JC9" s="85" t="s">
        <v>600</v>
      </c>
      <c r="JE9" s="141" t="s">
        <v>710</v>
      </c>
      <c r="JR9" s="3" t="s">
        <v>198</v>
      </c>
      <c r="JS9">
        <v>100</v>
      </c>
      <c r="JW9" t="s">
        <v>281</v>
      </c>
      <c r="JX9" t="s">
        <v>167</v>
      </c>
      <c r="JZ9" s="2" t="s">
        <v>725</v>
      </c>
      <c r="KC9" s="85" t="s">
        <v>198</v>
      </c>
      <c r="KD9" s="85">
        <v>50</v>
      </c>
      <c r="KE9" s="85">
        <v>0</v>
      </c>
      <c r="KF9" s="85">
        <v>50</v>
      </c>
      <c r="KG9" s="85">
        <v>0</v>
      </c>
      <c r="KH9" s="85">
        <v>0</v>
      </c>
      <c r="KI9" s="85">
        <v>0</v>
      </c>
      <c r="KP9" s="85" t="s">
        <v>672</v>
      </c>
      <c r="KQ9" s="85">
        <v>3</v>
      </c>
      <c r="KR9" t="s">
        <v>873</v>
      </c>
    </row>
    <row r="10" spans="1:306" ht="15" x14ac:dyDescent="0.25">
      <c r="D10" s="2" t="s">
        <v>806</v>
      </c>
      <c r="F10" s="3" t="s">
        <v>275</v>
      </c>
      <c r="H10" s="2" t="s">
        <v>83</v>
      </c>
      <c r="I10" t="s">
        <v>84</v>
      </c>
      <c r="J10" s="2"/>
      <c r="V10" t="s">
        <v>245</v>
      </c>
      <c r="AO10" s="86" t="s">
        <v>672</v>
      </c>
      <c r="AP10" s="86">
        <v>6</v>
      </c>
      <c r="AQ10" s="85" t="s">
        <v>82</v>
      </c>
      <c r="BJ10" s="148" t="s">
        <v>801</v>
      </c>
      <c r="BK10" t="s">
        <v>167</v>
      </c>
      <c r="BL10" t="s">
        <v>259</v>
      </c>
      <c r="BM10" s="145" t="s">
        <v>764</v>
      </c>
      <c r="BN10" s="145" t="s">
        <v>764</v>
      </c>
      <c r="BO10" s="145" t="s">
        <v>764</v>
      </c>
      <c r="BR10" s="145" t="s">
        <v>165</v>
      </c>
      <c r="CA10" t="s">
        <v>278</v>
      </c>
      <c r="CB10" t="s">
        <v>84</v>
      </c>
      <c r="CC10" t="s">
        <v>263</v>
      </c>
      <c r="CD10" t="s">
        <v>167</v>
      </c>
      <c r="CF10" t="s">
        <v>875</v>
      </c>
      <c r="CH10" s="2" t="s">
        <v>802</v>
      </c>
      <c r="CJ10" t="s">
        <v>263</v>
      </c>
      <c r="CK10" t="s">
        <v>263</v>
      </c>
      <c r="CN10" t="s">
        <v>223</v>
      </c>
      <c r="CP10" t="s">
        <v>232</v>
      </c>
      <c r="EV10" t="s">
        <v>244</v>
      </c>
      <c r="FG10" s="2" t="s">
        <v>806</v>
      </c>
      <c r="FV10" t="s">
        <v>269</v>
      </c>
      <c r="GC10" s="2" t="s">
        <v>273</v>
      </c>
      <c r="GD10" s="85"/>
      <c r="GE10" s="85"/>
      <c r="GF10" s="85"/>
      <c r="GG10" s="85"/>
      <c r="GH10" s="85"/>
      <c r="GI10" s="85"/>
      <c r="GJ10" s="85"/>
      <c r="GK10" s="85"/>
      <c r="GL10" s="85"/>
      <c r="GM10" s="85"/>
      <c r="GN10" s="85"/>
      <c r="GO10" s="85"/>
      <c r="GP10" s="85"/>
      <c r="GQ10" t="s">
        <v>273</v>
      </c>
      <c r="GR10" t="s">
        <v>196</v>
      </c>
      <c r="GS10" t="s">
        <v>196</v>
      </c>
      <c r="GT10" t="s">
        <v>197</v>
      </c>
      <c r="GU10">
        <v>50</v>
      </c>
      <c r="GW10" s="3" t="s">
        <v>83</v>
      </c>
      <c r="GX10" t="s">
        <v>860</v>
      </c>
      <c r="HA10" s="4" t="s">
        <v>542</v>
      </c>
      <c r="HB10" s="4" t="s">
        <v>543</v>
      </c>
      <c r="HC10" s="4" t="s">
        <v>627</v>
      </c>
      <c r="HZ10" t="s">
        <v>269</v>
      </c>
      <c r="IN10" s="85" t="s">
        <v>673</v>
      </c>
      <c r="IO10" s="85">
        <f t="shared" si="0"/>
        <v>0</v>
      </c>
      <c r="IW10" s="85" t="s">
        <v>577</v>
      </c>
      <c r="IX10" s="85">
        <v>8</v>
      </c>
      <c r="IY10" s="97" t="s">
        <v>570</v>
      </c>
      <c r="JA10" s="85" t="s">
        <v>572</v>
      </c>
      <c r="JC10" s="85" t="s">
        <v>672</v>
      </c>
      <c r="JE10" s="141" t="s">
        <v>711</v>
      </c>
      <c r="JR10" s="3" t="s">
        <v>246</v>
      </c>
      <c r="JS10">
        <v>50</v>
      </c>
      <c r="JW10" t="s">
        <v>165</v>
      </c>
      <c r="JX10" t="s">
        <v>84</v>
      </c>
      <c r="JZ10" s="2" t="s">
        <v>726</v>
      </c>
      <c r="KC10" s="85" t="s">
        <v>246</v>
      </c>
      <c r="KD10" s="85">
        <v>50</v>
      </c>
      <c r="KE10" s="85">
        <v>0</v>
      </c>
      <c r="KF10" s="85">
        <v>50</v>
      </c>
      <c r="KG10" s="85">
        <v>0</v>
      </c>
      <c r="KH10" s="85">
        <v>0</v>
      </c>
      <c r="KI10" s="85">
        <v>0</v>
      </c>
      <c r="KP10" s="85" t="s">
        <v>673</v>
      </c>
      <c r="KQ10" s="85">
        <v>3</v>
      </c>
      <c r="KR10" t="s">
        <v>873</v>
      </c>
    </row>
    <row r="11" spans="1:306" ht="15" x14ac:dyDescent="0.25">
      <c r="D11" s="2" t="s">
        <v>802</v>
      </c>
      <c r="F11" s="3" t="s">
        <v>281</v>
      </c>
      <c r="H11" s="2" t="s">
        <v>273</v>
      </c>
      <c r="I11" t="s">
        <v>167</v>
      </c>
      <c r="J11" s="2"/>
      <c r="AO11" s="86" t="s">
        <v>673</v>
      </c>
      <c r="AP11" s="86">
        <v>6</v>
      </c>
      <c r="AQ11" s="85" t="s">
        <v>82</v>
      </c>
      <c r="BJ11" s="148" t="s">
        <v>811</v>
      </c>
      <c r="BK11" t="s">
        <v>167</v>
      </c>
      <c r="BL11" t="s">
        <v>238</v>
      </c>
      <c r="BM11" t="s">
        <v>239</v>
      </c>
      <c r="BN11" t="s">
        <v>239</v>
      </c>
      <c r="BO11" t="s">
        <v>239</v>
      </c>
      <c r="CA11" t="s">
        <v>283</v>
      </c>
      <c r="CB11" t="s">
        <v>84</v>
      </c>
      <c r="CC11" t="s">
        <v>271</v>
      </c>
      <c r="CD11" t="s">
        <v>167</v>
      </c>
      <c r="CF11" t="s">
        <v>876</v>
      </c>
      <c r="CH11" s="2" t="s">
        <v>804</v>
      </c>
      <c r="CJ11" t="s">
        <v>271</v>
      </c>
      <c r="CK11" t="s">
        <v>271</v>
      </c>
      <c r="CN11" t="s">
        <v>284</v>
      </c>
      <c r="CP11" t="s">
        <v>285</v>
      </c>
      <c r="EV11" t="s">
        <v>254</v>
      </c>
      <c r="FE11" t="s">
        <v>858</v>
      </c>
      <c r="FG11" s="2" t="s">
        <v>802</v>
      </c>
      <c r="FV11" t="s">
        <v>278</v>
      </c>
      <c r="GC11" s="2" t="s">
        <v>280</v>
      </c>
      <c r="GD11" s="85"/>
      <c r="GE11" s="85"/>
      <c r="GF11" s="85"/>
      <c r="GG11" s="85"/>
      <c r="GH11" s="85"/>
      <c r="GI11" s="85"/>
      <c r="GJ11" s="85"/>
      <c r="GK11" s="85"/>
      <c r="GL11" s="85"/>
      <c r="GM11" s="85"/>
      <c r="GN11" s="85"/>
      <c r="GO11" s="85"/>
      <c r="GP11" s="85"/>
      <c r="GQ11" t="s">
        <v>280</v>
      </c>
      <c r="GR11" t="s">
        <v>196</v>
      </c>
      <c r="GS11" t="s">
        <v>196</v>
      </c>
      <c r="GT11" t="s">
        <v>197</v>
      </c>
      <c r="GU11">
        <v>20</v>
      </c>
      <c r="GW11" s="3" t="s">
        <v>273</v>
      </c>
      <c r="GX11" t="s">
        <v>83</v>
      </c>
      <c r="GZ11" t="s">
        <v>855</v>
      </c>
      <c r="HA11" s="4" t="s">
        <v>87</v>
      </c>
      <c r="HB11" s="4" t="s">
        <v>87</v>
      </c>
      <c r="HC11" s="4" t="s">
        <v>284</v>
      </c>
      <c r="HZ11" t="s">
        <v>278</v>
      </c>
      <c r="IN11" s="85" t="s">
        <v>601</v>
      </c>
      <c r="IO11" s="85">
        <f t="shared" si="0"/>
        <v>0</v>
      </c>
      <c r="IW11" s="85" t="s">
        <v>578</v>
      </c>
      <c r="IX11" s="85">
        <v>6</v>
      </c>
      <c r="IY11" s="97" t="s">
        <v>570</v>
      </c>
      <c r="JA11" s="85" t="s">
        <v>581</v>
      </c>
      <c r="JC11" s="85" t="s">
        <v>673</v>
      </c>
      <c r="JE11" s="86" t="s">
        <v>731</v>
      </c>
      <c r="JR11" s="3" t="s">
        <v>255</v>
      </c>
      <c r="JS11">
        <v>40</v>
      </c>
      <c r="JZ11" s="2" t="s">
        <v>727</v>
      </c>
      <c r="KC11" s="85" t="s">
        <v>185</v>
      </c>
      <c r="KD11" s="85">
        <v>0</v>
      </c>
      <c r="KE11" s="85">
        <v>0</v>
      </c>
      <c r="KF11" s="85">
        <v>0</v>
      </c>
      <c r="KG11" s="85">
        <v>0</v>
      </c>
      <c r="KH11" s="85">
        <v>0</v>
      </c>
      <c r="KI11" s="85">
        <v>0</v>
      </c>
      <c r="KP11" s="85" t="s">
        <v>601</v>
      </c>
      <c r="KQ11" s="85">
        <v>3</v>
      </c>
      <c r="KR11" t="s">
        <v>873</v>
      </c>
    </row>
    <row r="12" spans="1:306" ht="15" x14ac:dyDescent="0.25">
      <c r="D12" s="2" t="s">
        <v>804</v>
      </c>
      <c r="F12" s="3" t="s">
        <v>288</v>
      </c>
      <c r="H12" s="2" t="s">
        <v>280</v>
      </c>
      <c r="I12" t="s">
        <v>167</v>
      </c>
      <c r="J12" s="2"/>
      <c r="AO12" s="86" t="s">
        <v>601</v>
      </c>
      <c r="AP12" s="86">
        <v>6</v>
      </c>
      <c r="AQ12" s="85" t="s">
        <v>82</v>
      </c>
      <c r="BJ12" s="148" t="s">
        <v>812</v>
      </c>
      <c r="BK12" t="s">
        <v>167</v>
      </c>
      <c r="BL12" t="s">
        <v>238</v>
      </c>
      <c r="BM12" t="s">
        <v>250</v>
      </c>
      <c r="BN12" t="s">
        <v>250</v>
      </c>
      <c r="BO12" t="s">
        <v>250</v>
      </c>
      <c r="CA12" t="s">
        <v>290</v>
      </c>
      <c r="CB12" t="s">
        <v>84</v>
      </c>
      <c r="CC12" t="s">
        <v>223</v>
      </c>
      <c r="CD12" t="s">
        <v>167</v>
      </c>
      <c r="CF12" t="s">
        <v>241</v>
      </c>
      <c r="CH12" s="2" t="s">
        <v>805</v>
      </c>
      <c r="CJ12" t="s">
        <v>223</v>
      </c>
      <c r="CK12" t="s">
        <v>223</v>
      </c>
      <c r="CP12" t="s">
        <v>254</v>
      </c>
      <c r="EV12" t="s">
        <v>265</v>
      </c>
      <c r="FE12" t="s">
        <v>192</v>
      </c>
      <c r="FG12" s="2" t="s">
        <v>804</v>
      </c>
      <c r="FV12" t="s">
        <v>283</v>
      </c>
      <c r="GC12" s="2" t="s">
        <v>287</v>
      </c>
      <c r="GD12" s="85"/>
      <c r="GE12" s="85"/>
      <c r="GF12" s="85"/>
      <c r="GG12" s="85"/>
      <c r="GH12" s="85"/>
      <c r="GI12" s="85"/>
      <c r="GJ12" s="85"/>
      <c r="GK12" s="85"/>
      <c r="GL12" s="85"/>
      <c r="GM12" s="85"/>
      <c r="GN12" s="85"/>
      <c r="GO12" s="85"/>
      <c r="GP12" s="85"/>
      <c r="GQ12" t="s">
        <v>287</v>
      </c>
      <c r="GR12" t="s">
        <v>196</v>
      </c>
      <c r="GS12" t="s">
        <v>196</v>
      </c>
      <c r="GT12" t="s">
        <v>197</v>
      </c>
      <c r="GU12">
        <v>40</v>
      </c>
      <c r="GW12" s="3" t="s">
        <v>280</v>
      </c>
      <c r="GX12" t="s">
        <v>273</v>
      </c>
      <c r="GZ12" t="s">
        <v>83</v>
      </c>
      <c r="HB12" s="4" t="s">
        <v>188</v>
      </c>
      <c r="HZ12" t="s">
        <v>283</v>
      </c>
      <c r="IN12" s="85" t="s">
        <v>585</v>
      </c>
      <c r="IO12" s="85">
        <f t="shared" si="0"/>
        <v>0</v>
      </c>
      <c r="IW12" s="85" t="s">
        <v>579</v>
      </c>
      <c r="IX12" s="85">
        <v>8</v>
      </c>
      <c r="IY12" s="97" t="s">
        <v>570</v>
      </c>
      <c r="JA12" s="85" t="s">
        <v>582</v>
      </c>
      <c r="JC12" s="85" t="s">
        <v>601</v>
      </c>
      <c r="JE12" s="86" t="s">
        <v>732</v>
      </c>
      <c r="JR12" s="3" t="s">
        <v>390</v>
      </c>
      <c r="JZ12" s="3" t="s">
        <v>691</v>
      </c>
      <c r="KC12" s="85" t="s">
        <v>255</v>
      </c>
      <c r="KD12" s="85">
        <v>50</v>
      </c>
      <c r="KE12" s="85">
        <v>0</v>
      </c>
      <c r="KF12" s="85">
        <v>50</v>
      </c>
      <c r="KG12" s="85">
        <v>0</v>
      </c>
      <c r="KH12" s="85">
        <v>0</v>
      </c>
      <c r="KI12" s="85">
        <v>0</v>
      </c>
      <c r="KP12" s="85" t="s">
        <v>585</v>
      </c>
      <c r="KQ12" s="85">
        <v>2</v>
      </c>
      <c r="KR12" t="s">
        <v>872</v>
      </c>
    </row>
    <row r="13" spans="1:306" ht="15" x14ac:dyDescent="0.25">
      <c r="D13" s="2" t="s">
        <v>805</v>
      </c>
      <c r="F13" s="3" t="s">
        <v>293</v>
      </c>
      <c r="H13" s="2" t="s">
        <v>287</v>
      </c>
      <c r="I13" t="s">
        <v>167</v>
      </c>
      <c r="J13" s="2"/>
      <c r="AO13" s="86" t="s">
        <v>585</v>
      </c>
      <c r="AP13" s="86">
        <v>2</v>
      </c>
      <c r="AQ13" s="85" t="s">
        <v>82</v>
      </c>
      <c r="BJ13" s="148" t="s">
        <v>289</v>
      </c>
      <c r="BK13" t="s">
        <v>167</v>
      </c>
      <c r="BL13" t="s">
        <v>259</v>
      </c>
      <c r="BM13" s="145" t="s">
        <v>839</v>
      </c>
      <c r="BN13" s="145" t="s">
        <v>839</v>
      </c>
      <c r="BO13" s="145" t="s">
        <v>839</v>
      </c>
      <c r="CA13" t="s">
        <v>296</v>
      </c>
      <c r="CB13" t="s">
        <v>84</v>
      </c>
      <c r="CC13" t="s">
        <v>284</v>
      </c>
      <c r="CD13" t="s">
        <v>167</v>
      </c>
      <c r="CF13" t="s">
        <v>252</v>
      </c>
      <c r="CH13" s="2" t="s">
        <v>808</v>
      </c>
      <c r="CP13" t="s">
        <v>298</v>
      </c>
      <c r="EV13" t="s">
        <v>859</v>
      </c>
      <c r="FE13" t="s">
        <v>216</v>
      </c>
      <c r="FG13" s="2" t="s">
        <v>805</v>
      </c>
      <c r="FV13" t="s">
        <v>290</v>
      </c>
      <c r="GC13" s="2" t="s">
        <v>292</v>
      </c>
      <c r="GD13" s="85"/>
      <c r="GE13" s="85"/>
      <c r="GF13" s="85"/>
      <c r="GG13" s="85"/>
      <c r="GH13" s="85"/>
      <c r="GI13" s="85"/>
      <c r="GJ13" s="85"/>
      <c r="GK13" s="85"/>
      <c r="GL13" s="85"/>
      <c r="GM13" s="85"/>
      <c r="GN13" s="85"/>
      <c r="GO13" s="85"/>
      <c r="GP13" s="85"/>
      <c r="GQ13" t="s">
        <v>292</v>
      </c>
      <c r="GR13" t="s">
        <v>196</v>
      </c>
      <c r="GS13" t="s">
        <v>196</v>
      </c>
      <c r="GT13" t="s">
        <v>197</v>
      </c>
      <c r="GU13">
        <v>30</v>
      </c>
      <c r="GW13" s="3" t="s">
        <v>287</v>
      </c>
      <c r="GX13" t="s">
        <v>280</v>
      </c>
      <c r="HB13" s="4" t="s">
        <v>212</v>
      </c>
      <c r="HZ13" t="s">
        <v>290</v>
      </c>
      <c r="IN13" s="85" t="s">
        <v>590</v>
      </c>
      <c r="IO13" s="85">
        <f t="shared" si="0"/>
        <v>0</v>
      </c>
      <c r="IW13" s="85" t="s">
        <v>580</v>
      </c>
      <c r="IX13" s="85">
        <v>8</v>
      </c>
      <c r="IY13" s="97" t="s">
        <v>570</v>
      </c>
      <c r="JA13" s="85" t="s">
        <v>571</v>
      </c>
      <c r="JC13" s="85" t="s">
        <v>585</v>
      </c>
      <c r="JE13" s="86" t="s">
        <v>733</v>
      </c>
      <c r="JR13" s="3" t="s">
        <v>165</v>
      </c>
      <c r="JS13">
        <v>0</v>
      </c>
      <c r="JZ13" s="3" t="s">
        <v>692</v>
      </c>
      <c r="KC13" s="85" t="s">
        <v>390</v>
      </c>
      <c r="KD13" s="85">
        <v>50</v>
      </c>
      <c r="KE13" s="85">
        <v>0</v>
      </c>
      <c r="KF13" s="85">
        <v>50</v>
      </c>
      <c r="KG13" s="85">
        <v>0</v>
      </c>
      <c r="KH13" s="85">
        <v>0</v>
      </c>
      <c r="KI13" s="85">
        <v>0</v>
      </c>
      <c r="KP13" s="85" t="s">
        <v>590</v>
      </c>
      <c r="KQ13" s="85">
        <v>2</v>
      </c>
      <c r="KR13" t="s">
        <v>872</v>
      </c>
    </row>
    <row r="14" spans="1:306" ht="15" x14ac:dyDescent="0.25">
      <c r="D14" s="2" t="s">
        <v>808</v>
      </c>
      <c r="F14" s="3" t="s">
        <v>852</v>
      </c>
      <c r="H14" s="2" t="s">
        <v>391</v>
      </c>
      <c r="I14" t="s">
        <v>167</v>
      </c>
      <c r="J14" s="2"/>
      <c r="AO14" s="86" t="s">
        <v>590</v>
      </c>
      <c r="AP14" s="86">
        <v>3</v>
      </c>
      <c r="AQ14" s="85" t="s">
        <v>82</v>
      </c>
      <c r="BJ14" s="148" t="s">
        <v>295</v>
      </c>
      <c r="BK14" t="s">
        <v>167</v>
      </c>
      <c r="BL14" t="s">
        <v>259</v>
      </c>
      <c r="BM14" s="145" t="s">
        <v>782</v>
      </c>
      <c r="BN14" s="145" t="s">
        <v>782</v>
      </c>
      <c r="BO14" s="145" t="s">
        <v>782</v>
      </c>
      <c r="CA14" t="s">
        <v>301</v>
      </c>
      <c r="CB14" t="s">
        <v>84</v>
      </c>
      <c r="CC14" t="s">
        <v>87</v>
      </c>
      <c r="CD14" t="s">
        <v>167</v>
      </c>
      <c r="CF14" t="s">
        <v>262</v>
      </c>
      <c r="CH14" s="2" t="s">
        <v>803</v>
      </c>
      <c r="CP14" t="s">
        <v>303</v>
      </c>
      <c r="EV14" t="s">
        <v>272</v>
      </c>
      <c r="FG14" s="2" t="s">
        <v>808</v>
      </c>
      <c r="FV14" t="s">
        <v>296</v>
      </c>
      <c r="FZ14" t="s">
        <v>857</v>
      </c>
      <c r="GC14" s="2" t="s">
        <v>390</v>
      </c>
      <c r="GD14" s="85"/>
      <c r="GE14" s="85"/>
      <c r="GF14" s="85"/>
      <c r="GG14" s="85"/>
      <c r="GH14" s="85"/>
      <c r="GI14" s="85"/>
      <c r="GJ14" s="85"/>
      <c r="GK14" s="85"/>
      <c r="GL14" s="85"/>
      <c r="GM14" s="85"/>
      <c r="GN14" s="85"/>
      <c r="GO14" s="85"/>
      <c r="GP14" s="85"/>
      <c r="GQ14" t="s">
        <v>83</v>
      </c>
      <c r="GR14" t="s">
        <v>196</v>
      </c>
      <c r="GS14" t="s">
        <v>196</v>
      </c>
      <c r="GT14" t="s">
        <v>196</v>
      </c>
      <c r="GU14">
        <v>0</v>
      </c>
      <c r="GW14" s="3" t="s">
        <v>391</v>
      </c>
      <c r="GX14" t="s">
        <v>287</v>
      </c>
      <c r="HB14" s="4" t="s">
        <v>230</v>
      </c>
      <c r="HZ14" t="s">
        <v>296</v>
      </c>
      <c r="IN14" s="85" t="s">
        <v>666</v>
      </c>
      <c r="IO14" s="85">
        <f t="shared" si="0"/>
        <v>0</v>
      </c>
      <c r="IW14" s="85" t="s">
        <v>581</v>
      </c>
      <c r="IX14" s="85">
        <v>6</v>
      </c>
      <c r="IY14" s="97" t="s">
        <v>570</v>
      </c>
      <c r="JA14" s="85" t="s">
        <v>574</v>
      </c>
      <c r="JC14" s="85" t="s">
        <v>590</v>
      </c>
      <c r="JE14" s="86" t="s">
        <v>734</v>
      </c>
      <c r="JR14" s="3" t="s">
        <v>83</v>
      </c>
      <c r="JS14">
        <v>0</v>
      </c>
      <c r="JZ14" s="86" t="s">
        <v>683</v>
      </c>
      <c r="KC14" s="85" t="s">
        <v>165</v>
      </c>
      <c r="KD14" s="85">
        <v>0</v>
      </c>
      <c r="KE14" s="85">
        <v>0</v>
      </c>
      <c r="KF14" s="85">
        <v>0</v>
      </c>
      <c r="KG14" s="85">
        <v>0</v>
      </c>
      <c r="KH14" s="85">
        <v>0</v>
      </c>
      <c r="KI14" s="85">
        <v>0</v>
      </c>
      <c r="KP14" s="85" t="s">
        <v>666</v>
      </c>
      <c r="KQ14" s="85">
        <v>2</v>
      </c>
      <c r="KR14" t="s">
        <v>872</v>
      </c>
    </row>
    <row r="15" spans="1:306" ht="15" x14ac:dyDescent="0.25">
      <c r="D15" s="2" t="s">
        <v>803</v>
      </c>
      <c r="H15" s="2" t="s">
        <v>292</v>
      </c>
      <c r="I15" t="s">
        <v>167</v>
      </c>
      <c r="J15" s="2"/>
      <c r="S15" t="s">
        <v>836</v>
      </c>
      <c r="T15" t="s">
        <v>883</v>
      </c>
      <c r="AO15" s="86" t="s">
        <v>666</v>
      </c>
      <c r="AP15" s="86">
        <v>4</v>
      </c>
      <c r="AQ15" s="85" t="s">
        <v>82</v>
      </c>
      <c r="BJ15" s="148" t="s">
        <v>300</v>
      </c>
      <c r="BK15" t="s">
        <v>167</v>
      </c>
      <c r="BL15" t="s">
        <v>238</v>
      </c>
      <c r="BM15" t="s">
        <v>781</v>
      </c>
      <c r="BN15" t="s">
        <v>781</v>
      </c>
      <c r="BO15" t="s">
        <v>781</v>
      </c>
      <c r="CC15" t="s">
        <v>188</v>
      </c>
      <c r="CD15" t="s">
        <v>167</v>
      </c>
      <c r="CF15" t="s">
        <v>270</v>
      </c>
      <c r="CH15" s="2" t="s">
        <v>216</v>
      </c>
      <c r="CP15" t="s">
        <v>306</v>
      </c>
      <c r="EV15" s="3" t="s">
        <v>358</v>
      </c>
      <c r="FG15" s="2" t="s">
        <v>803</v>
      </c>
      <c r="FV15" t="s">
        <v>301</v>
      </c>
      <c r="FZ15" t="s">
        <v>165</v>
      </c>
      <c r="GC15" s="125" t="s">
        <v>87</v>
      </c>
      <c r="GD15" s="85" t="s">
        <v>553</v>
      </c>
      <c r="GE15" s="85" t="s">
        <v>554</v>
      </c>
      <c r="GF15" s="85" t="s">
        <v>555</v>
      </c>
      <c r="GG15" s="85" t="s">
        <v>556</v>
      </c>
      <c r="GH15" s="85" t="s">
        <v>642</v>
      </c>
      <c r="GI15" s="85"/>
      <c r="GJ15" s="85"/>
      <c r="GK15" s="85"/>
      <c r="GL15" s="85"/>
      <c r="GM15" s="85"/>
      <c r="GN15" s="85"/>
      <c r="GO15" s="85"/>
      <c r="GP15" s="85"/>
      <c r="GW15" s="3" t="s">
        <v>292</v>
      </c>
      <c r="GX15" t="s">
        <v>391</v>
      </c>
      <c r="HZ15" t="s">
        <v>301</v>
      </c>
      <c r="IF15" s="3"/>
      <c r="IG15" s="3" t="s">
        <v>799</v>
      </c>
      <c r="IH15" s="3" t="s">
        <v>800</v>
      </c>
      <c r="II15" s="3" t="s">
        <v>836</v>
      </c>
      <c r="IJ15" s="3" t="s">
        <v>880</v>
      </c>
      <c r="IN15" s="85" t="s">
        <v>667</v>
      </c>
      <c r="IO15" s="85">
        <f t="shared" si="0"/>
        <v>0</v>
      </c>
      <c r="IW15" s="85" t="s">
        <v>582</v>
      </c>
      <c r="IX15" s="85">
        <v>8</v>
      </c>
      <c r="IY15" s="97" t="s">
        <v>570</v>
      </c>
      <c r="JA15" s="85" t="s">
        <v>576</v>
      </c>
      <c r="JC15" s="85" t="s">
        <v>666</v>
      </c>
      <c r="JE15" s="86" t="s">
        <v>735</v>
      </c>
      <c r="JR15" t="s">
        <v>273</v>
      </c>
      <c r="JS15">
        <v>50</v>
      </c>
      <c r="JZ15" s="86" t="s">
        <v>693</v>
      </c>
      <c r="KC15" s="85" t="s">
        <v>83</v>
      </c>
      <c r="KD15" s="85">
        <v>0</v>
      </c>
      <c r="KE15" s="85">
        <v>0</v>
      </c>
      <c r="KF15" s="85">
        <v>0</v>
      </c>
      <c r="KG15" s="85">
        <v>0</v>
      </c>
      <c r="KH15" s="85">
        <v>0</v>
      </c>
      <c r="KI15" s="85">
        <v>0</v>
      </c>
      <c r="KP15" s="85" t="s">
        <v>667</v>
      </c>
      <c r="KQ15" s="85">
        <v>2</v>
      </c>
      <c r="KR15" t="s">
        <v>872</v>
      </c>
    </row>
    <row r="16" spans="1:306" ht="15" x14ac:dyDescent="0.25">
      <c r="H16" s="2" t="s">
        <v>87</v>
      </c>
      <c r="I16" t="s">
        <v>167</v>
      </c>
      <c r="J16" s="2"/>
      <c r="S16" t="s">
        <v>837</v>
      </c>
      <c r="T16" t="s">
        <v>168</v>
      </c>
      <c r="AO16" s="86" t="s">
        <v>667</v>
      </c>
      <c r="AP16" s="86">
        <v>4</v>
      </c>
      <c r="AQ16" s="85" t="s">
        <v>82</v>
      </c>
      <c r="BK16" t="s">
        <v>167</v>
      </c>
      <c r="BL16" t="s">
        <v>259</v>
      </c>
      <c r="BM16" t="s">
        <v>768</v>
      </c>
      <c r="BN16" t="s">
        <v>768</v>
      </c>
      <c r="BO16" t="s">
        <v>768</v>
      </c>
      <c r="CC16" t="s">
        <v>212</v>
      </c>
      <c r="CD16" t="s">
        <v>167</v>
      </c>
      <c r="CF16" t="s">
        <v>818</v>
      </c>
      <c r="CP16" t="s">
        <v>310</v>
      </c>
      <c r="EV16" t="s">
        <v>279</v>
      </c>
      <c r="FG16" s="2"/>
      <c r="GC16" s="125" t="s">
        <v>188</v>
      </c>
      <c r="GD16" s="85" t="s">
        <v>167</v>
      </c>
      <c r="GE16" s="85" t="s">
        <v>167</v>
      </c>
      <c r="GF16" s="85" t="s">
        <v>167</v>
      </c>
      <c r="GG16" s="85" t="s">
        <v>167</v>
      </c>
      <c r="GH16" s="85" t="s">
        <v>167</v>
      </c>
      <c r="GI16" s="85"/>
      <c r="GJ16" s="85"/>
      <c r="GK16" s="85"/>
      <c r="GL16" s="85"/>
      <c r="GM16" s="85"/>
      <c r="GN16" s="85"/>
      <c r="GO16" s="85"/>
      <c r="GP16" s="85"/>
      <c r="GW16" s="3"/>
      <c r="GX16" t="s">
        <v>827</v>
      </c>
      <c r="IF16" s="3" t="s">
        <v>134</v>
      </c>
      <c r="IG16" s="3" t="str">
        <f>$IG$2</f>
        <v>FauxwoodDesignerMoutingMethodMS</v>
      </c>
      <c r="IH16" s="3" t="str">
        <f>$IG$2</f>
        <v>FauxwoodDesignerMoutingMethodMS</v>
      </c>
      <c r="II16" s="3" t="str">
        <f>$IG$2</f>
        <v>FauxwoodDesignerMoutingMethodMS</v>
      </c>
      <c r="IJ16" s="3" t="str">
        <f>$IG$2</f>
        <v>FauxwoodDesignerMoutingMethodMS</v>
      </c>
      <c r="IN16" s="85" t="s">
        <v>594</v>
      </c>
      <c r="IO16" s="85">
        <f t="shared" si="0"/>
        <v>0</v>
      </c>
      <c r="IW16" s="85" t="s">
        <v>583</v>
      </c>
      <c r="IX16" s="85">
        <v>1</v>
      </c>
      <c r="IY16" s="98" t="s">
        <v>288</v>
      </c>
      <c r="JC16" s="85" t="s">
        <v>667</v>
      </c>
      <c r="JE16" s="86" t="s">
        <v>736</v>
      </c>
      <c r="JI16" t="s">
        <v>853</v>
      </c>
      <c r="JR16" t="s">
        <v>280</v>
      </c>
      <c r="JS16">
        <v>20</v>
      </c>
      <c r="JZ16" s="86" t="s">
        <v>649</v>
      </c>
      <c r="KC16" s="85" t="s">
        <v>273</v>
      </c>
      <c r="KD16" s="85">
        <v>50</v>
      </c>
      <c r="KE16" s="85">
        <v>0</v>
      </c>
      <c r="KF16" s="85">
        <v>50</v>
      </c>
      <c r="KG16" s="85">
        <v>0</v>
      </c>
      <c r="KH16" s="85">
        <v>0</v>
      </c>
      <c r="KI16" s="85">
        <v>0</v>
      </c>
      <c r="KP16" s="85" t="s">
        <v>594</v>
      </c>
      <c r="KQ16" s="85">
        <v>2</v>
      </c>
      <c r="KR16" t="s">
        <v>872</v>
      </c>
    </row>
    <row r="17" spans="1:304" ht="15" x14ac:dyDescent="0.25">
      <c r="H17" s="2" t="s">
        <v>188</v>
      </c>
      <c r="I17" t="s">
        <v>167</v>
      </c>
      <c r="S17" t="s">
        <v>168</v>
      </c>
      <c r="AO17" s="86" t="s">
        <v>594</v>
      </c>
      <c r="AP17" s="86">
        <v>4</v>
      </c>
      <c r="AQ17" s="85" t="s">
        <v>82</v>
      </c>
      <c r="BK17" t="s">
        <v>167</v>
      </c>
      <c r="BL17" t="s">
        <v>238</v>
      </c>
      <c r="BM17" t="s">
        <v>769</v>
      </c>
      <c r="BN17" t="s">
        <v>769</v>
      </c>
      <c r="BO17" t="s">
        <v>769</v>
      </c>
      <c r="CC17" t="s">
        <v>230</v>
      </c>
      <c r="CD17" t="s">
        <v>167</v>
      </c>
      <c r="CF17" s="139" t="s">
        <v>291</v>
      </c>
      <c r="CP17" t="s">
        <v>313</v>
      </c>
      <c r="EV17" t="s">
        <v>286</v>
      </c>
      <c r="GC17" s="125" t="s">
        <v>212</v>
      </c>
      <c r="GD17" s="85" t="s">
        <v>84</v>
      </c>
      <c r="GE17" s="85" t="s">
        <v>84</v>
      </c>
      <c r="GF17" s="85" t="s">
        <v>84</v>
      </c>
      <c r="GG17" s="85" t="s">
        <v>84</v>
      </c>
      <c r="GH17" s="85" t="s">
        <v>84</v>
      </c>
      <c r="GI17" s="85"/>
      <c r="GJ17" s="85"/>
      <c r="GK17" s="85"/>
      <c r="GL17" s="85"/>
      <c r="GM17" s="85"/>
      <c r="GN17" s="85"/>
      <c r="GO17" s="85"/>
      <c r="GP17" s="85"/>
      <c r="GW17" s="3"/>
      <c r="GX17" t="s">
        <v>292</v>
      </c>
      <c r="IF17" s="3" t="s">
        <v>135</v>
      </c>
      <c r="IG17" s="3" t="str">
        <f>$IH$2</f>
        <v>FauxwoodDesignerMoutingMethodIN</v>
      </c>
      <c r="IH17" s="3" t="str">
        <f>$IH$2</f>
        <v>FauxwoodDesignerMoutingMethodIN</v>
      </c>
      <c r="II17" s="3" t="str">
        <f>$IJ$2</f>
        <v>FauxwoodDesignerNightMoutingMethodIN</v>
      </c>
      <c r="IJ17" s="3" t="str">
        <f>$IH$2</f>
        <v>FauxwoodDesignerMoutingMethodIN</v>
      </c>
      <c r="IN17" s="85" t="s">
        <v>591</v>
      </c>
      <c r="IO17" s="85">
        <f t="shared" si="0"/>
        <v>0</v>
      </c>
      <c r="IW17" s="85" t="s">
        <v>584</v>
      </c>
      <c r="IX17" s="85">
        <v>2</v>
      </c>
      <c r="IY17" s="98" t="s">
        <v>288</v>
      </c>
      <c r="JC17" s="85" t="s">
        <v>594</v>
      </c>
      <c r="JE17" s="86" t="s">
        <v>737</v>
      </c>
      <c r="JI17" t="s">
        <v>161</v>
      </c>
      <c r="JR17" t="s">
        <v>287</v>
      </c>
      <c r="JS17">
        <v>40</v>
      </c>
      <c r="JZ17" s="86" t="s">
        <v>572</v>
      </c>
      <c r="KC17" s="85" t="s">
        <v>280</v>
      </c>
      <c r="KD17" s="85">
        <v>50</v>
      </c>
      <c r="KE17" s="85">
        <v>0</v>
      </c>
      <c r="KF17" s="85">
        <v>50</v>
      </c>
      <c r="KG17" s="85">
        <v>0</v>
      </c>
      <c r="KH17" s="85">
        <v>0</v>
      </c>
      <c r="KI17" s="85">
        <v>0</v>
      </c>
      <c r="KP17" s="85" t="s">
        <v>591</v>
      </c>
      <c r="KQ17" s="85">
        <v>3</v>
      </c>
      <c r="KR17" t="s">
        <v>873</v>
      </c>
    </row>
    <row r="18" spans="1:304" ht="15" x14ac:dyDescent="0.25">
      <c r="H18" s="2" t="s">
        <v>212</v>
      </c>
      <c r="I18" t="s">
        <v>167</v>
      </c>
      <c r="AO18" s="86" t="s">
        <v>591</v>
      </c>
      <c r="AP18" s="86">
        <v>3</v>
      </c>
      <c r="AQ18" s="85" t="s">
        <v>82</v>
      </c>
      <c r="BK18" t="s">
        <v>84</v>
      </c>
      <c r="BM18" t="s">
        <v>260</v>
      </c>
      <c r="BN18" t="s">
        <v>260</v>
      </c>
      <c r="BO18" t="s">
        <v>260</v>
      </c>
      <c r="CF18" s="3" t="s">
        <v>814</v>
      </c>
      <c r="CP18" t="s">
        <v>316</v>
      </c>
      <c r="EV18" t="s">
        <v>810</v>
      </c>
      <c r="GC18" s="125" t="s">
        <v>230</v>
      </c>
      <c r="GD18" s="85" t="s">
        <v>219</v>
      </c>
      <c r="GE18" s="85" t="s">
        <v>219</v>
      </c>
      <c r="GF18" s="85" t="s">
        <v>219</v>
      </c>
      <c r="GG18" s="85" t="s">
        <v>219</v>
      </c>
      <c r="GH18" s="85" t="s">
        <v>219</v>
      </c>
      <c r="GI18" s="85"/>
      <c r="GJ18" s="85"/>
      <c r="GK18" s="85"/>
      <c r="GL18" s="85"/>
      <c r="GM18" s="85"/>
      <c r="GN18" s="85"/>
      <c r="GO18" s="85"/>
      <c r="GP18" s="85"/>
      <c r="GW18" s="3" t="s">
        <v>164</v>
      </c>
      <c r="IF18" s="3" t="s">
        <v>136</v>
      </c>
      <c r="IG18" s="3" t="str">
        <f>$II$2</f>
        <v>FauxwoodDesignerMoutingMethodOUT</v>
      </c>
      <c r="IH18" s="3" t="str">
        <f>$II$2</f>
        <v>FauxwoodDesignerMoutingMethodOUT</v>
      </c>
      <c r="II18" s="3" t="str">
        <f>$IK$2</f>
        <v>FauxwoodDesignerNightMoutingMethodOUT</v>
      </c>
      <c r="IJ18" s="3" t="str">
        <f>$II$2</f>
        <v>FauxwoodDesignerMoutingMethodOUT</v>
      </c>
      <c r="IN18" s="85" t="s">
        <v>674</v>
      </c>
      <c r="IO18" s="85">
        <f t="shared" si="0"/>
        <v>0</v>
      </c>
      <c r="IW18" s="85" t="s">
        <v>585</v>
      </c>
      <c r="IX18" s="85">
        <v>2</v>
      </c>
      <c r="IY18" s="98" t="s">
        <v>288</v>
      </c>
      <c r="JC18" s="85" t="s">
        <v>591</v>
      </c>
      <c r="JE18" s="86" t="s">
        <v>738</v>
      </c>
      <c r="JI18" t="s">
        <v>500</v>
      </c>
      <c r="JR18" t="s">
        <v>391</v>
      </c>
      <c r="JZ18" s="141" t="s">
        <v>702</v>
      </c>
      <c r="KC18" s="85" t="s">
        <v>287</v>
      </c>
      <c r="KD18" s="85">
        <v>50</v>
      </c>
      <c r="KE18" s="85">
        <v>0</v>
      </c>
      <c r="KF18" s="85">
        <v>50</v>
      </c>
      <c r="KG18" s="85">
        <v>0</v>
      </c>
      <c r="KH18" s="85">
        <v>0</v>
      </c>
      <c r="KI18" s="85">
        <v>0</v>
      </c>
      <c r="KP18" s="85" t="s">
        <v>674</v>
      </c>
      <c r="KQ18" s="85">
        <v>3</v>
      </c>
      <c r="KR18" t="s">
        <v>873</v>
      </c>
    </row>
    <row r="19" spans="1:304" ht="15" x14ac:dyDescent="0.25">
      <c r="H19" s="2" t="s">
        <v>230</v>
      </c>
      <c r="I19" t="s">
        <v>167</v>
      </c>
      <c r="AO19" s="86" t="s">
        <v>674</v>
      </c>
      <c r="AP19" s="86">
        <v>6</v>
      </c>
      <c r="AQ19" s="85" t="s">
        <v>82</v>
      </c>
      <c r="BM19" t="s">
        <v>773</v>
      </c>
      <c r="BN19" t="s">
        <v>773</v>
      </c>
      <c r="BO19" t="s">
        <v>773</v>
      </c>
      <c r="CF19" s="3" t="s">
        <v>815</v>
      </c>
      <c r="CP19" t="s">
        <v>319</v>
      </c>
      <c r="EV19" t="s">
        <v>878</v>
      </c>
      <c r="GC19" s="2" t="s">
        <v>165</v>
      </c>
      <c r="GD19" s="85"/>
      <c r="GE19" s="85"/>
      <c r="GF19" s="85"/>
      <c r="GG19" s="85"/>
      <c r="GH19" s="85"/>
      <c r="GI19" s="85"/>
      <c r="GJ19" s="85"/>
      <c r="GK19" s="85"/>
      <c r="GL19" s="85"/>
      <c r="GM19" s="85"/>
      <c r="GN19" s="85"/>
      <c r="GO19" s="85"/>
      <c r="GP19" s="85"/>
      <c r="GW19" s="3" t="s">
        <v>202</v>
      </c>
      <c r="IN19" s="85" t="s">
        <v>675</v>
      </c>
      <c r="IO19" s="85">
        <f t="shared" si="0"/>
        <v>0</v>
      </c>
      <c r="IW19" s="85" t="s">
        <v>586</v>
      </c>
      <c r="IX19" s="85">
        <v>2</v>
      </c>
      <c r="IY19" s="98" t="s">
        <v>288</v>
      </c>
      <c r="JC19" s="85" t="s">
        <v>674</v>
      </c>
      <c r="JE19" s="86" t="s">
        <v>739</v>
      </c>
      <c r="JI19" t="s">
        <v>501</v>
      </c>
      <c r="JR19" t="s">
        <v>292</v>
      </c>
      <c r="JS19">
        <v>30</v>
      </c>
      <c r="JZ19" s="141" t="s">
        <v>728</v>
      </c>
      <c r="KC19" s="85" t="s">
        <v>391</v>
      </c>
      <c r="KD19" s="85">
        <v>50</v>
      </c>
      <c r="KE19" s="85">
        <v>0</v>
      </c>
      <c r="KF19" s="85">
        <v>50</v>
      </c>
      <c r="KG19" s="85">
        <v>0</v>
      </c>
      <c r="KH19" s="85">
        <v>0</v>
      </c>
      <c r="KI19" s="85">
        <v>0</v>
      </c>
      <c r="KP19" s="85" t="s">
        <v>675</v>
      </c>
      <c r="KQ19" s="85">
        <v>3</v>
      </c>
      <c r="KR19" t="s">
        <v>873</v>
      </c>
    </row>
    <row r="20" spans="1:304" ht="15" x14ac:dyDescent="0.25">
      <c r="A20" t="s">
        <v>789</v>
      </c>
      <c r="J20" t="s">
        <v>86</v>
      </c>
      <c r="AO20" s="86" t="s">
        <v>675</v>
      </c>
      <c r="AP20" s="86">
        <v>6</v>
      </c>
      <c r="AQ20" s="85" t="s">
        <v>82</v>
      </c>
      <c r="BM20" t="s">
        <v>268</v>
      </c>
      <c r="BN20" t="s">
        <v>268</v>
      </c>
      <c r="BO20" t="s">
        <v>268</v>
      </c>
      <c r="CF20" s="140" t="s">
        <v>297</v>
      </c>
      <c r="CP20" t="s">
        <v>43</v>
      </c>
      <c r="FG20" t="s">
        <v>86</v>
      </c>
      <c r="GC20" s="2" t="s">
        <v>284</v>
      </c>
      <c r="GD20" s="85"/>
      <c r="GE20" s="85"/>
      <c r="GF20" s="85"/>
      <c r="GG20" s="85"/>
      <c r="GH20" s="85"/>
      <c r="GI20" s="85"/>
      <c r="GJ20" s="85"/>
      <c r="GK20" s="85"/>
      <c r="GL20" s="85"/>
      <c r="GM20" s="85"/>
      <c r="GN20" s="85"/>
      <c r="GO20" s="85"/>
      <c r="GP20" s="85"/>
      <c r="GW20" s="3" t="s">
        <v>223</v>
      </c>
      <c r="IN20" s="85" t="s">
        <v>602</v>
      </c>
      <c r="IO20" s="85">
        <f t="shared" si="0"/>
        <v>0</v>
      </c>
      <c r="IW20" s="85" t="s">
        <v>587</v>
      </c>
      <c r="IX20" s="85">
        <v>2</v>
      </c>
      <c r="IY20" s="98" t="s">
        <v>288</v>
      </c>
      <c r="JC20" s="85" t="s">
        <v>675</v>
      </c>
      <c r="JE20" s="86" t="s">
        <v>740</v>
      </c>
      <c r="JI20" t="s">
        <v>222</v>
      </c>
      <c r="JR20" t="s">
        <v>284</v>
      </c>
      <c r="JZ20" s="3" t="s">
        <v>650</v>
      </c>
      <c r="KC20" s="85" t="s">
        <v>292</v>
      </c>
      <c r="KD20" s="85">
        <v>50</v>
      </c>
      <c r="KE20" s="85">
        <v>0</v>
      </c>
      <c r="KF20" s="85">
        <v>50</v>
      </c>
      <c r="KG20" s="85">
        <v>0</v>
      </c>
      <c r="KH20" s="85">
        <v>0</v>
      </c>
      <c r="KI20" s="85">
        <v>0</v>
      </c>
      <c r="KP20" s="85" t="s">
        <v>602</v>
      </c>
      <c r="KQ20" s="85">
        <v>3</v>
      </c>
      <c r="KR20" t="s">
        <v>873</v>
      </c>
    </row>
    <row r="21" spans="1:304" ht="15" x14ac:dyDescent="0.25">
      <c r="A21" t="s">
        <v>791</v>
      </c>
      <c r="B21" t="s">
        <v>790</v>
      </c>
      <c r="H21" s="3" t="s">
        <v>83</v>
      </c>
      <c r="J21" t="s">
        <v>797</v>
      </c>
      <c r="N21" t="s">
        <v>856</v>
      </c>
      <c r="AO21" s="86" t="s">
        <v>602</v>
      </c>
      <c r="AP21" s="86">
        <v>6</v>
      </c>
      <c r="AQ21" s="85" t="s">
        <v>82</v>
      </c>
      <c r="BM21" t="s">
        <v>277</v>
      </c>
      <c r="BN21" t="s">
        <v>277</v>
      </c>
      <c r="BO21" t="s">
        <v>277</v>
      </c>
      <c r="CF21" s="139" t="s">
        <v>694</v>
      </c>
      <c r="CH21" t="s">
        <v>783</v>
      </c>
      <c r="CP21" t="s">
        <v>324</v>
      </c>
      <c r="FG21" t="s">
        <v>187</v>
      </c>
      <c r="GC21" s="125" t="s">
        <v>185</v>
      </c>
      <c r="GD21" s="85"/>
      <c r="GE21" s="85"/>
      <c r="GF21" s="85"/>
      <c r="GG21" s="85"/>
      <c r="GH21" s="85"/>
      <c r="GI21" s="85"/>
      <c r="GJ21" s="85"/>
      <c r="GK21" s="85"/>
      <c r="GL21" s="85"/>
      <c r="GM21" s="85"/>
      <c r="GN21" s="85"/>
      <c r="GO21" s="85"/>
      <c r="GP21" s="85"/>
      <c r="GW21" s="3" t="s">
        <v>198</v>
      </c>
      <c r="IN21" s="85" t="s">
        <v>599</v>
      </c>
      <c r="IO21" s="85">
        <f t="shared" si="0"/>
        <v>0</v>
      </c>
      <c r="IW21" s="85" t="s">
        <v>588</v>
      </c>
      <c r="IX21" s="85">
        <v>3</v>
      </c>
      <c r="IY21" s="98" t="s">
        <v>288</v>
      </c>
      <c r="JC21" s="85" t="s">
        <v>602</v>
      </c>
      <c r="JE21" s="86" t="s">
        <v>500</v>
      </c>
      <c r="JI21" t="s">
        <v>201</v>
      </c>
      <c r="JZ21" s="3" t="s">
        <v>571</v>
      </c>
      <c r="KC21" s="85" t="s">
        <v>284</v>
      </c>
      <c r="KD21" s="85">
        <v>0</v>
      </c>
      <c r="KE21" s="85">
        <v>0</v>
      </c>
      <c r="KF21" s="85">
        <v>0</v>
      </c>
      <c r="KG21" s="85">
        <v>0</v>
      </c>
      <c r="KH21" s="85">
        <v>0</v>
      </c>
      <c r="KI21" s="85">
        <v>0</v>
      </c>
      <c r="KP21" s="85" t="s">
        <v>599</v>
      </c>
      <c r="KQ21" s="85">
        <v>3</v>
      </c>
      <c r="KR21" t="s">
        <v>873</v>
      </c>
    </row>
    <row r="22" spans="1:304" ht="15" x14ac:dyDescent="0.25">
      <c r="A22" t="s">
        <v>793</v>
      </c>
      <c r="B22" t="s">
        <v>792</v>
      </c>
      <c r="H22" s="3" t="s">
        <v>185</v>
      </c>
      <c r="J22" t="s">
        <v>724</v>
      </c>
      <c r="N22" t="s">
        <v>192</v>
      </c>
      <c r="AO22" s="86" t="s">
        <v>599</v>
      </c>
      <c r="AP22" s="86">
        <v>4</v>
      </c>
      <c r="AQ22" s="85" t="s">
        <v>82</v>
      </c>
      <c r="BM22" t="s">
        <v>841</v>
      </c>
      <c r="BN22" t="s">
        <v>841</v>
      </c>
      <c r="BO22" t="s">
        <v>841</v>
      </c>
      <c r="CF22" s="140" t="s">
        <v>389</v>
      </c>
      <c r="CP22" t="s">
        <v>272</v>
      </c>
      <c r="FG22" t="s">
        <v>724</v>
      </c>
      <c r="GC22" s="3" t="s">
        <v>827</v>
      </c>
      <c r="GD22" s="85"/>
      <c r="GE22" s="85"/>
      <c r="GF22" s="85"/>
      <c r="GG22" s="85"/>
      <c r="GH22" s="85"/>
      <c r="GI22" s="85"/>
      <c r="GJ22" s="85"/>
      <c r="GK22" s="85"/>
      <c r="GL22" s="85"/>
      <c r="GM22" s="85"/>
      <c r="GN22" s="85"/>
      <c r="GO22" s="85"/>
      <c r="GP22" s="85"/>
      <c r="GW22" s="3" t="s">
        <v>246</v>
      </c>
      <c r="IN22" s="85" t="s">
        <v>583</v>
      </c>
      <c r="IO22" s="85">
        <f t="shared" si="0"/>
        <v>0</v>
      </c>
      <c r="IW22" s="85" t="s">
        <v>589</v>
      </c>
      <c r="IX22" s="85">
        <v>3</v>
      </c>
      <c r="IY22" s="98" t="s">
        <v>288</v>
      </c>
      <c r="JC22" s="85" t="s">
        <v>599</v>
      </c>
      <c r="JE22" s="86" t="s">
        <v>501</v>
      </c>
      <c r="JZ22" s="2" t="s">
        <v>703</v>
      </c>
      <c r="KP22" s="85" t="s">
        <v>583</v>
      </c>
      <c r="KQ22" s="85">
        <v>1</v>
      </c>
      <c r="KR22" t="s">
        <v>872</v>
      </c>
    </row>
    <row r="23" spans="1:304" ht="15" x14ac:dyDescent="0.25">
      <c r="A23" t="s">
        <v>780</v>
      </c>
      <c r="B23" t="s">
        <v>794</v>
      </c>
      <c r="H23" s="3" t="s">
        <v>88</v>
      </c>
      <c r="J23" t="s">
        <v>783</v>
      </c>
      <c r="N23" t="s">
        <v>216</v>
      </c>
      <c r="AO23" s="86" t="s">
        <v>583</v>
      </c>
      <c r="AP23" s="86">
        <v>1</v>
      </c>
      <c r="AQ23" s="85" t="s">
        <v>82</v>
      </c>
      <c r="BM23" s="145" t="s">
        <v>842</v>
      </c>
      <c r="BN23" s="145" t="s">
        <v>842</v>
      </c>
      <c r="BO23" s="145" t="s">
        <v>842</v>
      </c>
      <c r="CF23" s="139" t="s">
        <v>305</v>
      </c>
      <c r="CP23" t="s">
        <v>328</v>
      </c>
      <c r="FG23" t="s">
        <v>211</v>
      </c>
      <c r="GC23" t="s">
        <v>860</v>
      </c>
      <c r="GD23" s="85"/>
      <c r="GE23" s="85"/>
      <c r="GF23" s="85"/>
      <c r="GG23" s="85"/>
      <c r="GH23" s="85"/>
      <c r="GI23" s="85"/>
      <c r="GJ23" s="85"/>
      <c r="GK23" s="85"/>
      <c r="GL23" s="85"/>
      <c r="GM23" s="85"/>
      <c r="GN23" s="85"/>
      <c r="GO23" s="85"/>
      <c r="GP23" s="85"/>
      <c r="GW23" s="3" t="s">
        <v>255</v>
      </c>
      <c r="IN23" s="85" t="s">
        <v>584</v>
      </c>
      <c r="IO23" s="85">
        <f t="shared" si="0"/>
        <v>0</v>
      </c>
      <c r="IW23" s="85" t="s">
        <v>590</v>
      </c>
      <c r="IX23" s="85">
        <v>3</v>
      </c>
      <c r="IY23" s="98" t="s">
        <v>288</v>
      </c>
      <c r="JC23" s="85" t="s">
        <v>583</v>
      </c>
      <c r="JE23" s="86" t="s">
        <v>502</v>
      </c>
      <c r="JZ23" s="2" t="s">
        <v>704</v>
      </c>
      <c r="KP23" s="85" t="s">
        <v>584</v>
      </c>
      <c r="KQ23" s="85">
        <v>2</v>
      </c>
      <c r="KR23" t="s">
        <v>872</v>
      </c>
    </row>
    <row r="24" spans="1:304" ht="15" x14ac:dyDescent="0.25">
      <c r="B24" t="s">
        <v>795</v>
      </c>
      <c r="H24" s="3" t="s">
        <v>189</v>
      </c>
      <c r="J24" t="s">
        <v>192</v>
      </c>
      <c r="AO24" s="86" t="s">
        <v>584</v>
      </c>
      <c r="AP24" s="86">
        <v>2</v>
      </c>
      <c r="AQ24" s="85" t="s">
        <v>82</v>
      </c>
      <c r="BJ24" s="87" t="s">
        <v>249</v>
      </c>
      <c r="BM24" t="s">
        <v>766</v>
      </c>
      <c r="BN24" t="s">
        <v>766</v>
      </c>
      <c r="BO24" t="s">
        <v>766</v>
      </c>
      <c r="CF24" s="140" t="s">
        <v>309</v>
      </c>
      <c r="CH24" t="s">
        <v>233</v>
      </c>
      <c r="CP24" t="s">
        <v>330</v>
      </c>
      <c r="FG24" t="s">
        <v>216</v>
      </c>
      <c r="GD24" s="310" t="s">
        <v>69</v>
      </c>
      <c r="GE24" s="310"/>
      <c r="GF24" s="310"/>
      <c r="GG24" s="310"/>
      <c r="GH24" s="310"/>
      <c r="GI24" s="310"/>
      <c r="GJ24" s="310"/>
      <c r="GK24" s="310"/>
      <c r="GL24" s="310"/>
      <c r="GM24" s="310"/>
      <c r="GN24" s="310"/>
      <c r="GO24" s="310"/>
      <c r="GP24" s="85"/>
      <c r="GW24" s="3" t="s">
        <v>390</v>
      </c>
      <c r="IN24" s="85" t="s">
        <v>595</v>
      </c>
      <c r="IO24" s="85">
        <f t="shared" si="0"/>
        <v>0</v>
      </c>
      <c r="IW24" s="85" t="s">
        <v>591</v>
      </c>
      <c r="IX24" s="85">
        <v>3</v>
      </c>
      <c r="IY24" s="98" t="s">
        <v>288</v>
      </c>
      <c r="JC24" s="85" t="s">
        <v>584</v>
      </c>
      <c r="JE24" s="86" t="s">
        <v>503</v>
      </c>
      <c r="JZ24" s="2" t="s">
        <v>729</v>
      </c>
      <c r="KP24" s="85" t="s">
        <v>595</v>
      </c>
      <c r="KQ24" s="85">
        <v>2</v>
      </c>
      <c r="KR24" t="s">
        <v>872</v>
      </c>
    </row>
    <row r="25" spans="1:304" ht="15" x14ac:dyDescent="0.25">
      <c r="H25" s="3" t="s">
        <v>213</v>
      </c>
      <c r="J25" t="s">
        <v>216</v>
      </c>
      <c r="AO25" s="86" t="s">
        <v>595</v>
      </c>
      <c r="AP25" s="86">
        <v>4</v>
      </c>
      <c r="AQ25" s="85" t="s">
        <v>82</v>
      </c>
      <c r="BJ25" s="87" t="s">
        <v>258</v>
      </c>
      <c r="BM25" t="s">
        <v>757</v>
      </c>
      <c r="BN25" t="s">
        <v>757</v>
      </c>
      <c r="BO25" t="s">
        <v>757</v>
      </c>
      <c r="CF25" s="140" t="s">
        <v>695</v>
      </c>
      <c r="CH25" t="s">
        <v>217</v>
      </c>
      <c r="CP25" t="s">
        <v>334</v>
      </c>
      <c r="EV25" s="3" t="s">
        <v>331</v>
      </c>
      <c r="GD25" s="85" t="s">
        <v>336</v>
      </c>
      <c r="GE25" s="85" t="s">
        <v>337</v>
      </c>
      <c r="GF25" s="85" t="s">
        <v>338</v>
      </c>
      <c r="GG25" s="85" t="s">
        <v>339</v>
      </c>
      <c r="GH25" s="85" t="s">
        <v>340</v>
      </c>
      <c r="GI25" s="85" t="s">
        <v>341</v>
      </c>
      <c r="GJ25" s="85" t="s">
        <v>529</v>
      </c>
      <c r="GK25" s="85" t="s">
        <v>342</v>
      </c>
      <c r="GL25" s="85" t="s">
        <v>343</v>
      </c>
      <c r="GM25" s="85" t="s">
        <v>344</v>
      </c>
      <c r="GN25" s="85" t="s">
        <v>345</v>
      </c>
      <c r="GO25" s="85" t="s">
        <v>346</v>
      </c>
      <c r="GP25" s="85" t="s">
        <v>532</v>
      </c>
      <c r="GW25" s="3" t="s">
        <v>83</v>
      </c>
      <c r="IN25" s="85" t="s">
        <v>589</v>
      </c>
      <c r="IO25" s="85">
        <f t="shared" si="0"/>
        <v>0</v>
      </c>
      <c r="IW25" s="85" t="s">
        <v>592</v>
      </c>
      <c r="IX25" s="85">
        <v>3</v>
      </c>
      <c r="IY25" s="98" t="s">
        <v>288</v>
      </c>
      <c r="JC25" s="85" t="s">
        <v>595</v>
      </c>
      <c r="JE25" s="86" t="s">
        <v>510</v>
      </c>
      <c r="JZ25" s="2" t="s">
        <v>730</v>
      </c>
      <c r="KP25" s="85" t="s">
        <v>589</v>
      </c>
      <c r="KQ25" s="85">
        <v>2</v>
      </c>
      <c r="KR25" t="s">
        <v>872</v>
      </c>
    </row>
    <row r="26" spans="1:304" ht="15" x14ac:dyDescent="0.25">
      <c r="E26" t="s">
        <v>836</v>
      </c>
      <c r="H26" s="3" t="s">
        <v>231</v>
      </c>
      <c r="J26" t="s">
        <v>807</v>
      </c>
      <c r="AO26" s="86" t="s">
        <v>589</v>
      </c>
      <c r="AP26" s="86">
        <v>3</v>
      </c>
      <c r="AQ26" s="85" t="s">
        <v>82</v>
      </c>
      <c r="AW26" t="s">
        <v>822</v>
      </c>
      <c r="AX26" t="s">
        <v>823</v>
      </c>
      <c r="BJ26" s="87" t="s">
        <v>282</v>
      </c>
      <c r="CF26" t="s">
        <v>696</v>
      </c>
      <c r="CH26" t="s">
        <v>754</v>
      </c>
      <c r="CP26" t="s">
        <v>349</v>
      </c>
      <c r="EV26" s="3" t="s">
        <v>335</v>
      </c>
      <c r="GD26" s="85" t="s">
        <v>84</v>
      </c>
      <c r="GE26" s="85" t="s">
        <v>167</v>
      </c>
      <c r="GF26" s="85" t="s">
        <v>167</v>
      </c>
      <c r="GG26" s="85" t="s">
        <v>167</v>
      </c>
      <c r="GH26" s="85" t="s">
        <v>167</v>
      </c>
      <c r="GI26" s="85" t="s">
        <v>167</v>
      </c>
      <c r="GJ26" s="85" t="s">
        <v>167</v>
      </c>
      <c r="GK26" s="85" t="s">
        <v>167</v>
      </c>
      <c r="GL26" s="85" t="s">
        <v>167</v>
      </c>
      <c r="GM26" s="85" t="s">
        <v>167</v>
      </c>
      <c r="GN26" s="85" t="s">
        <v>167</v>
      </c>
      <c r="GO26" s="85" t="s">
        <v>167</v>
      </c>
      <c r="GP26" s="85" t="s">
        <v>167</v>
      </c>
      <c r="GW26" s="3" t="s">
        <v>273</v>
      </c>
      <c r="IN26" s="85" t="s">
        <v>596</v>
      </c>
      <c r="IO26" s="85">
        <f t="shared" si="0"/>
        <v>0</v>
      </c>
      <c r="IW26" s="85" t="s">
        <v>593</v>
      </c>
      <c r="IX26" s="85">
        <v>4</v>
      </c>
      <c r="IY26" s="98" t="s">
        <v>288</v>
      </c>
      <c r="JC26" t="s">
        <v>589</v>
      </c>
      <c r="JE26" s="86" t="s">
        <v>511</v>
      </c>
      <c r="JZ26" s="3"/>
      <c r="KP26" s="85" t="s">
        <v>596</v>
      </c>
      <c r="KQ26" s="85">
        <v>2</v>
      </c>
      <c r="KR26" t="s">
        <v>872</v>
      </c>
    </row>
    <row r="27" spans="1:304" ht="15" x14ac:dyDescent="0.25">
      <c r="D27" t="s">
        <v>233</v>
      </c>
      <c r="E27" t="s">
        <v>828</v>
      </c>
      <c r="H27" s="3" t="s">
        <v>242</v>
      </c>
      <c r="J27" t="s">
        <v>809</v>
      </c>
      <c r="AO27" s="86" t="s">
        <v>596</v>
      </c>
      <c r="AP27" s="86">
        <v>4</v>
      </c>
      <c r="AQ27" s="85" t="s">
        <v>82</v>
      </c>
      <c r="AV27" t="s">
        <v>799</v>
      </c>
      <c r="AW27" t="str">
        <f>$AX$35</f>
        <v>DefaultFluffyStrip</v>
      </c>
      <c r="AX27" t="str">
        <f>$AX$35</f>
        <v>DefaultFluffyStrip</v>
      </c>
      <c r="CF27" t="s">
        <v>318</v>
      </c>
      <c r="CH27" t="s">
        <v>194</v>
      </c>
      <c r="CP27" t="s">
        <v>351</v>
      </c>
      <c r="EV27" s="3" t="s">
        <v>350</v>
      </c>
      <c r="EX27" s="3" t="s">
        <v>615</v>
      </c>
      <c r="EY27" s="3" t="s">
        <v>616</v>
      </c>
      <c r="EZ27" t="s">
        <v>109</v>
      </c>
      <c r="FA27" s="3" t="s">
        <v>617</v>
      </c>
      <c r="FB27" t="s">
        <v>350</v>
      </c>
      <c r="FC27" s="3" t="s">
        <v>618</v>
      </c>
      <c r="FD27" t="s">
        <v>191</v>
      </c>
      <c r="FE27" t="s">
        <v>353</v>
      </c>
      <c r="FF27" t="s">
        <v>354</v>
      </c>
      <c r="FH27" t="s">
        <v>244</v>
      </c>
      <c r="FI27" t="s">
        <v>254</v>
      </c>
      <c r="FJ27" t="s">
        <v>335</v>
      </c>
      <c r="FK27" t="s">
        <v>356</v>
      </c>
      <c r="FL27" t="s">
        <v>357</v>
      </c>
      <c r="FM27" t="s">
        <v>272</v>
      </c>
      <c r="FN27" s="3" t="s">
        <v>619</v>
      </c>
      <c r="FO27" t="s">
        <v>279</v>
      </c>
      <c r="FP27" t="s">
        <v>286</v>
      </c>
      <c r="FQ27" t="s">
        <v>331</v>
      </c>
      <c r="FR27" t="s">
        <v>359</v>
      </c>
      <c r="FS27" t="s">
        <v>360</v>
      </c>
      <c r="FT27" t="s">
        <v>361</v>
      </c>
      <c r="GD27" s="85" t="s">
        <v>219</v>
      </c>
      <c r="GE27" s="85" t="s">
        <v>84</v>
      </c>
      <c r="GF27" s="85" t="s">
        <v>84</v>
      </c>
      <c r="GG27" s="85" t="s">
        <v>84</v>
      </c>
      <c r="GH27" s="85" t="s">
        <v>84</v>
      </c>
      <c r="GI27" s="85" t="s">
        <v>84</v>
      </c>
      <c r="GJ27" s="85" t="s">
        <v>84</v>
      </c>
      <c r="GK27" s="85" t="s">
        <v>84</v>
      </c>
      <c r="GL27" s="85" t="s">
        <v>84</v>
      </c>
      <c r="GM27" s="85" t="s">
        <v>84</v>
      </c>
      <c r="GN27" s="85" t="s">
        <v>84</v>
      </c>
      <c r="GO27" s="85" t="s">
        <v>84</v>
      </c>
      <c r="GP27" s="85" t="s">
        <v>84</v>
      </c>
      <c r="GW27" s="3" t="s">
        <v>280</v>
      </c>
      <c r="IG27" t="s">
        <v>854</v>
      </c>
      <c r="IN27" s="85" t="s">
        <v>660</v>
      </c>
      <c r="IO27" s="85">
        <f t="shared" si="0"/>
        <v>0</v>
      </c>
      <c r="IW27" s="85" t="s">
        <v>594</v>
      </c>
      <c r="IX27" s="85">
        <v>4</v>
      </c>
      <c r="IY27" s="98" t="s">
        <v>288</v>
      </c>
      <c r="JC27" t="s">
        <v>596</v>
      </c>
      <c r="JE27" s="86" t="s">
        <v>772</v>
      </c>
      <c r="JZ27" s="3"/>
      <c r="KP27" s="85" t="s">
        <v>660</v>
      </c>
      <c r="KQ27" s="85">
        <v>1</v>
      </c>
      <c r="KR27" t="s">
        <v>872</v>
      </c>
    </row>
    <row r="28" spans="1:304" ht="15" x14ac:dyDescent="0.25">
      <c r="D28" t="s">
        <v>217</v>
      </c>
      <c r="E28" t="s">
        <v>829</v>
      </c>
      <c r="H28" s="3" t="s">
        <v>253</v>
      </c>
      <c r="J28" t="s">
        <v>806</v>
      </c>
      <c r="AO28" s="86" t="s">
        <v>660</v>
      </c>
      <c r="AP28" s="86">
        <v>2</v>
      </c>
      <c r="AQ28" s="85" t="s">
        <v>82</v>
      </c>
      <c r="AV28" t="s">
        <v>800</v>
      </c>
      <c r="AW28" t="str">
        <f>$AX$35</f>
        <v>DefaultFluffyStrip</v>
      </c>
      <c r="AX28" t="str">
        <f>$AX$35</f>
        <v>DefaultFluffyStrip</v>
      </c>
      <c r="CF28" t="s">
        <v>860</v>
      </c>
      <c r="CP28" t="s">
        <v>362</v>
      </c>
      <c r="EV28" s="3" t="s">
        <v>352</v>
      </c>
      <c r="EX28" s="3" t="s">
        <v>181</v>
      </c>
      <c r="EY28" s="3" t="s">
        <v>181</v>
      </c>
      <c r="EZ28" t="s">
        <v>192</v>
      </c>
      <c r="FA28" s="3" t="s">
        <v>181</v>
      </c>
      <c r="FB28" t="s">
        <v>317</v>
      </c>
      <c r="FC28" s="3" t="s">
        <v>192</v>
      </c>
      <c r="FD28" t="s">
        <v>364</v>
      </c>
      <c r="FE28" t="s">
        <v>364</v>
      </c>
      <c r="FF28" t="s">
        <v>364</v>
      </c>
      <c r="FG28" t="s">
        <v>355</v>
      </c>
      <c r="FH28" t="s">
        <v>192</v>
      </c>
      <c r="FI28" t="s">
        <v>192</v>
      </c>
      <c r="FJ28" t="s">
        <v>332</v>
      </c>
      <c r="FK28" t="s">
        <v>193</v>
      </c>
      <c r="FL28" t="s">
        <v>193</v>
      </c>
      <c r="FM28" t="s">
        <v>192</v>
      </c>
      <c r="FN28" s="3" t="s">
        <v>192</v>
      </c>
      <c r="FO28" t="s">
        <v>192</v>
      </c>
      <c r="FP28" t="s">
        <v>332</v>
      </c>
      <c r="FQ28" t="s">
        <v>332</v>
      </c>
      <c r="FR28" t="s">
        <v>181</v>
      </c>
      <c r="FS28" t="s">
        <v>181</v>
      </c>
      <c r="FT28" t="s">
        <v>181</v>
      </c>
      <c r="GD28" s="85"/>
      <c r="GE28" s="85" t="s">
        <v>219</v>
      </c>
      <c r="GF28" s="85" t="s">
        <v>219</v>
      </c>
      <c r="GG28" s="85" t="s">
        <v>219</v>
      </c>
      <c r="GH28" s="85" t="s">
        <v>219</v>
      </c>
      <c r="GI28" s="85" t="s">
        <v>219</v>
      </c>
      <c r="GJ28" s="85" t="s">
        <v>219</v>
      </c>
      <c r="GK28" s="85" t="s">
        <v>219</v>
      </c>
      <c r="GL28" s="85" t="s">
        <v>219</v>
      </c>
      <c r="GM28" s="85" t="s">
        <v>219</v>
      </c>
      <c r="GN28" s="85" t="s">
        <v>219</v>
      </c>
      <c r="GO28" s="85" t="s">
        <v>219</v>
      </c>
      <c r="GP28" s="85" t="s">
        <v>219</v>
      </c>
      <c r="GW28" s="3" t="s">
        <v>287</v>
      </c>
      <c r="IG28" t="s">
        <v>84</v>
      </c>
      <c r="IN28" s="85" t="s">
        <v>661</v>
      </c>
      <c r="IO28" s="85">
        <f t="shared" si="0"/>
        <v>0</v>
      </c>
      <c r="IW28" s="85" t="s">
        <v>595</v>
      </c>
      <c r="IX28" s="85">
        <v>4</v>
      </c>
      <c r="IY28" s="98" t="s">
        <v>288</v>
      </c>
      <c r="JC28" t="s">
        <v>660</v>
      </c>
      <c r="JE28" s="86" t="s">
        <v>516</v>
      </c>
      <c r="JZ28" s="3"/>
      <c r="KP28" s="85" t="s">
        <v>661</v>
      </c>
      <c r="KQ28" s="85">
        <v>1</v>
      </c>
      <c r="KR28" t="s">
        <v>872</v>
      </c>
    </row>
    <row r="29" spans="1:304" ht="15" x14ac:dyDescent="0.25">
      <c r="D29" t="s">
        <v>754</v>
      </c>
      <c r="H29" s="3" t="s">
        <v>263</v>
      </c>
      <c r="J29" t="s">
        <v>802</v>
      </c>
      <c r="AO29" s="86" t="s">
        <v>661</v>
      </c>
      <c r="AP29" s="86">
        <v>2</v>
      </c>
      <c r="AQ29" s="85" t="s">
        <v>82</v>
      </c>
      <c r="AV29" t="s">
        <v>836</v>
      </c>
      <c r="AW29" t="str">
        <f>$AW$35</f>
        <v>NightFluffyStrip</v>
      </c>
      <c r="AX29" t="str">
        <f>$BR$9</f>
        <v>Fluffy_Stripe_NA</v>
      </c>
      <c r="CF29" s="140" t="s">
        <v>817</v>
      </c>
      <c r="CP29" t="s">
        <v>365</v>
      </c>
      <c r="EV29" s="3" t="s">
        <v>363</v>
      </c>
      <c r="FB29" t="s">
        <v>311</v>
      </c>
      <c r="FD29" t="s">
        <v>192</v>
      </c>
      <c r="FE29" t="s">
        <v>192</v>
      </c>
      <c r="FF29" t="s">
        <v>192</v>
      </c>
      <c r="FG29" t="s">
        <v>364</v>
      </c>
      <c r="FJ29" t="s">
        <v>317</v>
      </c>
      <c r="FK29" t="s">
        <v>192</v>
      </c>
      <c r="FL29" t="s">
        <v>192</v>
      </c>
      <c r="FP29" t="s">
        <v>317</v>
      </c>
      <c r="FQ29" t="s">
        <v>317</v>
      </c>
      <c r="GD29" s="85"/>
      <c r="GE29" s="85"/>
      <c r="GF29" s="85" t="s">
        <v>245</v>
      </c>
      <c r="GG29" s="85" t="s">
        <v>245</v>
      </c>
      <c r="GH29" s="85"/>
      <c r="GI29" s="85" t="s">
        <v>245</v>
      </c>
      <c r="GJ29" s="85"/>
      <c r="GK29" s="85" t="s">
        <v>245</v>
      </c>
      <c r="GL29" s="85"/>
      <c r="GM29" s="85"/>
      <c r="GN29" s="85" t="s">
        <v>245</v>
      </c>
      <c r="GO29" s="85" t="s">
        <v>245</v>
      </c>
      <c r="GP29" s="85"/>
      <c r="GW29" s="3" t="s">
        <v>391</v>
      </c>
      <c r="IG29" t="s">
        <v>219</v>
      </c>
      <c r="IN29" s="85" t="s">
        <v>668</v>
      </c>
      <c r="IO29" s="85">
        <f t="shared" si="0"/>
        <v>0</v>
      </c>
      <c r="IW29" s="85" t="s">
        <v>596</v>
      </c>
      <c r="IX29" s="85">
        <v>4</v>
      </c>
      <c r="IY29" s="98" t="s">
        <v>288</v>
      </c>
      <c r="JC29" t="s">
        <v>661</v>
      </c>
      <c r="JE29" s="86" t="s">
        <v>521</v>
      </c>
      <c r="JZ29" s="3"/>
      <c r="KP29" s="85" t="s">
        <v>668</v>
      </c>
      <c r="KQ29" s="85">
        <v>2</v>
      </c>
      <c r="KR29" t="s">
        <v>872</v>
      </c>
    </row>
    <row r="30" spans="1:304" ht="15" x14ac:dyDescent="0.25">
      <c r="D30" t="s">
        <v>194</v>
      </c>
      <c r="H30" s="3" t="s">
        <v>271</v>
      </c>
      <c r="J30" t="s">
        <v>804</v>
      </c>
      <c r="AO30" s="86" t="s">
        <v>668</v>
      </c>
      <c r="AP30" s="86">
        <v>4</v>
      </c>
      <c r="AQ30" s="85" t="s">
        <v>82</v>
      </c>
      <c r="AV30" t="s">
        <v>880</v>
      </c>
      <c r="AW30" t="str">
        <f>$AX$35</f>
        <v>DefaultFluffyStrip</v>
      </c>
      <c r="AX30" t="str">
        <f>$AX$35</f>
        <v>DefaultFluffyStrip</v>
      </c>
      <c r="CF30" t="s">
        <v>697</v>
      </c>
      <c r="CP30" t="s">
        <v>366</v>
      </c>
      <c r="EV30" s="3" t="s">
        <v>109</v>
      </c>
      <c r="FB30" t="s">
        <v>216</v>
      </c>
      <c r="FG30" t="s">
        <v>192</v>
      </c>
      <c r="FJ30" t="s">
        <v>325</v>
      </c>
      <c r="FP30" t="s">
        <v>325</v>
      </c>
      <c r="FQ30" t="s">
        <v>325</v>
      </c>
      <c r="GD30" s="85"/>
      <c r="GE30" s="85"/>
      <c r="GF30" s="85"/>
      <c r="GG30" s="85"/>
      <c r="GH30" s="85"/>
      <c r="GI30" s="85"/>
      <c r="GJ30" s="85"/>
      <c r="GK30" s="85"/>
      <c r="GL30" s="85"/>
      <c r="GM30" s="85"/>
      <c r="GN30" s="85"/>
      <c r="GO30" s="85"/>
      <c r="GP30" s="85"/>
      <c r="GW30" s="3" t="s">
        <v>292</v>
      </c>
      <c r="IG30" t="s">
        <v>245</v>
      </c>
      <c r="IN30" s="85" t="s">
        <v>669</v>
      </c>
      <c r="IO30" s="85">
        <f t="shared" si="0"/>
        <v>0</v>
      </c>
      <c r="IW30" s="85" t="s">
        <v>597</v>
      </c>
      <c r="IX30" s="85">
        <v>4</v>
      </c>
      <c r="IY30" s="98" t="s">
        <v>288</v>
      </c>
      <c r="JC30" t="s">
        <v>668</v>
      </c>
      <c r="JE30" s="86" t="s">
        <v>522</v>
      </c>
      <c r="JZ30" s="3"/>
      <c r="KP30" s="85" t="s">
        <v>669</v>
      </c>
      <c r="KQ30" s="85">
        <v>2</v>
      </c>
      <c r="KR30" t="s">
        <v>872</v>
      </c>
    </row>
    <row r="31" spans="1:304" ht="15" x14ac:dyDescent="0.25">
      <c r="H31" s="3" t="s">
        <v>223</v>
      </c>
      <c r="J31" t="s">
        <v>805</v>
      </c>
      <c r="AO31" s="86" t="s">
        <v>669</v>
      </c>
      <c r="AP31" s="86">
        <v>4</v>
      </c>
      <c r="AQ31" s="85" t="s">
        <v>82</v>
      </c>
      <c r="BM31" s="3" t="s">
        <v>308</v>
      </c>
      <c r="BN31" s="3" t="s">
        <v>308</v>
      </c>
      <c r="BO31" s="3" t="s">
        <v>308</v>
      </c>
      <c r="CF31" t="s">
        <v>326</v>
      </c>
      <c r="CP31" t="s">
        <v>368</v>
      </c>
      <c r="EV31" s="3" t="s">
        <v>367</v>
      </c>
      <c r="FB31" t="s">
        <v>192</v>
      </c>
      <c r="FJ31" t="s">
        <v>329</v>
      </c>
      <c r="FP31" t="s">
        <v>329</v>
      </c>
      <c r="FQ31" t="s">
        <v>329</v>
      </c>
      <c r="GD31" s="85"/>
      <c r="GE31" s="85"/>
      <c r="GF31" s="85"/>
      <c r="GG31" s="85"/>
      <c r="GH31" s="85"/>
      <c r="GI31" s="85"/>
      <c r="GJ31" s="85"/>
      <c r="GK31" s="85"/>
      <c r="GL31" s="85"/>
      <c r="GM31" s="85"/>
      <c r="GN31" s="85"/>
      <c r="GO31" s="85"/>
      <c r="GP31" s="85"/>
      <c r="IN31" s="85" t="s">
        <v>676</v>
      </c>
      <c r="IO31" s="85">
        <f t="shared" si="0"/>
        <v>0</v>
      </c>
      <c r="IW31" s="85" t="s">
        <v>598</v>
      </c>
      <c r="IX31" s="85">
        <v>4</v>
      </c>
      <c r="IY31" s="98" t="s">
        <v>288</v>
      </c>
      <c r="JC31" t="s">
        <v>669</v>
      </c>
      <c r="JE31" s="86" t="s">
        <v>517</v>
      </c>
      <c r="JZ31" s="3"/>
      <c r="KP31" s="85" t="s">
        <v>676</v>
      </c>
      <c r="KQ31" s="85">
        <v>2</v>
      </c>
      <c r="KR31" t="s">
        <v>872</v>
      </c>
    </row>
    <row r="32" spans="1:304" ht="15" x14ac:dyDescent="0.25">
      <c r="H32" s="3" t="s">
        <v>284</v>
      </c>
      <c r="J32" t="s">
        <v>808</v>
      </c>
      <c r="AO32" s="86" t="s">
        <v>676</v>
      </c>
      <c r="AP32" s="86">
        <v>8</v>
      </c>
      <c r="AQ32" s="85" t="s">
        <v>82</v>
      </c>
      <c r="BM32" t="s">
        <v>207</v>
      </c>
      <c r="BN32" t="s">
        <v>207</v>
      </c>
      <c r="BO32" t="s">
        <v>207</v>
      </c>
      <c r="CF32" t="s">
        <v>327</v>
      </c>
      <c r="CP32" t="s">
        <v>370</v>
      </c>
      <c r="EV32" s="3" t="s">
        <v>350</v>
      </c>
      <c r="FJ32" t="s">
        <v>314</v>
      </c>
      <c r="FP32" t="s">
        <v>314</v>
      </c>
      <c r="FQ32" t="s">
        <v>314</v>
      </c>
      <c r="GD32" s="85"/>
      <c r="GE32" s="85"/>
      <c r="GF32" s="85"/>
      <c r="GG32" s="85"/>
      <c r="GH32" s="85"/>
      <c r="GI32" s="85"/>
      <c r="GJ32" s="85"/>
      <c r="GK32" s="85"/>
      <c r="GL32" s="85"/>
      <c r="GM32" s="85"/>
      <c r="GN32" s="85"/>
      <c r="GO32" s="85"/>
      <c r="GP32" s="85"/>
      <c r="IN32" s="85" t="s">
        <v>677</v>
      </c>
      <c r="IO32" s="85">
        <f t="shared" si="0"/>
        <v>0</v>
      </c>
      <c r="IW32" s="85" t="s">
        <v>599</v>
      </c>
      <c r="IX32" s="85">
        <v>4</v>
      </c>
      <c r="IY32" s="98" t="s">
        <v>288</v>
      </c>
      <c r="JC32" t="s">
        <v>676</v>
      </c>
      <c r="JE32" s="86" t="s">
        <v>518</v>
      </c>
      <c r="JZ32" s="3"/>
      <c r="KP32" s="85" t="s">
        <v>677</v>
      </c>
      <c r="KQ32" s="85">
        <v>2</v>
      </c>
      <c r="KR32" t="s">
        <v>872</v>
      </c>
    </row>
    <row r="33" spans="4:304" ht="15" x14ac:dyDescent="0.25">
      <c r="H33" s="3" t="s">
        <v>87</v>
      </c>
      <c r="J33" t="s">
        <v>803</v>
      </c>
      <c r="AO33" s="86" t="s">
        <v>677</v>
      </c>
      <c r="AP33" s="86">
        <v>8</v>
      </c>
      <c r="AQ33" s="85" t="s">
        <v>82</v>
      </c>
      <c r="CF33" t="s">
        <v>816</v>
      </c>
      <c r="CP33" t="s">
        <v>371</v>
      </c>
      <c r="EV33" s="3" t="s">
        <v>204</v>
      </c>
      <c r="FJ33" t="s">
        <v>320</v>
      </c>
      <c r="FP33" t="s">
        <v>320</v>
      </c>
      <c r="FQ33" t="s">
        <v>320</v>
      </c>
      <c r="GD33" s="85"/>
      <c r="GE33" s="85"/>
      <c r="GF33" s="85"/>
      <c r="GG33" s="85"/>
      <c r="GH33" s="85"/>
      <c r="GI33" s="85"/>
      <c r="GJ33" s="85"/>
      <c r="GK33" s="85"/>
      <c r="GL33" s="85"/>
      <c r="GM33" s="85"/>
      <c r="GN33" s="85"/>
      <c r="GO33" s="85"/>
      <c r="GP33" s="85"/>
      <c r="IN33" s="85" t="s">
        <v>662</v>
      </c>
      <c r="IO33" s="85">
        <f t="shared" si="0"/>
        <v>0</v>
      </c>
      <c r="IW33" s="85" t="s">
        <v>600</v>
      </c>
      <c r="IX33" s="85">
        <v>8</v>
      </c>
      <c r="IY33" s="98" t="s">
        <v>288</v>
      </c>
      <c r="JC33" t="s">
        <v>677</v>
      </c>
      <c r="JE33" s="86" t="s">
        <v>504</v>
      </c>
      <c r="JZ33" s="3"/>
      <c r="KP33" s="85" t="s">
        <v>662</v>
      </c>
      <c r="KQ33" s="85">
        <v>1</v>
      </c>
      <c r="KR33" t="s">
        <v>872</v>
      </c>
    </row>
    <row r="34" spans="4:304" ht="15" x14ac:dyDescent="0.25">
      <c r="H34" s="3" t="s">
        <v>188</v>
      </c>
      <c r="AO34" s="86" t="s">
        <v>662</v>
      </c>
      <c r="AP34" s="86">
        <v>3</v>
      </c>
      <c r="AQ34" s="85" t="s">
        <v>82</v>
      </c>
      <c r="BJ34" t="s">
        <v>836</v>
      </c>
      <c r="CF34" t="s">
        <v>333</v>
      </c>
      <c r="CP34" t="s">
        <v>372</v>
      </c>
      <c r="EV34" s="3" t="s">
        <v>191</v>
      </c>
      <c r="FJ34" t="s">
        <v>322</v>
      </c>
      <c r="FP34" t="s">
        <v>322</v>
      </c>
      <c r="FQ34" t="s">
        <v>322</v>
      </c>
      <c r="GD34" s="85"/>
      <c r="GE34" s="85"/>
      <c r="GF34" s="85"/>
      <c r="GG34" s="85"/>
      <c r="GH34" s="85"/>
      <c r="GI34" s="85"/>
      <c r="GJ34" s="85"/>
      <c r="GK34" s="85"/>
      <c r="GL34" s="85"/>
      <c r="GM34" s="85"/>
      <c r="GN34" s="85"/>
      <c r="GO34" s="85"/>
      <c r="GP34" s="85"/>
      <c r="IN34" s="85" t="s">
        <v>663</v>
      </c>
      <c r="IO34" s="85">
        <f t="shared" si="0"/>
        <v>0</v>
      </c>
      <c r="IW34" s="85" t="s">
        <v>601</v>
      </c>
      <c r="IX34" s="85">
        <v>6</v>
      </c>
      <c r="IY34" s="98" t="s">
        <v>288</v>
      </c>
      <c r="JC34" t="s">
        <v>662</v>
      </c>
      <c r="JE34" s="86" t="s">
        <v>505</v>
      </c>
      <c r="JZ34" s="3"/>
      <c r="KP34" s="85" t="s">
        <v>663</v>
      </c>
      <c r="KQ34" s="85">
        <v>1</v>
      </c>
      <c r="KR34" t="s">
        <v>872</v>
      </c>
    </row>
    <row r="35" spans="4:304" ht="15" x14ac:dyDescent="0.25">
      <c r="H35" s="3" t="s">
        <v>212</v>
      </c>
      <c r="AO35" s="86" t="s">
        <v>663</v>
      </c>
      <c r="AP35" s="86">
        <v>3</v>
      </c>
      <c r="AQ35" s="85" t="s">
        <v>82</v>
      </c>
      <c r="AW35" t="s">
        <v>832</v>
      </c>
      <c r="AX35" t="s">
        <v>833</v>
      </c>
      <c r="BJ35" s="4" t="s">
        <v>830</v>
      </c>
      <c r="CF35" s="3" t="s">
        <v>348</v>
      </c>
      <c r="EV35" s="3" t="s">
        <v>264</v>
      </c>
      <c r="FJ35" t="s">
        <v>311</v>
      </c>
      <c r="FP35" t="s">
        <v>311</v>
      </c>
      <c r="FQ35" t="s">
        <v>216</v>
      </c>
      <c r="GD35" s="85"/>
      <c r="GE35" s="85"/>
      <c r="GF35" s="85"/>
      <c r="GG35" s="85"/>
      <c r="GH35" s="85"/>
      <c r="GI35" s="85"/>
      <c r="GJ35" s="85"/>
      <c r="GK35" s="85"/>
      <c r="GL35" s="85"/>
      <c r="GM35" s="85"/>
      <c r="GN35" s="85"/>
      <c r="GO35" s="85"/>
      <c r="GP35" s="85"/>
      <c r="IN35" s="85" t="s">
        <v>678</v>
      </c>
      <c r="IO35" s="85">
        <f t="shared" si="0"/>
        <v>0</v>
      </c>
      <c r="IW35" s="85" t="s">
        <v>602</v>
      </c>
      <c r="IX35" s="85">
        <v>6</v>
      </c>
      <c r="IY35" s="98" t="s">
        <v>288</v>
      </c>
      <c r="JC35" t="s">
        <v>663</v>
      </c>
      <c r="JE35" s="86" t="s">
        <v>222</v>
      </c>
      <c r="KP35" s="85" t="s">
        <v>678</v>
      </c>
      <c r="KQ35" s="85">
        <v>3</v>
      </c>
      <c r="KR35" t="s">
        <v>873</v>
      </c>
    </row>
    <row r="36" spans="4:304" ht="15" x14ac:dyDescent="0.25">
      <c r="H36" s="3" t="s">
        <v>230</v>
      </c>
      <c r="AO36" s="86" t="s">
        <v>678</v>
      </c>
      <c r="AP36" s="86">
        <v>6</v>
      </c>
      <c r="AQ36" s="85" t="s">
        <v>82</v>
      </c>
      <c r="AW36" t="s">
        <v>167</v>
      </c>
      <c r="AX36" t="s">
        <v>167</v>
      </c>
      <c r="BJ36" s="4" t="s">
        <v>181</v>
      </c>
      <c r="BM36" t="s">
        <v>779</v>
      </c>
      <c r="BN36" t="s">
        <v>779</v>
      </c>
      <c r="BO36" t="s">
        <v>779</v>
      </c>
      <c r="CF36" t="s">
        <v>877</v>
      </c>
      <c r="EV36" s="3" t="s">
        <v>215</v>
      </c>
      <c r="FJ36" t="s">
        <v>216</v>
      </c>
      <c r="FP36" t="s">
        <v>216</v>
      </c>
      <c r="FQ36" t="s">
        <v>192</v>
      </c>
      <c r="GD36" s="85"/>
      <c r="GE36" s="85"/>
      <c r="GF36" s="85"/>
      <c r="GG36" s="85"/>
      <c r="GH36" s="85"/>
      <c r="GI36" s="85"/>
      <c r="GJ36" s="85"/>
      <c r="GK36" s="85"/>
      <c r="GL36" s="85"/>
      <c r="GM36" s="85"/>
      <c r="GN36" s="85"/>
      <c r="GO36" s="85"/>
      <c r="GP36" s="85"/>
      <c r="IN36" s="85" t="s">
        <v>679</v>
      </c>
      <c r="IO36" s="85">
        <f t="shared" si="0"/>
        <v>0</v>
      </c>
      <c r="IW36" s="85" t="s">
        <v>603</v>
      </c>
      <c r="IX36" s="85">
        <v>8</v>
      </c>
      <c r="IY36" s="98" t="s">
        <v>288</v>
      </c>
      <c r="JC36" t="s">
        <v>678</v>
      </c>
      <c r="JE36" s="141" t="s">
        <v>712</v>
      </c>
      <c r="KP36" s="85" t="s">
        <v>679</v>
      </c>
      <c r="KQ36" s="85">
        <v>3</v>
      </c>
      <c r="KR36" t="s">
        <v>873</v>
      </c>
    </row>
    <row r="37" spans="4:304" ht="15" x14ac:dyDescent="0.25">
      <c r="E37" t="s">
        <v>880</v>
      </c>
      <c r="AO37" s="86" t="s">
        <v>679</v>
      </c>
      <c r="AP37" s="86">
        <v>6</v>
      </c>
      <c r="AQ37" s="85" t="s">
        <v>82</v>
      </c>
      <c r="AX37" t="s">
        <v>84</v>
      </c>
      <c r="BJ37" s="4" t="s">
        <v>205</v>
      </c>
      <c r="CF37" t="s">
        <v>393</v>
      </c>
      <c r="EV37" s="3" t="s">
        <v>232</v>
      </c>
      <c r="FJ37" t="s">
        <v>192</v>
      </c>
      <c r="FP37" t="s">
        <v>192</v>
      </c>
      <c r="GD37" s="85" t="s">
        <v>557</v>
      </c>
      <c r="GE37" s="85" t="s">
        <v>558</v>
      </c>
      <c r="GF37" s="85" t="s">
        <v>559</v>
      </c>
      <c r="GG37" s="85" t="s">
        <v>560</v>
      </c>
      <c r="GH37" s="85" t="s">
        <v>643</v>
      </c>
      <c r="GI37" s="85"/>
      <c r="GJ37" s="85"/>
      <c r="GK37" s="85"/>
      <c r="GL37" s="85"/>
      <c r="GM37" s="85"/>
      <c r="GN37" s="85"/>
      <c r="GO37" s="85"/>
      <c r="GP37" s="85"/>
      <c r="IN37" s="85" t="s">
        <v>586</v>
      </c>
      <c r="IO37" s="85">
        <f t="shared" si="0"/>
        <v>0</v>
      </c>
      <c r="IW37" s="85" t="s">
        <v>604</v>
      </c>
      <c r="IX37" s="85">
        <v>6</v>
      </c>
      <c r="IY37" s="98" t="s">
        <v>288</v>
      </c>
      <c r="JC37" t="s">
        <v>679</v>
      </c>
      <c r="JE37" s="141" t="s">
        <v>713</v>
      </c>
      <c r="KP37" s="85" t="s">
        <v>586</v>
      </c>
      <c r="KQ37" s="85">
        <v>1</v>
      </c>
      <c r="KR37" t="s">
        <v>872</v>
      </c>
    </row>
    <row r="38" spans="4:304" ht="15" x14ac:dyDescent="0.25">
      <c r="D38" t="s">
        <v>881</v>
      </c>
      <c r="E38" t="s">
        <v>882</v>
      </c>
      <c r="AO38" s="86" t="s">
        <v>586</v>
      </c>
      <c r="AP38" s="86">
        <v>2</v>
      </c>
      <c r="AQ38" s="85" t="s">
        <v>82</v>
      </c>
      <c r="BJ38" s="4" t="s">
        <v>226</v>
      </c>
      <c r="CF38" s="3" t="s">
        <v>394</v>
      </c>
      <c r="EV38" s="3" t="s">
        <v>244</v>
      </c>
      <c r="FA38" t="s">
        <v>879</v>
      </c>
      <c r="GD38" s="85" t="s">
        <v>167</v>
      </c>
      <c r="GE38" s="85" t="s">
        <v>167</v>
      </c>
      <c r="GF38" s="85" t="s">
        <v>167</v>
      </c>
      <c r="GG38" s="85" t="s">
        <v>167</v>
      </c>
      <c r="GH38" s="85" t="s">
        <v>167</v>
      </c>
      <c r="GI38" s="85"/>
      <c r="GJ38" s="85"/>
      <c r="GK38" s="85"/>
      <c r="GL38" s="85"/>
      <c r="GM38" s="85"/>
      <c r="GN38" s="85"/>
      <c r="GO38" s="85"/>
      <c r="GP38" s="85"/>
      <c r="IN38" s="85" t="s">
        <v>597</v>
      </c>
      <c r="IO38" s="85">
        <f t="shared" si="0"/>
        <v>0</v>
      </c>
      <c r="IW38" s="85" t="s">
        <v>605</v>
      </c>
      <c r="IX38" s="85">
        <v>6</v>
      </c>
      <c r="IY38" s="98" t="s">
        <v>288</v>
      </c>
      <c r="JC38" t="s">
        <v>586</v>
      </c>
      <c r="JE38" s="141" t="s">
        <v>714</v>
      </c>
      <c r="KP38" s="85" t="s">
        <v>597</v>
      </c>
      <c r="KQ38" s="85">
        <v>2</v>
      </c>
      <c r="KR38" t="s">
        <v>872</v>
      </c>
    </row>
    <row r="39" spans="4:304" x14ac:dyDescent="0.2">
      <c r="D39" t="s">
        <v>724</v>
      </c>
      <c r="E39" t="s">
        <v>183</v>
      </c>
      <c r="AO39" s="86" t="s">
        <v>597</v>
      </c>
      <c r="AP39" s="86">
        <v>4</v>
      </c>
      <c r="AQ39" s="85" t="s">
        <v>82</v>
      </c>
      <c r="CF39" s="3" t="s">
        <v>395</v>
      </c>
      <c r="EV39" s="3" t="s">
        <v>254</v>
      </c>
      <c r="FA39" t="s">
        <v>181</v>
      </c>
      <c r="GD39" s="85"/>
      <c r="GE39" s="85"/>
      <c r="GF39" s="85"/>
      <c r="GG39" s="85"/>
      <c r="GH39" s="85" t="s">
        <v>84</v>
      </c>
      <c r="GI39" s="85"/>
      <c r="GJ39" s="85"/>
      <c r="GK39" s="85"/>
      <c r="GL39" s="85"/>
      <c r="GM39" s="85"/>
      <c r="GN39" s="85"/>
      <c r="GO39" s="85"/>
      <c r="GP39" s="85"/>
      <c r="IN39" s="85" t="s">
        <v>603</v>
      </c>
      <c r="IO39" s="85">
        <f t="shared" si="0"/>
        <v>0</v>
      </c>
      <c r="IW39" s="99" t="s">
        <v>161</v>
      </c>
      <c r="IX39" s="99">
        <v>1</v>
      </c>
      <c r="IY39" s="100" t="s">
        <v>163</v>
      </c>
      <c r="JC39" t="s">
        <v>597</v>
      </c>
      <c r="JE39" s="141" t="s">
        <v>715</v>
      </c>
      <c r="KP39" s="85" t="s">
        <v>603</v>
      </c>
      <c r="KQ39" s="85">
        <v>2</v>
      </c>
      <c r="KR39" t="s">
        <v>872</v>
      </c>
    </row>
    <row r="40" spans="4:304" x14ac:dyDescent="0.2">
      <c r="D40" t="s">
        <v>783</v>
      </c>
      <c r="E40" t="s">
        <v>227</v>
      </c>
      <c r="AO40" s="86" t="s">
        <v>603</v>
      </c>
      <c r="AP40" s="86">
        <v>8</v>
      </c>
      <c r="AQ40" s="85" t="s">
        <v>82</v>
      </c>
      <c r="EV40" s="3" t="s">
        <v>335</v>
      </c>
      <c r="GD40" s="85"/>
      <c r="GE40" s="85"/>
      <c r="GF40" s="85"/>
      <c r="GG40" s="85"/>
      <c r="GH40" s="85" t="s">
        <v>219</v>
      </c>
      <c r="GI40" s="85"/>
      <c r="GJ40" s="85"/>
      <c r="GK40" s="85"/>
      <c r="GL40" s="85"/>
      <c r="GM40" s="85"/>
      <c r="GN40" s="85"/>
      <c r="GO40" s="85"/>
      <c r="GP40" s="85"/>
      <c r="IN40" s="85" t="s">
        <v>588</v>
      </c>
      <c r="IO40" s="85">
        <f t="shared" si="0"/>
        <v>0</v>
      </c>
      <c r="IW40" s="99" t="s">
        <v>201</v>
      </c>
      <c r="IX40" s="99">
        <v>1</v>
      </c>
      <c r="IY40" s="100" t="s">
        <v>163</v>
      </c>
      <c r="JC40" t="s">
        <v>603</v>
      </c>
      <c r="JE40" s="141" t="s">
        <v>716</v>
      </c>
      <c r="KP40" s="85" t="s">
        <v>588</v>
      </c>
      <c r="KQ40" s="85">
        <v>1</v>
      </c>
      <c r="KR40" t="s">
        <v>872</v>
      </c>
    </row>
    <row r="41" spans="4:304" x14ac:dyDescent="0.2">
      <c r="AO41" s="86" t="s">
        <v>588</v>
      </c>
      <c r="AP41" s="86">
        <v>3</v>
      </c>
      <c r="AQ41" s="85" t="s">
        <v>82</v>
      </c>
      <c r="EV41" s="3" t="s">
        <v>265</v>
      </c>
      <c r="GD41" s="85"/>
      <c r="GE41" s="85"/>
      <c r="GF41" s="85"/>
      <c r="GG41" s="85"/>
      <c r="GH41" s="85" t="s">
        <v>245</v>
      </c>
      <c r="GI41" s="85"/>
      <c r="GJ41" s="85"/>
      <c r="GK41" s="85"/>
      <c r="GL41" s="85"/>
      <c r="GM41" s="85"/>
      <c r="GN41" s="85"/>
      <c r="GO41" s="85"/>
      <c r="GP41" s="85"/>
      <c r="IN41" s="85" t="s">
        <v>604</v>
      </c>
      <c r="IO41" s="85">
        <f t="shared" si="0"/>
        <v>0</v>
      </c>
      <c r="IW41" s="99" t="s">
        <v>500</v>
      </c>
      <c r="IX41" s="99">
        <v>2</v>
      </c>
      <c r="IY41" s="100" t="s">
        <v>163</v>
      </c>
      <c r="JC41" t="s">
        <v>588</v>
      </c>
      <c r="JE41" s="141" t="s">
        <v>717</v>
      </c>
      <c r="KP41" s="85" t="s">
        <v>604</v>
      </c>
      <c r="KQ41" s="85">
        <v>3</v>
      </c>
      <c r="KR41" t="s">
        <v>873</v>
      </c>
    </row>
    <row r="42" spans="4:304" x14ac:dyDescent="0.2">
      <c r="AO42" s="86" t="s">
        <v>604</v>
      </c>
      <c r="AP42" s="86">
        <v>6</v>
      </c>
      <c r="AQ42" s="85" t="s">
        <v>82</v>
      </c>
      <c r="EV42" s="3" t="s">
        <v>313</v>
      </c>
      <c r="GD42" s="85"/>
      <c r="GE42" s="85"/>
      <c r="GF42" s="85"/>
      <c r="GG42" s="85"/>
      <c r="GH42" s="85"/>
      <c r="GI42" s="85"/>
      <c r="GJ42" s="85"/>
      <c r="GK42" s="85"/>
      <c r="GL42" s="85"/>
      <c r="GM42" s="85"/>
      <c r="GN42" s="85"/>
      <c r="GO42" s="85"/>
      <c r="GP42" s="85"/>
      <c r="IN42" s="85" t="s">
        <v>592</v>
      </c>
      <c r="IO42" s="85">
        <f t="shared" si="0"/>
        <v>0</v>
      </c>
      <c r="IW42" s="99" t="s">
        <v>501</v>
      </c>
      <c r="IX42" s="99">
        <v>2</v>
      </c>
      <c r="IY42" s="100" t="s">
        <v>163</v>
      </c>
      <c r="JC42" t="s">
        <v>604</v>
      </c>
      <c r="JE42" s="86" t="s">
        <v>741</v>
      </c>
      <c r="KP42" s="85" t="s">
        <v>592</v>
      </c>
      <c r="KQ42" s="85">
        <v>3</v>
      </c>
      <c r="KR42" t="s">
        <v>873</v>
      </c>
    </row>
    <row r="43" spans="4:304" x14ac:dyDescent="0.2">
      <c r="AO43" s="86" t="s">
        <v>592</v>
      </c>
      <c r="AP43" s="86">
        <v>3</v>
      </c>
      <c r="AQ43" s="85" t="s">
        <v>82</v>
      </c>
      <c r="EV43" s="3" t="s">
        <v>272</v>
      </c>
      <c r="GD43" s="85"/>
      <c r="GE43" s="85"/>
      <c r="GF43" s="85"/>
      <c r="GG43" s="85"/>
      <c r="GH43" s="85"/>
      <c r="GI43" s="85"/>
      <c r="GJ43" s="85"/>
      <c r="GK43" s="85"/>
      <c r="GL43" s="85"/>
      <c r="GM43" s="85"/>
      <c r="GN43" s="85"/>
      <c r="GO43" s="85"/>
      <c r="GP43" s="85"/>
      <c r="IN43" s="85" t="s">
        <v>605</v>
      </c>
      <c r="IO43" s="85">
        <f t="shared" si="0"/>
        <v>0</v>
      </c>
      <c r="IW43" s="99" t="s">
        <v>235</v>
      </c>
      <c r="IX43" s="99">
        <v>2</v>
      </c>
      <c r="IY43" s="100" t="s">
        <v>163</v>
      </c>
      <c r="JC43" t="s">
        <v>592</v>
      </c>
      <c r="JE43" s="3" t="s">
        <v>742</v>
      </c>
      <c r="KP43" s="85" t="s">
        <v>605</v>
      </c>
      <c r="KQ43" s="85">
        <v>3</v>
      </c>
      <c r="KR43" t="s">
        <v>873</v>
      </c>
    </row>
    <row r="44" spans="4:304" x14ac:dyDescent="0.2">
      <c r="J44" t="s">
        <v>86</v>
      </c>
      <c r="AO44" s="86" t="s">
        <v>605</v>
      </c>
      <c r="AP44" s="86">
        <v>6</v>
      </c>
      <c r="AQ44" s="85" t="s">
        <v>82</v>
      </c>
      <c r="EV44" s="3" t="s">
        <v>358</v>
      </c>
      <c r="GD44" s="85"/>
      <c r="GE44" s="85"/>
      <c r="GF44" s="85"/>
      <c r="GG44" s="85"/>
      <c r="GH44" s="85"/>
      <c r="GI44" s="85"/>
      <c r="GJ44" s="85"/>
      <c r="GK44" s="85"/>
      <c r="GL44" s="85"/>
      <c r="GM44" s="85"/>
      <c r="GN44" s="85"/>
      <c r="GO44" s="85"/>
      <c r="GP44" s="85"/>
      <c r="IN44" s="85" t="s">
        <v>598</v>
      </c>
      <c r="IO44" s="85">
        <f t="shared" si="0"/>
        <v>0</v>
      </c>
      <c r="IW44" s="99" t="s">
        <v>535</v>
      </c>
      <c r="IX44" s="99">
        <v>2</v>
      </c>
      <c r="IY44" s="100" t="s">
        <v>163</v>
      </c>
      <c r="JC44" t="s">
        <v>605</v>
      </c>
      <c r="JE44" s="3" t="s">
        <v>743</v>
      </c>
      <c r="KP44" s="85" t="s">
        <v>598</v>
      </c>
      <c r="KQ44" s="85">
        <v>3</v>
      </c>
      <c r="KR44" t="s">
        <v>873</v>
      </c>
    </row>
    <row r="45" spans="4:304" ht="15" x14ac:dyDescent="0.25">
      <c r="J45" t="s">
        <v>187</v>
      </c>
      <c r="AO45" s="86" t="s">
        <v>598</v>
      </c>
      <c r="AP45" s="86">
        <v>4</v>
      </c>
      <c r="AQ45" s="85" t="s">
        <v>82</v>
      </c>
      <c r="EV45" s="3" t="s">
        <v>279</v>
      </c>
      <c r="GD45" s="85"/>
      <c r="GE45" s="85"/>
      <c r="GF45" s="85"/>
      <c r="GG45" s="85"/>
      <c r="GH45" s="85"/>
      <c r="GI45" s="85"/>
      <c r="GJ45" s="85"/>
      <c r="GK45" s="85"/>
      <c r="GL45" s="85"/>
      <c r="GM45" s="85"/>
      <c r="GN45" s="85"/>
      <c r="GO45" s="85"/>
      <c r="GP45" s="85"/>
      <c r="IN45" s="137" t="s">
        <v>161</v>
      </c>
      <c r="IO45" s="85">
        <f t="shared" si="0"/>
        <v>0</v>
      </c>
      <c r="IW45" s="99" t="s">
        <v>534</v>
      </c>
      <c r="IX45" s="99">
        <v>2</v>
      </c>
      <c r="IY45" s="100" t="s">
        <v>163</v>
      </c>
      <c r="JC45" t="s">
        <v>598</v>
      </c>
      <c r="JE45" s="3" t="s">
        <v>744</v>
      </c>
    </row>
    <row r="46" spans="4:304" ht="15" x14ac:dyDescent="0.25">
      <c r="J46" t="s">
        <v>724</v>
      </c>
      <c r="AO46" s="138" t="s">
        <v>161</v>
      </c>
      <c r="AP46" s="86">
        <v>1</v>
      </c>
      <c r="AQ46" s="85" t="s">
        <v>82</v>
      </c>
      <c r="EV46" s="3" t="s">
        <v>286</v>
      </c>
      <c r="GD46" s="310" t="s">
        <v>377</v>
      </c>
      <c r="GE46" s="310"/>
      <c r="GF46" s="310"/>
      <c r="GG46" s="310"/>
      <c r="GH46" s="310"/>
      <c r="GI46" s="310"/>
      <c r="GJ46" s="310"/>
      <c r="GK46" s="310"/>
      <c r="GL46" s="310"/>
      <c r="GM46" s="310"/>
      <c r="GN46" s="310"/>
      <c r="GO46" s="310"/>
      <c r="GP46" s="85"/>
      <c r="IN46" s="137" t="s">
        <v>500</v>
      </c>
      <c r="IO46" s="85">
        <f t="shared" si="0"/>
        <v>0</v>
      </c>
      <c r="IW46" s="99" t="s">
        <v>536</v>
      </c>
      <c r="IX46" s="99">
        <v>2</v>
      </c>
      <c r="IY46" s="100" t="s">
        <v>163</v>
      </c>
      <c r="JE46" s="3" t="s">
        <v>745</v>
      </c>
    </row>
    <row r="47" spans="4:304" ht="15" x14ac:dyDescent="0.25">
      <c r="J47" t="s">
        <v>211</v>
      </c>
      <c r="AO47" s="138" t="s">
        <v>500</v>
      </c>
      <c r="AP47" s="86">
        <v>2</v>
      </c>
      <c r="AQ47" s="85" t="s">
        <v>82</v>
      </c>
      <c r="GD47" s="85" t="s">
        <v>378</v>
      </c>
      <c r="GE47" s="85" t="s">
        <v>379</v>
      </c>
      <c r="GF47" s="85" t="s">
        <v>380</v>
      </c>
      <c r="GG47" s="85" t="s">
        <v>381</v>
      </c>
      <c r="GH47" s="85" t="s">
        <v>382</v>
      </c>
      <c r="GI47" s="85" t="s">
        <v>383</v>
      </c>
      <c r="GJ47" s="85" t="s">
        <v>530</v>
      </c>
      <c r="GK47" s="85" t="s">
        <v>384</v>
      </c>
      <c r="GL47" s="85" t="s">
        <v>385</v>
      </c>
      <c r="GM47" s="85" t="s">
        <v>386</v>
      </c>
      <c r="GN47" s="85" t="s">
        <v>387</v>
      </c>
      <c r="GO47" s="85" t="s">
        <v>388</v>
      </c>
      <c r="GP47" s="85" t="s">
        <v>533</v>
      </c>
      <c r="IN47" s="137" t="s">
        <v>501</v>
      </c>
      <c r="IO47" s="85">
        <f t="shared" si="0"/>
        <v>0</v>
      </c>
      <c r="IW47" s="99" t="s">
        <v>502</v>
      </c>
      <c r="IX47" s="99">
        <v>3</v>
      </c>
      <c r="IY47" s="100" t="s">
        <v>163</v>
      </c>
      <c r="JE47" s="3" t="s">
        <v>746</v>
      </c>
    </row>
    <row r="48" spans="4:304" ht="15" x14ac:dyDescent="0.25">
      <c r="J48" t="s">
        <v>216</v>
      </c>
      <c r="AO48" s="138" t="s">
        <v>501</v>
      </c>
      <c r="AP48" s="86">
        <v>2</v>
      </c>
      <c r="AQ48" s="85" t="s">
        <v>82</v>
      </c>
      <c r="CF48" s="3" t="s">
        <v>85</v>
      </c>
      <c r="GD48" s="85" t="s">
        <v>84</v>
      </c>
      <c r="GE48" s="85" t="s">
        <v>167</v>
      </c>
      <c r="GF48" s="85" t="s">
        <v>167</v>
      </c>
      <c r="GG48" s="85" t="s">
        <v>167</v>
      </c>
      <c r="GH48" s="85" t="s">
        <v>167</v>
      </c>
      <c r="GI48" s="85" t="s">
        <v>167</v>
      </c>
      <c r="GJ48" s="85" t="s">
        <v>167</v>
      </c>
      <c r="GK48" s="85" t="s">
        <v>167</v>
      </c>
      <c r="GL48" s="85" t="s">
        <v>167</v>
      </c>
      <c r="GM48" s="85" t="s">
        <v>167</v>
      </c>
      <c r="GN48" s="85" t="s">
        <v>167</v>
      </c>
      <c r="GO48" s="85" t="s">
        <v>167</v>
      </c>
      <c r="GP48" s="85" t="s">
        <v>167</v>
      </c>
      <c r="IN48" s="85" t="s">
        <v>689</v>
      </c>
      <c r="IO48" s="85">
        <f t="shared" si="0"/>
        <v>0</v>
      </c>
      <c r="IW48" s="99" t="s">
        <v>503</v>
      </c>
      <c r="IX48" s="99">
        <v>3</v>
      </c>
      <c r="IY48" s="100" t="s">
        <v>163</v>
      </c>
      <c r="JE48" s="3" t="s">
        <v>653</v>
      </c>
    </row>
    <row r="49" spans="10:265" x14ac:dyDescent="0.2">
      <c r="AO49" s="86" t="s">
        <v>689</v>
      </c>
      <c r="AP49" s="86">
        <v>3</v>
      </c>
      <c r="AQ49" s="85" t="s">
        <v>82</v>
      </c>
      <c r="CF49" s="3" t="s">
        <v>186</v>
      </c>
      <c r="GD49" s="85" t="s">
        <v>219</v>
      </c>
      <c r="GE49" s="85" t="s">
        <v>84</v>
      </c>
      <c r="GF49" s="85" t="s">
        <v>84</v>
      </c>
      <c r="GG49" s="85" t="s">
        <v>84</v>
      </c>
      <c r="GH49" s="85" t="s">
        <v>84</v>
      </c>
      <c r="GI49" s="85" t="s">
        <v>84</v>
      </c>
      <c r="GJ49" s="85" t="s">
        <v>84</v>
      </c>
      <c r="GK49" s="85" t="s">
        <v>84</v>
      </c>
      <c r="GL49" s="85" t="s">
        <v>84</v>
      </c>
      <c r="GM49" s="85" t="s">
        <v>84</v>
      </c>
      <c r="GN49" s="85" t="s">
        <v>84</v>
      </c>
      <c r="GO49" s="85" t="s">
        <v>84</v>
      </c>
      <c r="GP49" s="85" t="s">
        <v>84</v>
      </c>
      <c r="IN49" s="85" t="s">
        <v>690</v>
      </c>
      <c r="IO49" s="85">
        <f t="shared" si="0"/>
        <v>0</v>
      </c>
      <c r="IW49" s="99" t="s">
        <v>504</v>
      </c>
      <c r="IX49" s="99">
        <v>3</v>
      </c>
      <c r="IY49" s="100" t="s">
        <v>163</v>
      </c>
      <c r="JE49" s="3" t="s">
        <v>654</v>
      </c>
    </row>
    <row r="50" spans="10:265" ht="15" x14ac:dyDescent="0.25">
      <c r="J50" s="3" t="s">
        <v>192</v>
      </c>
      <c r="AO50" s="86" t="s">
        <v>690</v>
      </c>
      <c r="AP50" s="86">
        <v>3</v>
      </c>
      <c r="AQ50" s="85" t="s">
        <v>82</v>
      </c>
      <c r="CF50" s="3" t="s">
        <v>210</v>
      </c>
      <c r="GD50" s="85"/>
      <c r="GE50" s="85" t="s">
        <v>219</v>
      </c>
      <c r="GF50" s="85" t="s">
        <v>219</v>
      </c>
      <c r="GG50" s="85" t="s">
        <v>219</v>
      </c>
      <c r="GH50" s="85" t="s">
        <v>219</v>
      </c>
      <c r="GI50" s="85" t="s">
        <v>219</v>
      </c>
      <c r="GJ50" s="85" t="s">
        <v>219</v>
      </c>
      <c r="GK50" s="85" t="s">
        <v>219</v>
      </c>
      <c r="GL50" s="85" t="s">
        <v>219</v>
      </c>
      <c r="GM50" s="85" t="s">
        <v>219</v>
      </c>
      <c r="GN50" s="85" t="s">
        <v>219</v>
      </c>
      <c r="GO50" s="85" t="s">
        <v>219</v>
      </c>
      <c r="GP50" s="85" t="s">
        <v>219</v>
      </c>
      <c r="IN50" s="137" t="s">
        <v>502</v>
      </c>
      <c r="IO50" s="85">
        <f t="shared" si="0"/>
        <v>1</v>
      </c>
      <c r="IW50" s="99" t="s">
        <v>505</v>
      </c>
      <c r="IX50" s="99">
        <v>3</v>
      </c>
      <c r="IY50" s="100" t="s">
        <v>163</v>
      </c>
      <c r="JE50" s="3" t="s">
        <v>655</v>
      </c>
    </row>
    <row r="51" spans="10:265" ht="15" x14ac:dyDescent="0.25">
      <c r="J51" s="3" t="s">
        <v>311</v>
      </c>
      <c r="AO51" s="138" t="s">
        <v>502</v>
      </c>
      <c r="AP51" s="86">
        <v>3</v>
      </c>
      <c r="AQ51" s="85" t="s">
        <v>82</v>
      </c>
      <c r="BJ51" s="87" t="s">
        <v>258</v>
      </c>
      <c r="BK51" t="s">
        <v>167</v>
      </c>
      <c r="BL51" t="s">
        <v>238</v>
      </c>
      <c r="CF51" s="3" t="s">
        <v>373</v>
      </c>
      <c r="GD51" s="85"/>
      <c r="GE51" s="85"/>
      <c r="GF51" s="85" t="s">
        <v>245</v>
      </c>
      <c r="GG51" s="85" t="s">
        <v>245</v>
      </c>
      <c r="GH51" s="85"/>
      <c r="GI51" s="85" t="s">
        <v>245</v>
      </c>
      <c r="GJ51" s="85"/>
      <c r="GK51" s="85" t="s">
        <v>245</v>
      </c>
      <c r="GL51" s="85"/>
      <c r="GM51" s="85"/>
      <c r="GN51" s="85" t="s">
        <v>245</v>
      </c>
      <c r="GO51" s="85" t="s">
        <v>245</v>
      </c>
      <c r="GP51" s="85"/>
      <c r="IN51" s="137" t="s">
        <v>503</v>
      </c>
      <c r="IO51" s="85">
        <f t="shared" si="0"/>
        <v>1</v>
      </c>
      <c r="IW51" s="99" t="s">
        <v>506</v>
      </c>
      <c r="IX51" s="99">
        <v>3</v>
      </c>
      <c r="IY51" s="100" t="s">
        <v>163</v>
      </c>
      <c r="JE51" s="3" t="s">
        <v>652</v>
      </c>
    </row>
    <row r="52" spans="10:265" ht="15" x14ac:dyDescent="0.25">
      <c r="J52" s="3" t="s">
        <v>314</v>
      </c>
      <c r="AO52" s="138" t="s">
        <v>503</v>
      </c>
      <c r="AP52" s="86">
        <v>3</v>
      </c>
      <c r="AQ52" s="85" t="s">
        <v>82</v>
      </c>
      <c r="CF52" s="3" t="s">
        <v>374</v>
      </c>
      <c r="IN52" s="137" t="s">
        <v>510</v>
      </c>
      <c r="IO52" s="85">
        <f t="shared" si="0"/>
        <v>1</v>
      </c>
      <c r="IW52" s="99" t="s">
        <v>507</v>
      </c>
      <c r="IX52" s="99">
        <v>3</v>
      </c>
      <c r="IY52" s="100" t="s">
        <v>163</v>
      </c>
      <c r="JE52" s="3" t="s">
        <v>535</v>
      </c>
    </row>
    <row r="53" spans="10:265" ht="15" x14ac:dyDescent="0.25">
      <c r="J53" s="3" t="s">
        <v>317</v>
      </c>
      <c r="AO53" s="138" t="s">
        <v>510</v>
      </c>
      <c r="AP53" s="86">
        <v>4</v>
      </c>
      <c r="AQ53" s="85" t="s">
        <v>82</v>
      </c>
      <c r="CF53" s="3" t="s">
        <v>375</v>
      </c>
      <c r="IN53" s="137" t="s">
        <v>511</v>
      </c>
      <c r="IO53" s="85">
        <f t="shared" si="0"/>
        <v>1</v>
      </c>
      <c r="IW53" s="99" t="s">
        <v>294</v>
      </c>
      <c r="IX53" s="99">
        <v>3</v>
      </c>
      <c r="IY53" s="100" t="s">
        <v>163</v>
      </c>
      <c r="JE53" s="3" t="s">
        <v>506</v>
      </c>
    </row>
    <row r="54" spans="10:265" ht="15" x14ac:dyDescent="0.25">
      <c r="J54" s="3" t="s">
        <v>320</v>
      </c>
      <c r="AO54" s="138" t="s">
        <v>511</v>
      </c>
      <c r="AP54" s="86">
        <v>4</v>
      </c>
      <c r="AQ54" s="85" t="s">
        <v>82</v>
      </c>
      <c r="CF54" s="3" t="s">
        <v>376</v>
      </c>
      <c r="IN54" s="137" t="s">
        <v>772</v>
      </c>
      <c r="IO54" s="85">
        <f t="shared" si="0"/>
        <v>1</v>
      </c>
      <c r="IW54" s="99" t="s">
        <v>508</v>
      </c>
      <c r="IX54" s="99">
        <v>3</v>
      </c>
      <c r="IY54" s="100" t="s">
        <v>163</v>
      </c>
      <c r="JE54" s="3" t="s">
        <v>507</v>
      </c>
    </row>
    <row r="55" spans="10:265" ht="15" x14ac:dyDescent="0.25">
      <c r="J55" s="3" t="s">
        <v>322</v>
      </c>
      <c r="AO55" s="138" t="s">
        <v>772</v>
      </c>
      <c r="AP55" s="86">
        <v>4</v>
      </c>
      <c r="AQ55" s="85" t="s">
        <v>82</v>
      </c>
      <c r="CF55" s="3" t="s">
        <v>297</v>
      </c>
      <c r="IN55" s="137" t="s">
        <v>516</v>
      </c>
      <c r="IO55" s="85">
        <f t="shared" si="0"/>
        <v>2</v>
      </c>
      <c r="IW55" s="99" t="s">
        <v>509</v>
      </c>
      <c r="IX55" s="99">
        <v>3</v>
      </c>
      <c r="IY55" s="100" t="s">
        <v>163</v>
      </c>
      <c r="JE55" s="3" t="s">
        <v>519</v>
      </c>
    </row>
    <row r="56" spans="10:265" ht="15" x14ac:dyDescent="0.25">
      <c r="J56" s="3" t="s">
        <v>325</v>
      </c>
      <c r="AO56" s="138" t="s">
        <v>516</v>
      </c>
      <c r="AP56" s="86">
        <v>5</v>
      </c>
      <c r="AQ56" s="85" t="s">
        <v>82</v>
      </c>
      <c r="CF56" s="3" t="s">
        <v>302</v>
      </c>
      <c r="IN56" s="137" t="s">
        <v>521</v>
      </c>
      <c r="IO56" s="85">
        <f t="shared" si="0"/>
        <v>2</v>
      </c>
      <c r="IW56" s="99" t="s">
        <v>299</v>
      </c>
      <c r="IX56" s="99">
        <v>3</v>
      </c>
      <c r="IY56" s="100" t="s">
        <v>163</v>
      </c>
      <c r="JE56" s="3" t="s">
        <v>520</v>
      </c>
    </row>
    <row r="57" spans="10:265" ht="15" x14ac:dyDescent="0.25">
      <c r="J57" s="3" t="s">
        <v>216</v>
      </c>
      <c r="AO57" s="138" t="s">
        <v>521</v>
      </c>
      <c r="AP57" s="86">
        <v>6</v>
      </c>
      <c r="AQ57" s="85" t="s">
        <v>82</v>
      </c>
      <c r="CF57" s="3" t="s">
        <v>389</v>
      </c>
      <c r="IN57" s="137" t="s">
        <v>522</v>
      </c>
      <c r="IO57" s="85">
        <f t="shared" si="0"/>
        <v>2</v>
      </c>
      <c r="IW57" s="99" t="s">
        <v>304</v>
      </c>
      <c r="IX57" s="99">
        <v>3</v>
      </c>
      <c r="IY57" s="100" t="s">
        <v>163</v>
      </c>
      <c r="JE57" s="3" t="s">
        <v>523</v>
      </c>
    </row>
    <row r="58" spans="10:265" ht="15" x14ac:dyDescent="0.25">
      <c r="J58" s="3" t="s">
        <v>329</v>
      </c>
      <c r="AO58" s="138" t="s">
        <v>522</v>
      </c>
      <c r="AP58" s="86">
        <v>6</v>
      </c>
      <c r="AQ58" s="85" t="s">
        <v>82</v>
      </c>
      <c r="CF58" s="3" t="s">
        <v>305</v>
      </c>
      <c r="IN58" s="137" t="s">
        <v>517</v>
      </c>
      <c r="IO58" s="85">
        <f t="shared" si="0"/>
        <v>2</v>
      </c>
      <c r="IW58" s="99" t="s">
        <v>307</v>
      </c>
      <c r="IX58" s="99">
        <v>3</v>
      </c>
      <c r="IY58" s="100" t="s">
        <v>163</v>
      </c>
      <c r="JE58" s="3" t="s">
        <v>524</v>
      </c>
    </row>
    <row r="59" spans="10:265" ht="15" x14ac:dyDescent="0.25">
      <c r="J59" s="3" t="s">
        <v>332</v>
      </c>
      <c r="AO59" s="138" t="s">
        <v>517</v>
      </c>
      <c r="AP59" s="86">
        <v>5</v>
      </c>
      <c r="AQ59" s="85" t="s">
        <v>82</v>
      </c>
      <c r="CF59" s="3" t="s">
        <v>309</v>
      </c>
      <c r="GD59" t="s">
        <v>552</v>
      </c>
      <c r="GE59" t="s">
        <v>561</v>
      </c>
      <c r="GF59" s="3" t="s">
        <v>644</v>
      </c>
      <c r="IN59" s="137" t="s">
        <v>518</v>
      </c>
      <c r="IO59" s="85">
        <f t="shared" si="0"/>
        <v>2</v>
      </c>
      <c r="IW59" s="99" t="s">
        <v>537</v>
      </c>
      <c r="IX59" s="99">
        <v>3</v>
      </c>
      <c r="IY59" s="100" t="s">
        <v>163</v>
      </c>
      <c r="JE59" s="3" t="s">
        <v>512</v>
      </c>
    </row>
    <row r="60" spans="10:265" ht="15" x14ac:dyDescent="0.25">
      <c r="J60" s="3" t="s">
        <v>347</v>
      </c>
      <c r="AO60" s="138" t="s">
        <v>518</v>
      </c>
      <c r="AP60" s="86">
        <v>5</v>
      </c>
      <c r="AQ60" s="85" t="s">
        <v>82</v>
      </c>
      <c r="CF60" s="3" t="s">
        <v>312</v>
      </c>
      <c r="GD60" t="s">
        <v>203</v>
      </c>
      <c r="GE60" t="s">
        <v>204</v>
      </c>
      <c r="GF60" t="s">
        <v>167</v>
      </c>
      <c r="IN60" s="137" t="s">
        <v>504</v>
      </c>
      <c r="IO60" s="85">
        <f t="shared" si="0"/>
        <v>1</v>
      </c>
      <c r="IW60" s="99" t="s">
        <v>538</v>
      </c>
      <c r="IX60" s="99">
        <v>3</v>
      </c>
      <c r="IY60" s="100" t="s">
        <v>163</v>
      </c>
      <c r="JE60" s="3" t="s">
        <v>513</v>
      </c>
    </row>
    <row r="61" spans="10:265" ht="15" x14ac:dyDescent="0.25">
      <c r="J61" t="s">
        <v>332</v>
      </c>
      <c r="AO61" s="138" t="s">
        <v>504</v>
      </c>
      <c r="AP61" s="86">
        <v>3</v>
      </c>
      <c r="AQ61" s="85" t="s">
        <v>82</v>
      </c>
      <c r="BK61" t="s">
        <v>862</v>
      </c>
      <c r="CF61" s="3" t="s">
        <v>315</v>
      </c>
      <c r="EV61" t="s">
        <v>45</v>
      </c>
      <c r="GD61" t="s">
        <v>225</v>
      </c>
      <c r="GE61" t="s">
        <v>203</v>
      </c>
      <c r="GF61" t="s">
        <v>84</v>
      </c>
      <c r="IN61" s="137" t="s">
        <v>505</v>
      </c>
      <c r="IO61" s="85">
        <f t="shared" si="0"/>
        <v>1</v>
      </c>
      <c r="IW61" s="99" t="s">
        <v>510</v>
      </c>
      <c r="IX61" s="99">
        <v>4</v>
      </c>
      <c r="IY61" s="100" t="s">
        <v>163</v>
      </c>
      <c r="JE61" s="3" t="s">
        <v>525</v>
      </c>
    </row>
    <row r="62" spans="10:265" ht="15" x14ac:dyDescent="0.25">
      <c r="J62" t="s">
        <v>329</v>
      </c>
      <c r="AO62" s="138" t="s">
        <v>505</v>
      </c>
      <c r="AP62" s="86">
        <v>3</v>
      </c>
      <c r="AQ62" s="85" t="s">
        <v>82</v>
      </c>
      <c r="BJ62" s="4" t="s">
        <v>181</v>
      </c>
      <c r="BK62" t="s">
        <v>84</v>
      </c>
      <c r="CF62" s="3" t="s">
        <v>390</v>
      </c>
      <c r="EV62" t="s">
        <v>352</v>
      </c>
      <c r="GD62" t="s">
        <v>237</v>
      </c>
      <c r="GE62" t="s">
        <v>225</v>
      </c>
      <c r="GF62" t="s">
        <v>219</v>
      </c>
      <c r="IN62" s="85" t="s">
        <v>569</v>
      </c>
      <c r="IO62" s="85">
        <f t="shared" si="0"/>
        <v>0</v>
      </c>
      <c r="IW62" s="99" t="s">
        <v>511</v>
      </c>
      <c r="IX62" s="99">
        <v>4</v>
      </c>
      <c r="IY62" s="100" t="s">
        <v>163</v>
      </c>
      <c r="JE62" s="3" t="s">
        <v>526</v>
      </c>
    </row>
    <row r="63" spans="10:265" x14ac:dyDescent="0.2">
      <c r="J63" t="s">
        <v>347</v>
      </c>
      <c r="AO63" s="86" t="s">
        <v>569</v>
      </c>
      <c r="AP63" s="86">
        <v>2</v>
      </c>
      <c r="AQ63" s="85" t="s">
        <v>82</v>
      </c>
      <c r="BJ63" s="4" t="s">
        <v>205</v>
      </c>
      <c r="BK63" t="s">
        <v>84</v>
      </c>
      <c r="CF63" s="3" t="s">
        <v>213</v>
      </c>
      <c r="EV63" t="s">
        <v>363</v>
      </c>
      <c r="GE63" t="s">
        <v>237</v>
      </c>
      <c r="GF63" t="s">
        <v>245</v>
      </c>
      <c r="IN63" s="85" t="s">
        <v>691</v>
      </c>
      <c r="IO63" s="85">
        <f t="shared" si="0"/>
        <v>0</v>
      </c>
      <c r="IW63" s="99" t="s">
        <v>772</v>
      </c>
      <c r="IX63" s="99">
        <v>4</v>
      </c>
      <c r="IY63" s="100" t="s">
        <v>163</v>
      </c>
      <c r="JE63" s="3" t="s">
        <v>651</v>
      </c>
    </row>
    <row r="64" spans="10:265" x14ac:dyDescent="0.2">
      <c r="J64" t="s">
        <v>311</v>
      </c>
      <c r="AO64" s="86" t="s">
        <v>691</v>
      </c>
      <c r="AP64" s="86">
        <v>3</v>
      </c>
      <c r="AQ64" s="85" t="s">
        <v>82</v>
      </c>
      <c r="BJ64" s="4" t="s">
        <v>226</v>
      </c>
      <c r="BK64" t="s">
        <v>84</v>
      </c>
      <c r="CF64" s="3" t="s">
        <v>321</v>
      </c>
      <c r="EV64" t="s">
        <v>878</v>
      </c>
      <c r="IN64" s="85" t="s">
        <v>692</v>
      </c>
      <c r="IO64" s="85">
        <f t="shared" si="0"/>
        <v>0</v>
      </c>
      <c r="IW64" s="99" t="s">
        <v>512</v>
      </c>
      <c r="IX64" s="99">
        <v>4</v>
      </c>
      <c r="IY64" s="100" t="s">
        <v>163</v>
      </c>
      <c r="JE64" s="3" t="s">
        <v>657</v>
      </c>
    </row>
    <row r="65" spans="41:265" x14ac:dyDescent="0.2">
      <c r="AO65" s="86" t="s">
        <v>692</v>
      </c>
      <c r="AP65" s="86">
        <v>3</v>
      </c>
      <c r="AQ65" s="85" t="s">
        <v>82</v>
      </c>
      <c r="BJ65" s="4" t="s">
        <v>249</v>
      </c>
      <c r="BK65" t="s">
        <v>84</v>
      </c>
      <c r="CF65" s="3" t="s">
        <v>323</v>
      </c>
      <c r="EV65" t="s">
        <v>109</v>
      </c>
      <c r="IN65" s="85" t="s">
        <v>683</v>
      </c>
      <c r="IO65" s="85">
        <f t="shared" si="0"/>
        <v>0</v>
      </c>
      <c r="IW65" s="99" t="s">
        <v>513</v>
      </c>
      <c r="IX65" s="99">
        <v>4</v>
      </c>
      <c r="IY65" s="100" t="s">
        <v>163</v>
      </c>
      <c r="JE65" s="3" t="s">
        <v>656</v>
      </c>
    </row>
    <row r="66" spans="41:265" x14ac:dyDescent="0.2">
      <c r="AO66" s="86" t="s">
        <v>683</v>
      </c>
      <c r="AP66" s="86">
        <v>4</v>
      </c>
      <c r="AQ66" s="85" t="s">
        <v>82</v>
      </c>
      <c r="BJ66" s="4" t="s">
        <v>258</v>
      </c>
      <c r="BK66" t="s">
        <v>84</v>
      </c>
      <c r="CF66" s="3" t="s">
        <v>391</v>
      </c>
      <c r="EV66" t="s">
        <v>367</v>
      </c>
      <c r="IN66" s="85" t="s">
        <v>693</v>
      </c>
      <c r="IO66" s="85">
        <f t="shared" si="0"/>
        <v>0</v>
      </c>
      <c r="IW66" s="99" t="s">
        <v>514</v>
      </c>
      <c r="IX66" s="99">
        <v>4</v>
      </c>
      <c r="IY66" s="100" t="s">
        <v>163</v>
      </c>
      <c r="JE66" s="3" t="s">
        <v>658</v>
      </c>
    </row>
    <row r="67" spans="41:265" x14ac:dyDescent="0.2">
      <c r="AO67" s="86" t="s">
        <v>693</v>
      </c>
      <c r="AP67" s="86">
        <v>4</v>
      </c>
      <c r="AQ67" s="85" t="s">
        <v>82</v>
      </c>
      <c r="BJ67" s="4" t="s">
        <v>267</v>
      </c>
      <c r="BK67" t="s">
        <v>167</v>
      </c>
      <c r="CF67" s="3" t="s">
        <v>88</v>
      </c>
      <c r="EV67" t="s">
        <v>204</v>
      </c>
      <c r="IN67" s="85" t="s">
        <v>573</v>
      </c>
      <c r="IO67" s="85">
        <f t="shared" ref="IO67:IO115" si="2">LEN(IN67)-LEN(SUBSTITUTE(IN67,"T",""))</f>
        <v>0</v>
      </c>
      <c r="IW67" s="99" t="s">
        <v>515</v>
      </c>
      <c r="IX67" s="99">
        <v>4</v>
      </c>
      <c r="IY67" s="100" t="s">
        <v>163</v>
      </c>
      <c r="JE67" s="3" t="s">
        <v>294</v>
      </c>
    </row>
    <row r="68" spans="41:265" x14ac:dyDescent="0.2">
      <c r="AO68" s="86" t="s">
        <v>573</v>
      </c>
      <c r="AP68" s="86">
        <v>4</v>
      </c>
      <c r="AQ68" s="85" t="s">
        <v>82</v>
      </c>
      <c r="BJ68" s="4" t="s">
        <v>276</v>
      </c>
      <c r="BK68" t="s">
        <v>167</v>
      </c>
      <c r="CF68" s="3" t="s">
        <v>348</v>
      </c>
      <c r="EV68" t="s">
        <v>191</v>
      </c>
      <c r="IN68" s="85" t="s">
        <v>575</v>
      </c>
      <c r="IO68" s="85">
        <f t="shared" si="2"/>
        <v>0</v>
      </c>
      <c r="IW68" s="99" t="s">
        <v>516</v>
      </c>
      <c r="IX68" s="99">
        <v>5</v>
      </c>
      <c r="IY68" s="100" t="s">
        <v>163</v>
      </c>
      <c r="JE68" s="3" t="s">
        <v>304</v>
      </c>
    </row>
    <row r="69" spans="41:265" x14ac:dyDescent="0.2">
      <c r="AO69" s="86" t="s">
        <v>575</v>
      </c>
      <c r="AP69" s="86">
        <v>6</v>
      </c>
      <c r="AQ69" s="85" t="s">
        <v>82</v>
      </c>
      <c r="BJ69" s="4" t="s">
        <v>282</v>
      </c>
      <c r="BK69" t="s">
        <v>167</v>
      </c>
      <c r="CF69" s="3" t="s">
        <v>392</v>
      </c>
      <c r="EV69" t="s">
        <v>215</v>
      </c>
      <c r="IN69" s="85" t="s">
        <v>577</v>
      </c>
      <c r="IO69" s="85">
        <f t="shared" si="2"/>
        <v>0</v>
      </c>
      <c r="IW69" s="99" t="s">
        <v>517</v>
      </c>
      <c r="IX69" s="99">
        <v>5</v>
      </c>
      <c r="IY69" s="100" t="s">
        <v>163</v>
      </c>
      <c r="JE69" s="3" t="s">
        <v>235</v>
      </c>
    </row>
    <row r="70" spans="41:265" x14ac:dyDescent="0.2">
      <c r="AO70" s="86" t="s">
        <v>577</v>
      </c>
      <c r="AP70" s="86">
        <v>8</v>
      </c>
      <c r="AQ70" s="85" t="s">
        <v>82</v>
      </c>
      <c r="BJ70" s="4" t="s">
        <v>801</v>
      </c>
      <c r="BK70" t="s">
        <v>167</v>
      </c>
      <c r="CF70" s="3" t="s">
        <v>393</v>
      </c>
      <c r="EV70" t="s">
        <v>232</v>
      </c>
      <c r="IN70" s="85" t="s">
        <v>580</v>
      </c>
      <c r="IO70" s="85">
        <f t="shared" si="2"/>
        <v>0</v>
      </c>
      <c r="IW70" s="99" t="s">
        <v>518</v>
      </c>
      <c r="IX70" s="99">
        <v>5</v>
      </c>
      <c r="IY70" s="100" t="s">
        <v>163</v>
      </c>
      <c r="JE70" s="2" t="s">
        <v>718</v>
      </c>
    </row>
    <row r="71" spans="41:265" x14ac:dyDescent="0.2">
      <c r="AO71" s="86" t="s">
        <v>580</v>
      </c>
      <c r="AP71" s="86">
        <v>8</v>
      </c>
      <c r="AQ71" s="85" t="s">
        <v>82</v>
      </c>
      <c r="BJ71" s="4" t="s">
        <v>811</v>
      </c>
      <c r="BK71" t="s">
        <v>84</v>
      </c>
      <c r="CF71" s="3" t="s">
        <v>394</v>
      </c>
      <c r="EV71" t="s">
        <v>244</v>
      </c>
      <c r="IN71" s="85" t="s">
        <v>578</v>
      </c>
      <c r="IO71" s="85">
        <f t="shared" si="2"/>
        <v>0</v>
      </c>
      <c r="IW71" s="99" t="s">
        <v>519</v>
      </c>
      <c r="IX71" s="99">
        <v>5</v>
      </c>
      <c r="IY71" s="100" t="s">
        <v>163</v>
      </c>
      <c r="JE71" s="3" t="s">
        <v>747</v>
      </c>
    </row>
    <row r="72" spans="41:265" x14ac:dyDescent="0.2">
      <c r="AO72" s="86" t="s">
        <v>578</v>
      </c>
      <c r="AP72" s="86">
        <v>6</v>
      </c>
      <c r="AQ72" s="85" t="s">
        <v>82</v>
      </c>
      <c r="BJ72" s="4" t="s">
        <v>812</v>
      </c>
      <c r="BK72" t="s">
        <v>84</v>
      </c>
      <c r="CF72" s="3" t="s">
        <v>395</v>
      </c>
      <c r="EV72" t="s">
        <v>254</v>
      </c>
      <c r="IN72" s="85" t="s">
        <v>579</v>
      </c>
      <c r="IO72" s="85">
        <f t="shared" si="2"/>
        <v>0</v>
      </c>
      <c r="IW72" s="99" t="s">
        <v>520</v>
      </c>
      <c r="IX72" s="99">
        <v>5</v>
      </c>
      <c r="IY72" s="100" t="s">
        <v>163</v>
      </c>
      <c r="JE72" s="3" t="s">
        <v>748</v>
      </c>
    </row>
    <row r="73" spans="41:265" x14ac:dyDescent="0.2">
      <c r="AO73" s="86" t="s">
        <v>579</v>
      </c>
      <c r="AP73" s="86">
        <v>8</v>
      </c>
      <c r="AQ73" s="85" t="s">
        <v>82</v>
      </c>
      <c r="BJ73" s="4" t="s">
        <v>289</v>
      </c>
      <c r="BK73" t="s">
        <v>167</v>
      </c>
      <c r="CF73" s="3" t="s">
        <v>245</v>
      </c>
      <c r="EV73" t="s">
        <v>265</v>
      </c>
      <c r="GD73" t="s">
        <v>563</v>
      </c>
      <c r="IN73" s="85" t="s">
        <v>649</v>
      </c>
      <c r="IO73" s="85">
        <f t="shared" si="2"/>
        <v>0</v>
      </c>
      <c r="IW73" s="99" t="s">
        <v>521</v>
      </c>
      <c r="IX73" s="99">
        <v>6</v>
      </c>
      <c r="IY73" s="100" t="s">
        <v>163</v>
      </c>
      <c r="JE73" s="3" t="s">
        <v>307</v>
      </c>
    </row>
    <row r="74" spans="41:265" x14ac:dyDescent="0.2">
      <c r="AO74" s="86" t="s">
        <v>649</v>
      </c>
      <c r="AP74" s="86">
        <v>3</v>
      </c>
      <c r="AQ74" s="85" t="s">
        <v>82</v>
      </c>
      <c r="BJ74" s="4" t="s">
        <v>295</v>
      </c>
      <c r="BK74" t="s">
        <v>167</v>
      </c>
      <c r="CF74" s="3" t="s">
        <v>369</v>
      </c>
      <c r="EV74" t="s">
        <v>859</v>
      </c>
      <c r="GD74" t="s">
        <v>165</v>
      </c>
      <c r="IN74" s="85" t="s">
        <v>572</v>
      </c>
      <c r="IO74" s="85">
        <f t="shared" si="2"/>
        <v>0</v>
      </c>
      <c r="IW74" s="99" t="s">
        <v>522</v>
      </c>
      <c r="IX74" s="99">
        <v>6</v>
      </c>
      <c r="IY74" s="100" t="s">
        <v>163</v>
      </c>
      <c r="JE74" s="3" t="s">
        <v>201</v>
      </c>
    </row>
    <row r="75" spans="41:265" x14ac:dyDescent="0.2">
      <c r="AO75" s="86" t="s">
        <v>572</v>
      </c>
      <c r="AP75" s="86">
        <v>4</v>
      </c>
      <c r="AQ75" s="85" t="s">
        <v>82</v>
      </c>
      <c r="BJ75" s="4" t="s">
        <v>300</v>
      </c>
      <c r="BK75" t="s">
        <v>84</v>
      </c>
      <c r="CF75" s="3" t="s">
        <v>43</v>
      </c>
      <c r="EV75" t="s">
        <v>272</v>
      </c>
      <c r="IN75" s="85" t="s">
        <v>581</v>
      </c>
      <c r="IO75" s="85">
        <f t="shared" si="2"/>
        <v>0</v>
      </c>
      <c r="IW75" s="99" t="s">
        <v>523</v>
      </c>
      <c r="IX75" s="99">
        <v>6</v>
      </c>
      <c r="IY75" s="100" t="s">
        <v>163</v>
      </c>
      <c r="JE75" s="2" t="s">
        <v>719</v>
      </c>
    </row>
    <row r="76" spans="41:265" x14ac:dyDescent="0.2">
      <c r="AO76" s="86" t="s">
        <v>581</v>
      </c>
      <c r="AP76" s="86">
        <v>6</v>
      </c>
      <c r="AQ76" s="85" t="s">
        <v>82</v>
      </c>
      <c r="CF76" s="3" t="s">
        <v>44</v>
      </c>
      <c r="EV76" t="s">
        <v>358</v>
      </c>
      <c r="IN76" s="85" t="s">
        <v>582</v>
      </c>
      <c r="IO76" s="85">
        <f t="shared" si="2"/>
        <v>0</v>
      </c>
      <c r="IW76" s="99" t="s">
        <v>524</v>
      </c>
      <c r="IX76" s="99">
        <v>6</v>
      </c>
      <c r="IY76" s="100" t="s">
        <v>163</v>
      </c>
      <c r="JE76" s="2" t="s">
        <v>720</v>
      </c>
    </row>
    <row r="77" spans="41:265" ht="15" x14ac:dyDescent="0.25">
      <c r="AO77" s="86" t="s">
        <v>582</v>
      </c>
      <c r="AP77" s="86">
        <v>8</v>
      </c>
      <c r="AQ77" s="85" t="s">
        <v>82</v>
      </c>
      <c r="EV77" t="s">
        <v>279</v>
      </c>
      <c r="IN77" s="137" t="s">
        <v>222</v>
      </c>
      <c r="IO77" s="85">
        <f t="shared" si="2"/>
        <v>0</v>
      </c>
      <c r="IW77" s="99" t="s">
        <v>525</v>
      </c>
      <c r="IX77" s="99">
        <v>8</v>
      </c>
      <c r="IY77" s="100" t="s">
        <v>163</v>
      </c>
      <c r="JE77" s="2" t="s">
        <v>721</v>
      </c>
    </row>
    <row r="78" spans="41:265" ht="15" x14ac:dyDescent="0.25">
      <c r="AO78" s="138" t="s">
        <v>222</v>
      </c>
      <c r="AP78" s="86">
        <v>2</v>
      </c>
      <c r="AQ78" s="85" t="s">
        <v>82</v>
      </c>
      <c r="EV78" t="s">
        <v>286</v>
      </c>
      <c r="IN78" s="85" t="s">
        <v>650</v>
      </c>
      <c r="IO78" s="85">
        <f t="shared" si="2"/>
        <v>0</v>
      </c>
      <c r="IW78" s="99" t="s">
        <v>526</v>
      </c>
      <c r="IX78" s="99">
        <v>8</v>
      </c>
      <c r="IY78" s="100" t="s">
        <v>163</v>
      </c>
      <c r="JE78" s="2" t="s">
        <v>722</v>
      </c>
    </row>
    <row r="79" spans="41:265" ht="15" x14ac:dyDescent="0.25">
      <c r="AO79" s="86" t="s">
        <v>650</v>
      </c>
      <c r="AP79" s="86">
        <v>3</v>
      </c>
      <c r="AQ79" s="85" t="s">
        <v>82</v>
      </c>
      <c r="EV79" t="s">
        <v>810</v>
      </c>
      <c r="IN79" s="137" t="s">
        <v>653</v>
      </c>
      <c r="IO79" s="85">
        <f t="shared" si="2"/>
        <v>1</v>
      </c>
      <c r="IW79" s="86" t="s">
        <v>725</v>
      </c>
      <c r="IX79" s="86">
        <v>4</v>
      </c>
      <c r="JE79" s="2" t="s">
        <v>723</v>
      </c>
    </row>
    <row r="80" spans="41:265" ht="15" x14ac:dyDescent="0.25">
      <c r="AO80" s="138" t="s">
        <v>653</v>
      </c>
      <c r="AP80" s="86">
        <v>3</v>
      </c>
      <c r="AQ80" s="85" t="s">
        <v>82</v>
      </c>
      <c r="IN80" s="137" t="s">
        <v>654</v>
      </c>
      <c r="IO80" s="85">
        <f t="shared" si="2"/>
        <v>1</v>
      </c>
      <c r="IW80" s="86" t="s">
        <v>726</v>
      </c>
      <c r="IX80" s="86">
        <v>6</v>
      </c>
      <c r="JE80" s="3" t="s">
        <v>749</v>
      </c>
    </row>
    <row r="81" spans="41:265" ht="15" x14ac:dyDescent="0.25">
      <c r="AO81" s="138" t="s">
        <v>654</v>
      </c>
      <c r="AP81" s="86">
        <v>4</v>
      </c>
      <c r="AQ81" s="85" t="s">
        <v>82</v>
      </c>
      <c r="IN81" s="137" t="s">
        <v>655</v>
      </c>
      <c r="IO81" s="85">
        <f t="shared" si="2"/>
        <v>2</v>
      </c>
      <c r="IW81" s="86" t="s">
        <v>727</v>
      </c>
      <c r="IX81" s="86">
        <v>4</v>
      </c>
      <c r="JE81" s="3" t="s">
        <v>750</v>
      </c>
    </row>
    <row r="82" spans="41:265" ht="15" x14ac:dyDescent="0.25">
      <c r="AO82" s="138" t="s">
        <v>655</v>
      </c>
      <c r="AP82" s="86">
        <v>6</v>
      </c>
      <c r="AQ82" s="85" t="s">
        <v>82</v>
      </c>
      <c r="IN82" s="137" t="s">
        <v>652</v>
      </c>
      <c r="IO82" s="85">
        <f t="shared" si="2"/>
        <v>1</v>
      </c>
      <c r="IW82" s="86" t="s">
        <v>728</v>
      </c>
      <c r="IX82" s="86">
        <v>8</v>
      </c>
      <c r="JE82" s="3" t="s">
        <v>751</v>
      </c>
    </row>
    <row r="83" spans="41:265" ht="15" x14ac:dyDescent="0.25">
      <c r="AO83" s="138" t="s">
        <v>652</v>
      </c>
      <c r="AP83" s="86">
        <v>3</v>
      </c>
      <c r="AQ83" s="85" t="s">
        <v>82</v>
      </c>
      <c r="IN83" s="137" t="s">
        <v>535</v>
      </c>
      <c r="IO83" s="85">
        <f t="shared" si="2"/>
        <v>1</v>
      </c>
      <c r="IW83" s="86" t="s">
        <v>729</v>
      </c>
      <c r="IX83" s="86">
        <v>4</v>
      </c>
      <c r="JE83" s="3" t="s">
        <v>752</v>
      </c>
    </row>
    <row r="84" spans="41:265" ht="15" x14ac:dyDescent="0.25">
      <c r="AO84" s="138" t="s">
        <v>535</v>
      </c>
      <c r="AP84" s="86">
        <v>2</v>
      </c>
      <c r="AQ84" s="85" t="s">
        <v>82</v>
      </c>
      <c r="IN84" s="137" t="s">
        <v>506</v>
      </c>
      <c r="IO84" s="85">
        <f t="shared" si="2"/>
        <v>1</v>
      </c>
      <c r="IW84" s="86" t="s">
        <v>730</v>
      </c>
      <c r="IX84" s="86">
        <v>4</v>
      </c>
      <c r="JE84" s="3" t="s">
        <v>753</v>
      </c>
    </row>
    <row r="85" spans="41:265" ht="15" x14ac:dyDescent="0.25">
      <c r="AO85" s="138" t="s">
        <v>506</v>
      </c>
      <c r="AP85" s="86">
        <v>3</v>
      </c>
      <c r="AQ85" s="85" t="s">
        <v>82</v>
      </c>
      <c r="IN85" s="137" t="s">
        <v>507</v>
      </c>
      <c r="IO85" s="85">
        <f t="shared" si="2"/>
        <v>1</v>
      </c>
      <c r="IW85" s="86" t="s">
        <v>731</v>
      </c>
      <c r="IX85" s="86">
        <v>3</v>
      </c>
      <c r="JE85" s="3" t="s">
        <v>659</v>
      </c>
    </row>
    <row r="86" spans="41:265" ht="15" x14ac:dyDescent="0.25">
      <c r="AO86" s="138" t="s">
        <v>507</v>
      </c>
      <c r="AP86" s="86">
        <v>3</v>
      </c>
      <c r="AQ86" s="85" t="s">
        <v>82</v>
      </c>
      <c r="IN86" s="137" t="s">
        <v>519</v>
      </c>
      <c r="IO86" s="85">
        <f t="shared" si="2"/>
        <v>2</v>
      </c>
      <c r="IW86" s="86" t="s">
        <v>732</v>
      </c>
      <c r="IX86" s="86">
        <v>3</v>
      </c>
      <c r="JE86" s="3" t="s">
        <v>536</v>
      </c>
    </row>
    <row r="87" spans="41:265" ht="15" x14ac:dyDescent="0.25">
      <c r="AO87" s="138" t="s">
        <v>519</v>
      </c>
      <c r="AP87" s="86">
        <v>5</v>
      </c>
      <c r="AQ87" s="85" t="s">
        <v>82</v>
      </c>
      <c r="IN87" s="137" t="s">
        <v>520</v>
      </c>
      <c r="IO87" s="85">
        <f t="shared" si="2"/>
        <v>2</v>
      </c>
      <c r="IW87" s="86" t="s">
        <v>733</v>
      </c>
      <c r="IX87" s="86">
        <v>4</v>
      </c>
      <c r="JE87" s="3" t="s">
        <v>508</v>
      </c>
    </row>
    <row r="88" spans="41:265" ht="15" x14ac:dyDescent="0.25">
      <c r="AO88" s="138" t="s">
        <v>520</v>
      </c>
      <c r="AP88" s="86">
        <v>5</v>
      </c>
      <c r="AQ88" s="85" t="s">
        <v>82</v>
      </c>
      <c r="GD88" t="s">
        <v>628</v>
      </c>
      <c r="GE88" t="s">
        <v>629</v>
      </c>
      <c r="GF88" t="s">
        <v>630</v>
      </c>
      <c r="IN88" s="137" t="s">
        <v>523</v>
      </c>
      <c r="IO88" s="85">
        <f t="shared" si="2"/>
        <v>3</v>
      </c>
      <c r="IW88" s="86" t="s">
        <v>734</v>
      </c>
      <c r="IX88" s="86">
        <v>6</v>
      </c>
      <c r="JE88" s="3" t="s">
        <v>509</v>
      </c>
    </row>
    <row r="89" spans="41:265" ht="15" x14ac:dyDescent="0.25">
      <c r="AO89" s="138" t="s">
        <v>523</v>
      </c>
      <c r="AP89" s="86">
        <v>6</v>
      </c>
      <c r="AQ89" s="85" t="s">
        <v>82</v>
      </c>
      <c r="GD89" t="s">
        <v>219</v>
      </c>
      <c r="GE89" t="s">
        <v>167</v>
      </c>
      <c r="GF89" t="s">
        <v>167</v>
      </c>
      <c r="IN89" s="137" t="s">
        <v>524</v>
      </c>
      <c r="IO89" s="85">
        <f t="shared" si="2"/>
        <v>3</v>
      </c>
      <c r="IW89" s="86" t="s">
        <v>735</v>
      </c>
      <c r="IX89" s="86">
        <v>4</v>
      </c>
      <c r="JE89" s="3" t="s">
        <v>514</v>
      </c>
    </row>
    <row r="90" spans="41:265" ht="15" x14ac:dyDescent="0.25">
      <c r="AO90" s="138" t="s">
        <v>524</v>
      </c>
      <c r="AP90" s="86">
        <v>6</v>
      </c>
      <c r="AQ90" s="85" t="s">
        <v>82</v>
      </c>
      <c r="GD90" t="s">
        <v>84</v>
      </c>
      <c r="IN90" s="137" t="s">
        <v>512</v>
      </c>
      <c r="IO90" s="85">
        <f t="shared" si="2"/>
        <v>2</v>
      </c>
      <c r="IW90" s="86" t="s">
        <v>736</v>
      </c>
      <c r="IX90" s="86">
        <v>3</v>
      </c>
      <c r="JE90" s="3" t="s">
        <v>515</v>
      </c>
    </row>
    <row r="91" spans="41:265" ht="15" x14ac:dyDescent="0.25">
      <c r="AO91" s="138" t="s">
        <v>512</v>
      </c>
      <c r="AP91" s="86">
        <v>4</v>
      </c>
      <c r="AQ91" s="85" t="s">
        <v>82</v>
      </c>
      <c r="IN91" s="137" t="s">
        <v>513</v>
      </c>
      <c r="IO91" s="85">
        <f t="shared" si="2"/>
        <v>2</v>
      </c>
      <c r="IW91" s="86" t="s">
        <v>737</v>
      </c>
      <c r="IX91" s="86">
        <v>4</v>
      </c>
      <c r="JE91" s="3" t="s">
        <v>538</v>
      </c>
    </row>
    <row r="92" spans="41:265" ht="15" x14ac:dyDescent="0.25">
      <c r="AO92" s="138" t="s">
        <v>513</v>
      </c>
      <c r="AP92" s="86">
        <v>4</v>
      </c>
      <c r="AQ92" s="85" t="s">
        <v>82</v>
      </c>
      <c r="IN92" s="137" t="s">
        <v>525</v>
      </c>
      <c r="IO92" s="85">
        <f t="shared" si="2"/>
        <v>5</v>
      </c>
      <c r="IW92" s="86" t="s">
        <v>738</v>
      </c>
      <c r="IX92" s="86">
        <v>2</v>
      </c>
      <c r="JE92" s="3" t="s">
        <v>534</v>
      </c>
    </row>
    <row r="93" spans="41:265" ht="15" x14ac:dyDescent="0.25">
      <c r="AO93" s="138" t="s">
        <v>525</v>
      </c>
      <c r="AP93" s="86">
        <v>8</v>
      </c>
      <c r="AQ93" s="85" t="s">
        <v>82</v>
      </c>
      <c r="IN93" s="137" t="s">
        <v>526</v>
      </c>
      <c r="IO93" s="85">
        <f t="shared" si="2"/>
        <v>5</v>
      </c>
      <c r="IW93" s="86" t="s">
        <v>739</v>
      </c>
      <c r="IX93" s="86">
        <v>3</v>
      </c>
      <c r="JE93" s="3" t="s">
        <v>537</v>
      </c>
    </row>
    <row r="94" spans="41:265" ht="15" x14ac:dyDescent="0.25">
      <c r="AO94" s="138" t="s">
        <v>526</v>
      </c>
      <c r="AP94" s="86">
        <v>8</v>
      </c>
      <c r="AQ94" s="85" t="s">
        <v>82</v>
      </c>
      <c r="IN94" s="137" t="s">
        <v>651</v>
      </c>
      <c r="IO94" s="85">
        <f t="shared" si="2"/>
        <v>1</v>
      </c>
      <c r="IW94" s="86" t="s">
        <v>740</v>
      </c>
      <c r="IX94" s="86">
        <v>3</v>
      </c>
      <c r="JE94" s="3" t="s">
        <v>299</v>
      </c>
    </row>
    <row r="95" spans="41:265" ht="15" x14ac:dyDescent="0.25">
      <c r="AO95" s="138" t="s">
        <v>651</v>
      </c>
      <c r="AP95" s="86">
        <v>3</v>
      </c>
      <c r="AQ95" s="85" t="s">
        <v>82</v>
      </c>
      <c r="IN95" s="137" t="s">
        <v>657</v>
      </c>
      <c r="IO95" s="85">
        <f t="shared" si="2"/>
        <v>3</v>
      </c>
      <c r="IW95" s="86" t="s">
        <v>741</v>
      </c>
      <c r="IX95" s="86">
        <v>3</v>
      </c>
    </row>
    <row r="96" spans="41:265" ht="15" x14ac:dyDescent="0.25">
      <c r="AO96" s="138" t="s">
        <v>657</v>
      </c>
      <c r="AP96" s="86">
        <v>6</v>
      </c>
      <c r="AQ96" s="85" t="s">
        <v>82</v>
      </c>
      <c r="IN96" s="137" t="s">
        <v>656</v>
      </c>
      <c r="IO96" s="85">
        <f t="shared" si="2"/>
        <v>2</v>
      </c>
      <c r="IW96" s="86" t="s">
        <v>742</v>
      </c>
      <c r="IX96" s="86">
        <v>4</v>
      </c>
    </row>
    <row r="97" spans="41:258" ht="15" x14ac:dyDescent="0.25">
      <c r="AO97" s="138" t="s">
        <v>656</v>
      </c>
      <c r="AP97" s="86">
        <v>4</v>
      </c>
      <c r="AQ97" s="85" t="s">
        <v>82</v>
      </c>
      <c r="IN97" s="137" t="s">
        <v>658</v>
      </c>
      <c r="IO97" s="85">
        <f t="shared" si="2"/>
        <v>5</v>
      </c>
      <c r="IW97" s="86" t="s">
        <v>743</v>
      </c>
      <c r="IX97" s="86">
        <v>6</v>
      </c>
    </row>
    <row r="98" spans="41:258" ht="15" x14ac:dyDescent="0.25">
      <c r="AO98" s="138" t="s">
        <v>658</v>
      </c>
      <c r="AP98" s="86">
        <v>8</v>
      </c>
      <c r="AQ98" s="85" t="s">
        <v>82</v>
      </c>
      <c r="GD98" t="s">
        <v>634</v>
      </c>
      <c r="GE98" t="s">
        <v>635</v>
      </c>
      <c r="GF98" t="s">
        <v>636</v>
      </c>
      <c r="GG98" t="s">
        <v>637</v>
      </c>
      <c r="GH98" t="s">
        <v>874</v>
      </c>
      <c r="IN98" s="137" t="s">
        <v>294</v>
      </c>
      <c r="IO98" s="85">
        <f t="shared" si="2"/>
        <v>2</v>
      </c>
      <c r="IW98" s="86" t="s">
        <v>744</v>
      </c>
      <c r="IX98" s="86">
        <v>8</v>
      </c>
    </row>
    <row r="99" spans="41:258" ht="15" x14ac:dyDescent="0.25">
      <c r="AO99" s="138" t="s">
        <v>294</v>
      </c>
      <c r="AP99" s="86">
        <v>3</v>
      </c>
      <c r="AQ99" s="85" t="s">
        <v>82</v>
      </c>
      <c r="GD99" t="s">
        <v>167</v>
      </c>
      <c r="GE99" t="s">
        <v>167</v>
      </c>
      <c r="GF99" t="s">
        <v>167</v>
      </c>
      <c r="GG99" t="s">
        <v>167</v>
      </c>
      <c r="GH99" t="s">
        <v>203</v>
      </c>
      <c r="IN99" s="137" t="s">
        <v>304</v>
      </c>
      <c r="IO99" s="85">
        <f t="shared" si="2"/>
        <v>2</v>
      </c>
      <c r="IW99" s="86" t="s">
        <v>745</v>
      </c>
      <c r="IX99" s="86">
        <v>7</v>
      </c>
    </row>
    <row r="100" spans="41:258" ht="15" x14ac:dyDescent="0.25">
      <c r="AO100" s="138" t="s">
        <v>304</v>
      </c>
      <c r="AP100" s="86">
        <v>3</v>
      </c>
      <c r="AQ100" s="85" t="s">
        <v>82</v>
      </c>
      <c r="GH100" t="s">
        <v>237</v>
      </c>
      <c r="IN100" s="137" t="s">
        <v>235</v>
      </c>
      <c r="IO100" s="85">
        <f t="shared" si="2"/>
        <v>1</v>
      </c>
      <c r="IW100" s="86" t="s">
        <v>746</v>
      </c>
      <c r="IX100" s="86">
        <v>3</v>
      </c>
    </row>
    <row r="101" spans="41:258" ht="15" x14ac:dyDescent="0.25">
      <c r="AO101" s="138" t="s">
        <v>235</v>
      </c>
      <c r="AP101" s="86">
        <v>2</v>
      </c>
      <c r="AQ101" s="85" t="s">
        <v>82</v>
      </c>
      <c r="IN101" s="137" t="s">
        <v>307</v>
      </c>
      <c r="IO101" s="85">
        <f t="shared" si="2"/>
        <v>2</v>
      </c>
      <c r="IW101" s="86" t="s">
        <v>747</v>
      </c>
      <c r="IX101" s="86">
        <v>3</v>
      </c>
    </row>
    <row r="102" spans="41:258" ht="15" x14ac:dyDescent="0.25">
      <c r="AO102" s="138" t="s">
        <v>307</v>
      </c>
      <c r="AP102" s="86">
        <v>3</v>
      </c>
      <c r="AQ102" s="85" t="s">
        <v>82</v>
      </c>
      <c r="IN102" s="137" t="s">
        <v>201</v>
      </c>
      <c r="IO102" s="85">
        <f t="shared" si="2"/>
        <v>0</v>
      </c>
      <c r="IW102" s="86" t="s">
        <v>748</v>
      </c>
      <c r="IX102" s="86">
        <v>4</v>
      </c>
    </row>
    <row r="103" spans="41:258" ht="15" x14ac:dyDescent="0.25">
      <c r="AO103" s="138" t="s">
        <v>201</v>
      </c>
      <c r="AP103" s="86">
        <v>1</v>
      </c>
      <c r="AQ103" s="85" t="s">
        <v>82</v>
      </c>
      <c r="IN103" s="137" t="s">
        <v>659</v>
      </c>
      <c r="IO103" s="85">
        <f t="shared" si="2"/>
        <v>0</v>
      </c>
      <c r="IW103" s="86" t="s">
        <v>749</v>
      </c>
      <c r="IX103" s="86">
        <v>2</v>
      </c>
    </row>
    <row r="104" spans="41:258" ht="15" x14ac:dyDescent="0.25">
      <c r="AO104" s="138" t="s">
        <v>659</v>
      </c>
      <c r="AP104" s="86">
        <v>2</v>
      </c>
      <c r="AQ104" s="85" t="s">
        <v>82</v>
      </c>
      <c r="IN104" s="85" t="s">
        <v>571</v>
      </c>
      <c r="IO104" s="85">
        <f t="shared" si="2"/>
        <v>0</v>
      </c>
      <c r="IW104" s="86" t="s">
        <v>750</v>
      </c>
      <c r="IX104" s="86">
        <v>3</v>
      </c>
    </row>
    <row r="105" spans="41:258" x14ac:dyDescent="0.2">
      <c r="AO105" s="86" t="s">
        <v>571</v>
      </c>
      <c r="AP105" s="86">
        <v>2</v>
      </c>
      <c r="AQ105" s="85" t="s">
        <v>82</v>
      </c>
      <c r="IN105" s="85" t="s">
        <v>574</v>
      </c>
      <c r="IO105" s="85">
        <f t="shared" si="2"/>
        <v>0</v>
      </c>
      <c r="IW105" s="86" t="s">
        <v>751</v>
      </c>
      <c r="IX105" s="86">
        <v>3</v>
      </c>
    </row>
    <row r="106" spans="41:258" x14ac:dyDescent="0.2">
      <c r="AO106" s="86" t="s">
        <v>574</v>
      </c>
      <c r="AP106" s="86">
        <v>4</v>
      </c>
      <c r="AQ106" s="85" t="s">
        <v>82</v>
      </c>
      <c r="IN106" s="85" t="s">
        <v>576</v>
      </c>
      <c r="IO106" s="85">
        <f t="shared" si="2"/>
        <v>0</v>
      </c>
      <c r="IW106" s="86" t="s">
        <v>752</v>
      </c>
      <c r="IX106" s="86">
        <v>3</v>
      </c>
    </row>
    <row r="107" spans="41:258" ht="15" x14ac:dyDescent="0.25">
      <c r="AO107" s="86" t="s">
        <v>576</v>
      </c>
      <c r="AP107" s="86">
        <v>6</v>
      </c>
      <c r="AQ107" s="85" t="s">
        <v>82</v>
      </c>
      <c r="IN107" s="137" t="s">
        <v>536</v>
      </c>
      <c r="IO107" s="85">
        <f t="shared" si="2"/>
        <v>1</v>
      </c>
      <c r="IW107" s="86" t="s">
        <v>753</v>
      </c>
      <c r="IX107" s="86">
        <v>3</v>
      </c>
    </row>
    <row r="108" spans="41:258" ht="15" x14ac:dyDescent="0.25">
      <c r="AO108" s="138" t="s">
        <v>536</v>
      </c>
      <c r="AP108" s="86">
        <v>2</v>
      </c>
      <c r="AQ108" s="85" t="s">
        <v>82</v>
      </c>
      <c r="IN108" s="137" t="s">
        <v>508</v>
      </c>
      <c r="IO108" s="85">
        <f t="shared" si="2"/>
        <v>1</v>
      </c>
    </row>
    <row r="109" spans="41:258" ht="15" x14ac:dyDescent="0.25">
      <c r="AO109" s="138" t="s">
        <v>508</v>
      </c>
      <c r="AP109" s="86">
        <v>3</v>
      </c>
      <c r="AQ109" s="85" t="s">
        <v>82</v>
      </c>
      <c r="IN109" s="137" t="s">
        <v>509</v>
      </c>
      <c r="IO109" s="85">
        <f t="shared" si="2"/>
        <v>1</v>
      </c>
    </row>
    <row r="110" spans="41:258" ht="15" x14ac:dyDescent="0.25">
      <c r="AO110" s="138" t="s">
        <v>509</v>
      </c>
      <c r="AP110" s="86">
        <v>3</v>
      </c>
      <c r="AQ110" s="85" t="s">
        <v>82</v>
      </c>
      <c r="IN110" s="137" t="s">
        <v>514</v>
      </c>
      <c r="IO110" s="85">
        <f t="shared" si="2"/>
        <v>2</v>
      </c>
    </row>
    <row r="111" spans="41:258" ht="15" x14ac:dyDescent="0.25">
      <c r="AO111" s="138" t="s">
        <v>514</v>
      </c>
      <c r="AP111" s="86">
        <v>4</v>
      </c>
      <c r="AQ111" s="85" t="s">
        <v>82</v>
      </c>
      <c r="IN111" s="137" t="s">
        <v>515</v>
      </c>
      <c r="IO111" s="85">
        <f t="shared" si="2"/>
        <v>2</v>
      </c>
    </row>
    <row r="112" spans="41:258" ht="15" x14ac:dyDescent="0.25">
      <c r="AO112" s="138" t="s">
        <v>515</v>
      </c>
      <c r="AP112" s="86">
        <v>4</v>
      </c>
      <c r="AQ112" s="85" t="s">
        <v>82</v>
      </c>
      <c r="IN112" s="137" t="s">
        <v>538</v>
      </c>
      <c r="IO112" s="85">
        <f t="shared" si="2"/>
        <v>2</v>
      </c>
    </row>
    <row r="113" spans="41:249" ht="15" x14ac:dyDescent="0.25">
      <c r="AO113" s="138" t="s">
        <v>538</v>
      </c>
      <c r="AP113" s="86">
        <v>3</v>
      </c>
      <c r="AQ113" s="85" t="s">
        <v>82</v>
      </c>
      <c r="IN113" s="137" t="s">
        <v>534</v>
      </c>
      <c r="IO113" s="85">
        <f t="shared" si="2"/>
        <v>1</v>
      </c>
    </row>
    <row r="114" spans="41:249" ht="15" x14ac:dyDescent="0.25">
      <c r="AO114" s="138" t="s">
        <v>534</v>
      </c>
      <c r="AP114" s="86">
        <v>2</v>
      </c>
      <c r="AQ114" s="85" t="s">
        <v>82</v>
      </c>
      <c r="IN114" s="137" t="s">
        <v>537</v>
      </c>
      <c r="IO114" s="85">
        <f t="shared" si="2"/>
        <v>2</v>
      </c>
    </row>
    <row r="115" spans="41:249" ht="15" x14ac:dyDescent="0.25">
      <c r="AO115" s="138" t="s">
        <v>537</v>
      </c>
      <c r="AP115" s="86">
        <v>3</v>
      </c>
      <c r="AQ115" s="85" t="s">
        <v>82</v>
      </c>
      <c r="IN115" s="137" t="s">
        <v>299</v>
      </c>
      <c r="IO115" s="85">
        <f t="shared" si="2"/>
        <v>2</v>
      </c>
    </row>
    <row r="116" spans="41:249" ht="15" x14ac:dyDescent="0.25">
      <c r="AO116" s="138" t="s">
        <v>299</v>
      </c>
      <c r="AP116" s="86">
        <v>3</v>
      </c>
      <c r="AQ116" s="85" t="s">
        <v>82</v>
      </c>
      <c r="IN116" t="s">
        <v>705</v>
      </c>
      <c r="IO116" s="122">
        <f t="shared" ref="IO116:IO169" si="3">LEN(IN116)-LEN(SUBSTITUTE(IN116,"T",""))</f>
        <v>0</v>
      </c>
    </row>
    <row r="117" spans="41:249" x14ac:dyDescent="0.2">
      <c r="AO117" s="141" t="s">
        <v>705</v>
      </c>
      <c r="AP117" s="141">
        <v>3</v>
      </c>
      <c r="AQ117" s="85" t="s">
        <v>82</v>
      </c>
      <c r="IN117" t="s">
        <v>706</v>
      </c>
      <c r="IO117" s="122">
        <f t="shared" si="3"/>
        <v>0</v>
      </c>
    </row>
    <row r="118" spans="41:249" x14ac:dyDescent="0.2">
      <c r="AO118" s="141" t="s">
        <v>706</v>
      </c>
      <c r="AP118" s="141">
        <v>3</v>
      </c>
      <c r="AQ118" s="85" t="s">
        <v>82</v>
      </c>
      <c r="IN118" t="s">
        <v>707</v>
      </c>
      <c r="IO118" s="122">
        <f t="shared" si="3"/>
        <v>0</v>
      </c>
    </row>
    <row r="119" spans="41:249" x14ac:dyDescent="0.2">
      <c r="AO119" s="141" t="s">
        <v>707</v>
      </c>
      <c r="AP119" s="141">
        <v>4</v>
      </c>
      <c r="AQ119" s="85" t="s">
        <v>82</v>
      </c>
      <c r="IN119" t="s">
        <v>708</v>
      </c>
      <c r="IO119" s="122">
        <f t="shared" si="3"/>
        <v>1</v>
      </c>
    </row>
    <row r="120" spans="41:249" x14ac:dyDescent="0.2">
      <c r="AO120" s="141" t="s">
        <v>708</v>
      </c>
      <c r="AP120" s="141">
        <v>6</v>
      </c>
      <c r="AQ120" s="85" t="s">
        <v>82</v>
      </c>
      <c r="IN120" t="s">
        <v>709</v>
      </c>
      <c r="IO120" s="122">
        <f t="shared" si="3"/>
        <v>1</v>
      </c>
    </row>
    <row r="121" spans="41:249" x14ac:dyDescent="0.2">
      <c r="AO121" s="141" t="s">
        <v>709</v>
      </c>
      <c r="AP121" s="141">
        <v>4</v>
      </c>
      <c r="AQ121" s="85" t="s">
        <v>82</v>
      </c>
      <c r="IN121" t="s">
        <v>710</v>
      </c>
      <c r="IO121" s="122">
        <f t="shared" si="3"/>
        <v>0</v>
      </c>
    </row>
    <row r="122" spans="41:249" x14ac:dyDescent="0.2">
      <c r="AO122" s="141" t="s">
        <v>710</v>
      </c>
      <c r="AP122" s="141">
        <v>2</v>
      </c>
      <c r="AQ122" s="85" t="s">
        <v>82</v>
      </c>
      <c r="IN122" t="s">
        <v>711</v>
      </c>
      <c r="IO122" s="122">
        <f t="shared" si="3"/>
        <v>0</v>
      </c>
    </row>
    <row r="123" spans="41:249" x14ac:dyDescent="0.2">
      <c r="AO123" s="141" t="s">
        <v>711</v>
      </c>
      <c r="AP123" s="141">
        <v>3</v>
      </c>
      <c r="AQ123" s="85" t="s">
        <v>82</v>
      </c>
      <c r="IN123" t="s">
        <v>712</v>
      </c>
      <c r="IO123" s="122">
        <f t="shared" si="3"/>
        <v>0</v>
      </c>
    </row>
    <row r="124" spans="41:249" x14ac:dyDescent="0.2">
      <c r="AO124" s="141" t="s">
        <v>712</v>
      </c>
      <c r="AP124" s="141">
        <v>3</v>
      </c>
      <c r="AQ124" s="85" t="s">
        <v>82</v>
      </c>
      <c r="IN124" t="s">
        <v>713</v>
      </c>
      <c r="IO124" s="122">
        <f t="shared" si="3"/>
        <v>0</v>
      </c>
    </row>
    <row r="125" spans="41:249" x14ac:dyDescent="0.2">
      <c r="AO125" s="141" t="s">
        <v>713</v>
      </c>
      <c r="AP125" s="141">
        <v>4</v>
      </c>
      <c r="AQ125" s="85" t="s">
        <v>82</v>
      </c>
      <c r="IN125" t="s">
        <v>714</v>
      </c>
      <c r="IO125" s="122">
        <f t="shared" si="3"/>
        <v>0</v>
      </c>
    </row>
    <row r="126" spans="41:249" x14ac:dyDescent="0.2">
      <c r="AO126" s="141" t="s">
        <v>714</v>
      </c>
      <c r="AP126" s="141">
        <v>6</v>
      </c>
      <c r="AQ126" s="85" t="s">
        <v>82</v>
      </c>
      <c r="IN126" t="s">
        <v>715</v>
      </c>
      <c r="IO126" s="122">
        <f t="shared" si="3"/>
        <v>1</v>
      </c>
    </row>
    <row r="127" spans="41:249" x14ac:dyDescent="0.2">
      <c r="AO127" s="141" t="s">
        <v>715</v>
      </c>
      <c r="AP127" s="141">
        <v>8</v>
      </c>
      <c r="AQ127" s="85" t="s">
        <v>82</v>
      </c>
      <c r="IN127" t="s">
        <v>716</v>
      </c>
      <c r="IO127" s="122">
        <f t="shared" si="3"/>
        <v>2</v>
      </c>
    </row>
    <row r="128" spans="41:249" x14ac:dyDescent="0.2">
      <c r="AO128" s="141" t="s">
        <v>716</v>
      </c>
      <c r="AP128" s="141">
        <v>7</v>
      </c>
      <c r="AQ128" s="85" t="s">
        <v>82</v>
      </c>
      <c r="IN128" t="s">
        <v>717</v>
      </c>
      <c r="IO128" s="122">
        <f t="shared" si="3"/>
        <v>0</v>
      </c>
    </row>
    <row r="129" spans="41:249" x14ac:dyDescent="0.2">
      <c r="AO129" s="141" t="s">
        <v>717</v>
      </c>
      <c r="AP129" s="141">
        <v>3</v>
      </c>
      <c r="AQ129" s="85" t="s">
        <v>82</v>
      </c>
      <c r="IN129" t="s">
        <v>718</v>
      </c>
      <c r="IO129" s="122">
        <f t="shared" si="3"/>
        <v>2</v>
      </c>
    </row>
    <row r="130" spans="41:249" x14ac:dyDescent="0.2">
      <c r="AO130" s="141" t="s">
        <v>718</v>
      </c>
      <c r="AP130" s="141">
        <v>4</v>
      </c>
      <c r="AQ130" s="85" t="s">
        <v>82</v>
      </c>
      <c r="IN130" t="s">
        <v>719</v>
      </c>
      <c r="IO130" s="122">
        <f t="shared" si="3"/>
        <v>0</v>
      </c>
    </row>
    <row r="131" spans="41:249" x14ac:dyDescent="0.2">
      <c r="AO131" s="141" t="s">
        <v>719</v>
      </c>
      <c r="AP131" s="141">
        <v>2</v>
      </c>
      <c r="AQ131" s="85" t="s">
        <v>82</v>
      </c>
      <c r="IN131" t="s">
        <v>720</v>
      </c>
      <c r="IO131" s="122">
        <f t="shared" si="3"/>
        <v>0</v>
      </c>
    </row>
    <row r="132" spans="41:249" x14ac:dyDescent="0.2">
      <c r="AO132" s="141" t="s">
        <v>720</v>
      </c>
      <c r="AP132" s="141">
        <v>3</v>
      </c>
      <c r="AQ132" s="85" t="s">
        <v>82</v>
      </c>
      <c r="IN132" t="s">
        <v>721</v>
      </c>
      <c r="IO132" s="122">
        <f t="shared" si="3"/>
        <v>0</v>
      </c>
    </row>
    <row r="133" spans="41:249" x14ac:dyDescent="0.2">
      <c r="AO133" s="141" t="s">
        <v>721</v>
      </c>
      <c r="AP133" s="141">
        <v>3</v>
      </c>
      <c r="AQ133" s="85" t="s">
        <v>82</v>
      </c>
      <c r="IN133" t="s">
        <v>722</v>
      </c>
      <c r="IO133" s="122">
        <f t="shared" si="3"/>
        <v>0</v>
      </c>
    </row>
    <row r="134" spans="41:249" x14ac:dyDescent="0.2">
      <c r="AO134" s="141" t="s">
        <v>722</v>
      </c>
      <c r="AP134" s="141">
        <v>3</v>
      </c>
      <c r="AQ134" s="85" t="s">
        <v>82</v>
      </c>
      <c r="IN134" t="s">
        <v>723</v>
      </c>
      <c r="IO134" s="122">
        <f t="shared" si="3"/>
        <v>0</v>
      </c>
    </row>
    <row r="135" spans="41:249" x14ac:dyDescent="0.2">
      <c r="AO135" s="141" t="s">
        <v>723</v>
      </c>
      <c r="AP135" s="141">
        <v>3</v>
      </c>
      <c r="AQ135" s="85" t="s">
        <v>82</v>
      </c>
      <c r="IN135" t="s">
        <v>699</v>
      </c>
      <c r="IO135" s="122">
        <f t="shared" si="3"/>
        <v>0</v>
      </c>
    </row>
    <row r="136" spans="41:249" x14ac:dyDescent="0.2">
      <c r="AO136" s="141" t="s">
        <v>699</v>
      </c>
      <c r="AP136" s="141">
        <v>4</v>
      </c>
      <c r="AQ136" s="85" t="s">
        <v>82</v>
      </c>
      <c r="IN136" t="s">
        <v>700</v>
      </c>
      <c r="IO136" s="122">
        <f t="shared" si="3"/>
        <v>0</v>
      </c>
    </row>
    <row r="137" spans="41:249" x14ac:dyDescent="0.2">
      <c r="AO137" s="141" t="s">
        <v>700</v>
      </c>
      <c r="AP137" s="141">
        <v>6</v>
      </c>
      <c r="AQ137" s="85" t="s">
        <v>82</v>
      </c>
      <c r="IN137" t="s">
        <v>701</v>
      </c>
      <c r="IO137" s="122">
        <f t="shared" si="3"/>
        <v>0</v>
      </c>
    </row>
    <row r="138" spans="41:249" x14ac:dyDescent="0.2">
      <c r="AO138" s="141" t="s">
        <v>701</v>
      </c>
      <c r="AP138" s="141">
        <v>4</v>
      </c>
      <c r="AQ138" s="85" t="s">
        <v>82</v>
      </c>
      <c r="IN138" t="s">
        <v>702</v>
      </c>
      <c r="IO138" s="122">
        <f t="shared" si="3"/>
        <v>0</v>
      </c>
    </row>
    <row r="139" spans="41:249" x14ac:dyDescent="0.2">
      <c r="AO139" s="141" t="s">
        <v>702</v>
      </c>
      <c r="AP139" s="141">
        <v>8</v>
      </c>
      <c r="AQ139" s="85" t="s">
        <v>82</v>
      </c>
      <c r="IN139" t="s">
        <v>703</v>
      </c>
      <c r="IO139" s="122">
        <f t="shared" si="3"/>
        <v>0</v>
      </c>
    </row>
    <row r="140" spans="41:249" x14ac:dyDescent="0.2">
      <c r="AO140" s="141" t="s">
        <v>703</v>
      </c>
      <c r="AP140" s="141">
        <v>4</v>
      </c>
      <c r="AQ140" s="85" t="s">
        <v>82</v>
      </c>
      <c r="IN140" t="s">
        <v>704</v>
      </c>
      <c r="IO140" s="122">
        <f t="shared" si="3"/>
        <v>0</v>
      </c>
    </row>
    <row r="141" spans="41:249" x14ac:dyDescent="0.2">
      <c r="AO141" s="141" t="s">
        <v>704</v>
      </c>
      <c r="AP141" s="141">
        <v>4</v>
      </c>
      <c r="AQ141" s="85" t="s">
        <v>82</v>
      </c>
      <c r="IN141" s="2" t="s">
        <v>725</v>
      </c>
      <c r="IO141" s="122">
        <f t="shared" si="3"/>
        <v>0</v>
      </c>
    </row>
    <row r="142" spans="41:249" x14ac:dyDescent="0.2">
      <c r="AO142" s="142" t="s">
        <v>725</v>
      </c>
      <c r="AP142" s="142">
        <v>4</v>
      </c>
      <c r="AQ142" s="85" t="s">
        <v>82</v>
      </c>
      <c r="IN142" s="2" t="s">
        <v>726</v>
      </c>
      <c r="IO142" s="122">
        <f t="shared" si="3"/>
        <v>0</v>
      </c>
    </row>
    <row r="143" spans="41:249" x14ac:dyDescent="0.2">
      <c r="AO143" s="142" t="s">
        <v>726</v>
      </c>
      <c r="AP143" s="142">
        <v>6</v>
      </c>
      <c r="AQ143" s="85" t="s">
        <v>82</v>
      </c>
      <c r="IN143" s="2" t="s">
        <v>727</v>
      </c>
      <c r="IO143" s="122">
        <f t="shared" si="3"/>
        <v>0</v>
      </c>
    </row>
    <row r="144" spans="41:249" x14ac:dyDescent="0.2">
      <c r="AO144" s="142" t="s">
        <v>727</v>
      </c>
      <c r="AP144" s="142">
        <v>4</v>
      </c>
      <c r="AQ144" s="85" t="s">
        <v>82</v>
      </c>
      <c r="IN144" s="2" t="s">
        <v>728</v>
      </c>
      <c r="IO144" s="122">
        <f t="shared" si="3"/>
        <v>0</v>
      </c>
    </row>
    <row r="145" spans="41:249" x14ac:dyDescent="0.2">
      <c r="AO145" s="142" t="s">
        <v>728</v>
      </c>
      <c r="AP145" s="142">
        <v>8</v>
      </c>
      <c r="AQ145" s="85" t="s">
        <v>82</v>
      </c>
      <c r="IN145" s="2" t="s">
        <v>729</v>
      </c>
      <c r="IO145" s="122">
        <f t="shared" si="3"/>
        <v>0</v>
      </c>
    </row>
    <row r="146" spans="41:249" x14ac:dyDescent="0.2">
      <c r="AO146" s="142" t="s">
        <v>729</v>
      </c>
      <c r="AP146" s="142">
        <v>4</v>
      </c>
      <c r="AQ146" s="85" t="s">
        <v>82</v>
      </c>
      <c r="IN146" s="2" t="s">
        <v>730</v>
      </c>
      <c r="IO146" s="122">
        <f t="shared" si="3"/>
        <v>0</v>
      </c>
    </row>
    <row r="147" spans="41:249" x14ac:dyDescent="0.2">
      <c r="AO147" s="142" t="s">
        <v>730</v>
      </c>
      <c r="AP147" s="142">
        <v>4</v>
      </c>
      <c r="AQ147" s="85" t="s">
        <v>82</v>
      </c>
      <c r="IN147" s="3" t="s">
        <v>731</v>
      </c>
      <c r="IO147" s="122">
        <f t="shared" si="3"/>
        <v>0</v>
      </c>
    </row>
    <row r="148" spans="41:249" x14ac:dyDescent="0.2">
      <c r="AO148" s="86" t="s">
        <v>731</v>
      </c>
      <c r="AP148" s="86">
        <v>3</v>
      </c>
      <c r="AQ148" s="85" t="s">
        <v>82</v>
      </c>
      <c r="IN148" s="3" t="s">
        <v>732</v>
      </c>
      <c r="IO148" s="122">
        <f t="shared" si="3"/>
        <v>0</v>
      </c>
    </row>
    <row r="149" spans="41:249" x14ac:dyDescent="0.2">
      <c r="AO149" s="86" t="s">
        <v>732</v>
      </c>
      <c r="AP149" s="86">
        <v>3</v>
      </c>
      <c r="AQ149" s="85" t="s">
        <v>82</v>
      </c>
      <c r="IN149" s="3" t="s">
        <v>733</v>
      </c>
      <c r="IO149" s="122">
        <f t="shared" si="3"/>
        <v>0</v>
      </c>
    </row>
    <row r="150" spans="41:249" x14ac:dyDescent="0.2">
      <c r="AO150" s="86" t="s">
        <v>733</v>
      </c>
      <c r="AP150" s="86">
        <v>4</v>
      </c>
      <c r="AQ150" s="85" t="s">
        <v>82</v>
      </c>
      <c r="IN150" s="3" t="s">
        <v>734</v>
      </c>
      <c r="IO150" s="122">
        <f t="shared" si="3"/>
        <v>1</v>
      </c>
    </row>
    <row r="151" spans="41:249" x14ac:dyDescent="0.2">
      <c r="AO151" s="86" t="s">
        <v>734</v>
      </c>
      <c r="AP151" s="86">
        <v>6</v>
      </c>
      <c r="AQ151" s="85" t="s">
        <v>82</v>
      </c>
      <c r="IN151" s="3" t="s">
        <v>735</v>
      </c>
      <c r="IO151" s="122">
        <f t="shared" si="3"/>
        <v>2</v>
      </c>
    </row>
    <row r="152" spans="41:249" x14ac:dyDescent="0.2">
      <c r="AO152" s="86" t="s">
        <v>735</v>
      </c>
      <c r="AP152" s="86">
        <v>4</v>
      </c>
      <c r="AQ152" s="85" t="s">
        <v>82</v>
      </c>
      <c r="IN152" s="3" t="s">
        <v>736</v>
      </c>
      <c r="IO152" s="122">
        <f t="shared" si="3"/>
        <v>1</v>
      </c>
    </row>
    <row r="153" spans="41:249" x14ac:dyDescent="0.2">
      <c r="AO153" s="86" t="s">
        <v>736</v>
      </c>
      <c r="AP153" s="86">
        <v>3</v>
      </c>
      <c r="AQ153" s="85" t="s">
        <v>82</v>
      </c>
      <c r="IN153" s="3" t="s">
        <v>737</v>
      </c>
      <c r="IO153" s="122">
        <f t="shared" si="3"/>
        <v>1</v>
      </c>
    </row>
    <row r="154" spans="41:249" x14ac:dyDescent="0.2">
      <c r="AO154" s="86" t="s">
        <v>737</v>
      </c>
      <c r="AP154" s="86">
        <v>4</v>
      </c>
      <c r="AQ154" s="85" t="s">
        <v>82</v>
      </c>
      <c r="IN154" s="3" t="s">
        <v>738</v>
      </c>
      <c r="IO154" s="122">
        <f t="shared" si="3"/>
        <v>0</v>
      </c>
    </row>
    <row r="155" spans="41:249" x14ac:dyDescent="0.2">
      <c r="AO155" s="86" t="s">
        <v>738</v>
      </c>
      <c r="AP155" s="86">
        <v>2</v>
      </c>
      <c r="AQ155" s="85" t="s">
        <v>82</v>
      </c>
      <c r="IN155" s="3" t="s">
        <v>739</v>
      </c>
      <c r="IO155" s="122">
        <f t="shared" si="3"/>
        <v>0</v>
      </c>
    </row>
    <row r="156" spans="41:249" x14ac:dyDescent="0.2">
      <c r="AO156" s="86" t="s">
        <v>739</v>
      </c>
      <c r="AP156" s="86">
        <v>3</v>
      </c>
      <c r="AQ156" s="85" t="s">
        <v>82</v>
      </c>
      <c r="IN156" s="3" t="s">
        <v>740</v>
      </c>
      <c r="IO156" s="122">
        <f t="shared" si="3"/>
        <v>1</v>
      </c>
    </row>
    <row r="157" spans="41:249" x14ac:dyDescent="0.2">
      <c r="AO157" s="86" t="s">
        <v>740</v>
      </c>
      <c r="AP157" s="86">
        <v>3</v>
      </c>
      <c r="AQ157" s="85" t="s">
        <v>82</v>
      </c>
      <c r="IN157" s="3" t="s">
        <v>741</v>
      </c>
      <c r="IO157" s="122">
        <f t="shared" si="3"/>
        <v>0</v>
      </c>
    </row>
    <row r="158" spans="41:249" x14ac:dyDescent="0.2">
      <c r="AO158" s="86" t="s">
        <v>741</v>
      </c>
      <c r="AP158" s="86">
        <v>3</v>
      </c>
      <c r="AQ158" s="85" t="s">
        <v>82</v>
      </c>
      <c r="IN158" s="3" t="s">
        <v>742</v>
      </c>
      <c r="IO158" s="122">
        <f t="shared" si="3"/>
        <v>0</v>
      </c>
    </row>
    <row r="159" spans="41:249" x14ac:dyDescent="0.2">
      <c r="AO159" s="86" t="s">
        <v>742</v>
      </c>
      <c r="AP159" s="86">
        <v>4</v>
      </c>
      <c r="AQ159" s="85" t="s">
        <v>82</v>
      </c>
      <c r="IN159" s="3" t="s">
        <v>743</v>
      </c>
      <c r="IO159" s="122">
        <f t="shared" si="3"/>
        <v>0</v>
      </c>
    </row>
    <row r="160" spans="41:249" x14ac:dyDescent="0.2">
      <c r="AO160" s="86" t="s">
        <v>743</v>
      </c>
      <c r="AP160" s="86">
        <v>6</v>
      </c>
      <c r="AQ160" s="85" t="s">
        <v>82</v>
      </c>
      <c r="IN160" s="3" t="s">
        <v>744</v>
      </c>
      <c r="IO160" s="122">
        <f t="shared" si="3"/>
        <v>1</v>
      </c>
    </row>
    <row r="161" spans="41:249" x14ac:dyDescent="0.2">
      <c r="AO161" s="86" t="s">
        <v>744</v>
      </c>
      <c r="AP161" s="86">
        <v>8</v>
      </c>
      <c r="AQ161" s="85" t="s">
        <v>82</v>
      </c>
      <c r="IN161" s="3" t="s">
        <v>745</v>
      </c>
      <c r="IO161" s="122">
        <f t="shared" si="3"/>
        <v>2</v>
      </c>
    </row>
    <row r="162" spans="41:249" x14ac:dyDescent="0.2">
      <c r="AO162" s="86" t="s">
        <v>745</v>
      </c>
      <c r="AP162" s="86">
        <v>7</v>
      </c>
      <c r="AQ162" s="85" t="s">
        <v>82</v>
      </c>
      <c r="IN162" s="3" t="s">
        <v>746</v>
      </c>
      <c r="IO162" s="122">
        <f t="shared" si="3"/>
        <v>0</v>
      </c>
    </row>
    <row r="163" spans="41:249" x14ac:dyDescent="0.2">
      <c r="AO163" s="86" t="s">
        <v>746</v>
      </c>
      <c r="AP163" s="86">
        <v>3</v>
      </c>
      <c r="AQ163" s="85" t="s">
        <v>82</v>
      </c>
      <c r="IN163" s="3" t="s">
        <v>747</v>
      </c>
      <c r="IO163" s="122">
        <f t="shared" si="3"/>
        <v>1</v>
      </c>
    </row>
    <row r="164" spans="41:249" x14ac:dyDescent="0.2">
      <c r="AO164" s="86" t="s">
        <v>747</v>
      </c>
      <c r="AP164" s="86">
        <v>3</v>
      </c>
      <c r="AQ164" s="85" t="s">
        <v>82</v>
      </c>
      <c r="IN164" s="3" t="s">
        <v>748</v>
      </c>
      <c r="IO164" s="122">
        <f t="shared" si="3"/>
        <v>2</v>
      </c>
    </row>
    <row r="165" spans="41:249" x14ac:dyDescent="0.2">
      <c r="AO165" s="86" t="s">
        <v>748</v>
      </c>
      <c r="AP165" s="86">
        <v>4</v>
      </c>
      <c r="AQ165" s="85" t="s">
        <v>82</v>
      </c>
      <c r="IN165" s="3" t="s">
        <v>749</v>
      </c>
      <c r="IO165" s="122">
        <f t="shared" si="3"/>
        <v>0</v>
      </c>
    </row>
    <row r="166" spans="41:249" x14ac:dyDescent="0.2">
      <c r="AO166" s="86" t="s">
        <v>749</v>
      </c>
      <c r="AP166" s="86">
        <v>2</v>
      </c>
      <c r="AQ166" s="85" t="s">
        <v>82</v>
      </c>
      <c r="IN166" s="3" t="s">
        <v>750</v>
      </c>
      <c r="IO166" s="122">
        <f t="shared" si="3"/>
        <v>0</v>
      </c>
    </row>
    <row r="167" spans="41:249" x14ac:dyDescent="0.2">
      <c r="AO167" s="86" t="s">
        <v>750</v>
      </c>
      <c r="AP167" s="86">
        <v>3</v>
      </c>
      <c r="AQ167" s="85" t="s">
        <v>82</v>
      </c>
      <c r="IN167" s="3" t="s">
        <v>751</v>
      </c>
      <c r="IO167" s="122">
        <f t="shared" si="3"/>
        <v>0</v>
      </c>
    </row>
    <row r="168" spans="41:249" x14ac:dyDescent="0.2">
      <c r="AO168" s="86" t="s">
        <v>751</v>
      </c>
      <c r="AP168" s="86">
        <v>3</v>
      </c>
      <c r="AQ168" s="85" t="s">
        <v>82</v>
      </c>
      <c r="IN168" s="3" t="s">
        <v>752</v>
      </c>
      <c r="IO168" s="122">
        <f t="shared" si="3"/>
        <v>0</v>
      </c>
    </row>
    <row r="169" spans="41:249" x14ac:dyDescent="0.2">
      <c r="AO169" s="86" t="s">
        <v>752</v>
      </c>
      <c r="AP169" s="86">
        <v>3</v>
      </c>
      <c r="AQ169" s="85" t="s">
        <v>82</v>
      </c>
      <c r="IN169" s="3" t="s">
        <v>753</v>
      </c>
      <c r="IO169" s="122">
        <f t="shared" si="3"/>
        <v>0</v>
      </c>
    </row>
    <row r="170" spans="41:249" x14ac:dyDescent="0.2">
      <c r="AO170" s="86" t="s">
        <v>753</v>
      </c>
      <c r="AP170" s="86">
        <v>3</v>
      </c>
      <c r="AQ170" s="85" t="s">
        <v>82</v>
      </c>
    </row>
    <row r="171" spans="41:249" x14ac:dyDescent="0.2">
      <c r="AO171" s="86" t="s">
        <v>165</v>
      </c>
      <c r="AP171" s="85" t="s">
        <v>165</v>
      </c>
      <c r="AQ171" s="85" t="s">
        <v>82</v>
      </c>
    </row>
  </sheetData>
  <sortState xmlns:xlrd2="http://schemas.microsoft.com/office/spreadsheetml/2017/richdata2" ref="CH2:CH6">
    <sortCondition ref="CH2:CH6"/>
  </sortState>
  <mergeCells count="3">
    <mergeCell ref="GD1:GO1"/>
    <mergeCell ref="GD24:GO24"/>
    <mergeCell ref="GD46:GO46"/>
  </mergeCells>
  <conditionalFormatting sqref="AO3:AO44">
    <cfRule type="duplicateValues" dxfId="10" priority="12"/>
  </conditionalFormatting>
  <conditionalFormatting sqref="AO3:AO79">
    <cfRule type="duplicateValues" dxfId="9" priority="72"/>
  </conditionalFormatting>
  <conditionalFormatting sqref="AO3:AO116">
    <cfRule type="duplicateValues" dxfId="8" priority="74"/>
  </conditionalFormatting>
  <conditionalFormatting sqref="IN2:IN43">
    <cfRule type="duplicateValues" dxfId="7" priority="11"/>
  </conditionalFormatting>
  <conditionalFormatting sqref="IN2:IN78">
    <cfRule type="duplicateValues" dxfId="6" priority="67"/>
  </conditionalFormatting>
  <conditionalFormatting sqref="IN2:IN115">
    <cfRule type="duplicateValues" dxfId="5" priority="69"/>
  </conditionalFormatting>
  <conditionalFormatting sqref="IW2:IW78">
    <cfRule type="duplicateValues" dxfId="4" priority="70"/>
  </conditionalFormatting>
  <conditionalFormatting sqref="JA3:JA15">
    <cfRule type="duplicateValues" dxfId="3" priority="9"/>
  </conditionalFormatting>
  <conditionalFormatting sqref="JC3:JC25">
    <cfRule type="duplicateValues" dxfId="2" priority="8"/>
  </conditionalFormatting>
  <conditionalFormatting sqref="JE3:JE42">
    <cfRule type="duplicateValues" dxfId="1" priority="71"/>
  </conditionalFormatting>
  <conditionalFormatting sqref="KP2:KP24">
    <cfRule type="duplicateValues" dxfId="0" priority="1"/>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153</vt:i4>
      </vt:variant>
    </vt:vector>
  </HeadingPairs>
  <TitlesOfParts>
    <vt:vector size="157" baseType="lpstr">
      <vt:lpstr>Designer Shutters Page 1</vt:lpstr>
      <vt:lpstr>Designer Shutters Page 2</vt:lpstr>
      <vt:lpstr>Designer Shutters Page 3</vt:lpstr>
      <vt:lpstr>Designer Shutter Data</vt:lpstr>
      <vt:lpstr>BottomSlidingBottomWheelFrame</vt:lpstr>
      <vt:lpstr>BottomWheelAdjustable</vt:lpstr>
      <vt:lpstr>DefaultFluffyStrip</vt:lpstr>
      <vt:lpstr>FauxwoodDesignePivotHingedLayoutCodes</vt:lpstr>
      <vt:lpstr>FauxwoodDesignerBiFoldBottomFixedPivotBracketPin</vt:lpstr>
      <vt:lpstr>FauxwoodDesignerBladeSize</vt:lpstr>
      <vt:lpstr>FauxwoodDesignerBottomFrameAngledDecoZFrame</vt:lpstr>
      <vt:lpstr>FauxwoodDesignerBottomFrameBullnoseLargeZFrame</vt:lpstr>
      <vt:lpstr>FauxwoodDesignerBottomFrameBullnoseZFrame</vt:lpstr>
      <vt:lpstr>FauxwoodDesignerBottomFrameCaseFrame</vt:lpstr>
      <vt:lpstr>FauxwoodDesignerBottomFrameClassicDecoZFrame</vt:lpstr>
      <vt:lpstr>FauxwoodDesignerBottomFrameHangingStrip</vt:lpstr>
      <vt:lpstr>FauxwoodDesignerBottomFrameMediumDecoZFrame</vt:lpstr>
      <vt:lpstr>FauxwoodDesignerBottomFrameMediumFaceFitLFrame</vt:lpstr>
      <vt:lpstr>FauxwoodDesignerBottomFrameNoFrame</vt:lpstr>
      <vt:lpstr>FauxwoodDesignerBottomFrameRevealLFrame</vt:lpstr>
      <vt:lpstr>FauxwoodDesignerBottomFrameSillFrame</vt:lpstr>
      <vt:lpstr>FauxwoodDesignerBottomFrameSliding</vt:lpstr>
      <vt:lpstr>FauxwoodDesignerBottomFrameSmallDecoZFrame</vt:lpstr>
      <vt:lpstr>FauxwoodDesignerBottomFrameSmallFaceFitLFrame</vt:lpstr>
      <vt:lpstr>FauxwoodDesignerBottomFrameSquareZFrame</vt:lpstr>
      <vt:lpstr>FauxwoodDesignerBottomFrameTrackBiFold</vt:lpstr>
      <vt:lpstr>FauxwoodDesignerBottomFrameUChannel</vt:lpstr>
      <vt:lpstr>FauxwoodDesignerBottomPivotPinForBiFoldSlidingPanel</vt:lpstr>
      <vt:lpstr>FauxwoodDesignerBumperStop</vt:lpstr>
      <vt:lpstr>FauxwoodDesignerCarrierBracketForBiFoldSlidingPanel</vt:lpstr>
      <vt:lpstr>FauxwoodDesignerColour</vt:lpstr>
      <vt:lpstr>FauxwoodDesignerDoubleHingedLayoutCode</vt:lpstr>
      <vt:lpstr>FauxwoodDesignerEcoNightTiltrod</vt:lpstr>
      <vt:lpstr>FauxwoodDesignerExtras</vt:lpstr>
      <vt:lpstr>FauxwoodDesignerExtrasColour</vt:lpstr>
      <vt:lpstr>FauxwoodDesignerExtrasMaterial</vt:lpstr>
      <vt:lpstr>FauxwoodDesignerFixedFrameType</vt:lpstr>
      <vt:lpstr>FauxwoodDesignerFixedLayoutCode</vt:lpstr>
      <vt:lpstr>FauxwoodDesignerFloorGuide</vt:lpstr>
      <vt:lpstr>FauxwoodDesignerFrameNA</vt:lpstr>
      <vt:lpstr>FauxwoodDesignerFrameType</vt:lpstr>
      <vt:lpstr>FauxwoodDesignerHardware</vt:lpstr>
      <vt:lpstr>FauxwoodDesignerHermanJoints</vt:lpstr>
      <vt:lpstr>FauxwoodDesignerHiddenTiltrod63mm</vt:lpstr>
      <vt:lpstr>FauxwoodDesignerHiddenTiltrod89mm</vt:lpstr>
      <vt:lpstr>FauxwoodDesignerHingeColour</vt:lpstr>
      <vt:lpstr>FauxwoodDesignerHingeColourNA</vt:lpstr>
      <vt:lpstr>FauxwoodDesignerHingedLayoutCode</vt:lpstr>
      <vt:lpstr>FauxwoodDesignerHingePacker</vt:lpstr>
      <vt:lpstr>FauxwoodDesignerHingePin</vt:lpstr>
      <vt:lpstr>FauxwoodDesignerIN</vt:lpstr>
      <vt:lpstr>FauxwoodDesignerLeftRightFrame100mm</vt:lpstr>
      <vt:lpstr>FauxwoodDesignerLeftRightFrame140mm</vt:lpstr>
      <vt:lpstr>FauxwoodDesignerLeftRightFrame180mm</vt:lpstr>
      <vt:lpstr>FauxwoodDesignerLeftRightFrame220mm</vt:lpstr>
      <vt:lpstr>FauxwoodDesignerLeftRightFrameAngledDecoZFrame</vt:lpstr>
      <vt:lpstr>FauxwoodDesignerLeftRightFrameBullnoseLargeZFrame</vt:lpstr>
      <vt:lpstr>FauxwoodDesignerLeftRightFrameBullnoseZFrame</vt:lpstr>
      <vt:lpstr>FauxwoodDesignerLeftRightFrameCaseFrame</vt:lpstr>
      <vt:lpstr>FauxwoodDesignerLeftRightFrameClassicDecoZFrame</vt:lpstr>
      <vt:lpstr>FauxwoodDesignerLeftRightFrameHangingStrip</vt:lpstr>
      <vt:lpstr>FauxwoodDesignerLeftRightFrameMediumDecoZFrame</vt:lpstr>
      <vt:lpstr>FauxwoodDesignerLeftRightFrameMediumFaceFitLFrame</vt:lpstr>
      <vt:lpstr>FauxwoodDesignerLeftRightFrameNoFrame</vt:lpstr>
      <vt:lpstr>FauxwoodDesignerLeftRightFrameRevealLFrame</vt:lpstr>
      <vt:lpstr>FauxwoodDesignerLeftRightFrameSillFrame</vt:lpstr>
      <vt:lpstr>FauxwoodDesignerLeftRightFrameSmallDecoZFrame</vt:lpstr>
      <vt:lpstr>FauxwoodDesignerLeftRightFrameSmallFaceFitLFrame</vt:lpstr>
      <vt:lpstr>FauxwoodDesignerLeftRightFrameSquareZFrame</vt:lpstr>
      <vt:lpstr>FauxwoodDesignerLeftRightFrameUChannel</vt:lpstr>
      <vt:lpstr>FauxwoodDesignerMagnetAndCatch</vt:lpstr>
      <vt:lpstr>FauxwoodDesignerMountingMethod</vt:lpstr>
      <vt:lpstr>FauxwoodDesignerMountingMethodNA</vt:lpstr>
      <vt:lpstr>FauxwoodDesignerMoutingMethodIN</vt:lpstr>
      <vt:lpstr>FauxwoodDesignerMoutingMethodMS</vt:lpstr>
      <vt:lpstr>FauxwoodDesignerMoutingMethodOUT</vt:lpstr>
      <vt:lpstr>FauxwoodDesignerMS</vt:lpstr>
      <vt:lpstr>FauxwoodDesignerMSLayoutCode</vt:lpstr>
      <vt:lpstr>FauxwoodDesignerNightBladeSize</vt:lpstr>
      <vt:lpstr>FauxwoodDesignerNightMoutingMethodIN</vt:lpstr>
      <vt:lpstr>FauxwoodDesignerNightMoutingMethodOUT</vt:lpstr>
      <vt:lpstr>FauxwoodDesignerNightWindowType</vt:lpstr>
      <vt:lpstr>FauxwoodDesignerOUT</vt:lpstr>
      <vt:lpstr>FauxwoodDesignerPivotHingeColour</vt:lpstr>
      <vt:lpstr>FauxwoodDesignerPivotHingedInOut</vt:lpstr>
      <vt:lpstr>FauxwoodDesignerPivotHinges</vt:lpstr>
      <vt:lpstr>FauxwoodDesignerScrew</vt:lpstr>
      <vt:lpstr>FauxwoodDesignerShutterMaterial</vt:lpstr>
      <vt:lpstr>FauxwoodDesignerSliderLBracket</vt:lpstr>
      <vt:lpstr>FauxwoodDesignerSlidingFrameType</vt:lpstr>
      <vt:lpstr>FauxwoodDesignerSlidingLayoutCode</vt:lpstr>
      <vt:lpstr>FauxwoodDesignerSlidingOpenOrClosedDoubleHinged</vt:lpstr>
      <vt:lpstr>FauxwoodDesignerSlidingOpenOrClosedFixed</vt:lpstr>
      <vt:lpstr>FauxwoodDesignerSlidingOpenOrClosedHinged</vt:lpstr>
      <vt:lpstr>FauxwoodDesignerSlidingOpenOrClosedNA</vt:lpstr>
      <vt:lpstr>FauxwoodDesignerSlidingOpenOrClosedPivotHinged</vt:lpstr>
      <vt:lpstr>FauxwoodDesignerSlidingOpenOrClosedSliding</vt:lpstr>
      <vt:lpstr>FauxwoodDesignerSlidingOpenOrClosedTrackBiFold</vt:lpstr>
      <vt:lpstr>FauxwoodDesignerSpecialComments1</vt:lpstr>
      <vt:lpstr>FauxwoodDesignerSpecialComments2</vt:lpstr>
      <vt:lpstr>FauxwoodDesignerSpecialComments3</vt:lpstr>
      <vt:lpstr>FauxwoodDesignerSpringPin</vt:lpstr>
      <vt:lpstr>FauxwoodDesignerStandardHinge</vt:lpstr>
      <vt:lpstr>FauxwoodDesignerTiltrod</vt:lpstr>
      <vt:lpstr>FauxwoodDesignerTiltrodShapesNA</vt:lpstr>
      <vt:lpstr>FauxwoodDesignerTopFrame100mm</vt:lpstr>
      <vt:lpstr>FauxwoodDesignerTopFrame140mm</vt:lpstr>
      <vt:lpstr>FauxwoodDesignerTopFrame180mm</vt:lpstr>
      <vt:lpstr>FauxwoodDesignerTopFrame220mm</vt:lpstr>
      <vt:lpstr>FauxwoodDesignerTopFrameAngledDecoZFrame</vt:lpstr>
      <vt:lpstr>FauxwoodDesignerTopFrameBullnoseLargeZFrame</vt:lpstr>
      <vt:lpstr>FauxwoodDesignerTopFrameBullnoseZFrame</vt:lpstr>
      <vt:lpstr>FauxwoodDesignerTopFrameCaseFrame</vt:lpstr>
      <vt:lpstr>FauxwoodDesignerTopFrameClassicDecoZFrame</vt:lpstr>
      <vt:lpstr>FauxwoodDesignerTopFrameHangingStrip</vt:lpstr>
      <vt:lpstr>FauxwoodDesignerTopFrameMediumDecoZFrame</vt:lpstr>
      <vt:lpstr>FauxwoodDesignerTopFrameMediumFaceFitLFrame</vt:lpstr>
      <vt:lpstr>FauxwoodDesignerTopFrameNoFrame</vt:lpstr>
      <vt:lpstr>FauxwoodDesignerTopFrameRevealLFrame</vt:lpstr>
      <vt:lpstr>FauxwoodDesignerTopFrameSillFrame</vt:lpstr>
      <vt:lpstr>FauxwoodDesignerTopFrameSmallDecoZFrame</vt:lpstr>
      <vt:lpstr>FauxwoodDesignerTopFrameSmallFaceFitLFrame</vt:lpstr>
      <vt:lpstr>FauxwoodDesignerTopFrameSquareZFrame</vt:lpstr>
      <vt:lpstr>FauxwoodDesignerTopFrameUChannel</vt:lpstr>
      <vt:lpstr>FauxwoodDesignerTrackBiFoldFrameType</vt:lpstr>
      <vt:lpstr>FauxwoodDesignerTrackBiFoldLayoutCode</vt:lpstr>
      <vt:lpstr>FauxwoodDesignerWindowType</vt:lpstr>
      <vt:lpstr>FauxwoodDesignerWindowTypeNA</vt:lpstr>
      <vt:lpstr>Fluffy_Strip_Fauxwood</vt:lpstr>
      <vt:lpstr>Fluffy_Stripe_NA</vt:lpstr>
      <vt:lpstr>Luvre_Colour</vt:lpstr>
      <vt:lpstr>LuvreBladeSize</vt:lpstr>
      <vt:lpstr>LuvreTiltrod</vt:lpstr>
      <vt:lpstr>NightFluffyStrip</vt:lpstr>
      <vt:lpstr>Pacific_Sales_Coordinator</vt:lpstr>
      <vt:lpstr>Port</vt:lpstr>
      <vt:lpstr>'Designer Shutters Page 1'!Print_Area</vt:lpstr>
      <vt:lpstr>'Designer Shutters Page 2'!Print_Area</vt:lpstr>
      <vt:lpstr>'Designer Shutters Page 3'!Print_Area</vt:lpstr>
      <vt:lpstr>ShutterEmail</vt:lpstr>
      <vt:lpstr>ShutterPhone</vt:lpstr>
      <vt:lpstr>'Designer Shutters Page 2'!Sliding_System</vt:lpstr>
      <vt:lpstr>'Designer Shutters Page 3'!Sliding_System</vt:lpstr>
      <vt:lpstr>Sliding_System</vt:lpstr>
      <vt:lpstr>SlidingBoth</vt:lpstr>
      <vt:lpstr>SlidingClosed</vt:lpstr>
      <vt:lpstr>'Designer Shutters Page 2'!SlidingSystemNA</vt:lpstr>
      <vt:lpstr>'Designer Shutters Page 3'!SlidingSystemNA</vt:lpstr>
      <vt:lpstr>SlidingSystemNA</vt:lpstr>
      <vt:lpstr>'Designer Shutters Page 2'!StandardStile</vt:lpstr>
      <vt:lpstr>'Designer Shutters Page 3'!StandardStile</vt:lpstr>
      <vt:lpstr>StandardStile</vt:lpstr>
      <vt:lpstr>'Designer Shutters Page 2'!Stile_T_Post</vt:lpstr>
      <vt:lpstr>'Designer Shutters Page 3'!Stile_T_Post</vt:lpstr>
      <vt:lpstr>Stile_T_Post</vt:lpstr>
      <vt:lpstr>TPostQtyNA</vt:lpstr>
      <vt:lpstr>TPostQuantity</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Pacific Wholesale Distributors</dc:creator>
  <cp:lastModifiedBy>Tony Sinke</cp:lastModifiedBy>
  <cp:lastPrinted>2026-06-03T19:45:08Z</cp:lastPrinted>
  <dcterms:created xsi:type="dcterms:W3CDTF">2014-04-22T23:37:42Z</dcterms:created>
  <dcterms:modified xsi:type="dcterms:W3CDTF">2026-06-03T19:45:54Z</dcterms:modified>
</cp:coreProperties>
</file>