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mc:AlternateContent xmlns:mc="http://schemas.openxmlformats.org/markup-compatibility/2006">
    <mc:Choice Requires="x15">
      <x15ac:absPath xmlns:x15ac="http://schemas.microsoft.com/office/spreadsheetml/2010/11/ac" url="C:\Users\Tony Sinke\Desktop\New Order Forms\"/>
    </mc:Choice>
  </mc:AlternateContent>
  <xr:revisionPtr revIDLastSave="0" documentId="13_ncr:1_{AFBF4C42-8607-4EEC-9F20-D4EE52CEF6B9}" xr6:coauthVersionLast="46" xr6:coauthVersionMax="47" xr10:uidLastSave="{00000000-0000-0000-0000-000000000000}"/>
  <workbookProtection workbookAlgorithmName="SHA-512" workbookHashValue="WV/soEQ4NyOhvexjDSpgULhL8vA3DQcl3GR6VK5GO7YZii0Tijt7SC396PuY6DNQM7ueEt02BK5gBC9M+R2jZA==" workbookSaltValue="R+kLXK0zwCzvMvia6d0dIA==" workbookSpinCount="100000" lockStructure="1"/>
  <bookViews>
    <workbookView xWindow="28680" yWindow="-120" windowWidth="38640" windowHeight="21240" firstSheet="2" activeTab="2" xr2:uid="{00000000-000D-0000-FFFF-FFFF00000000}"/>
  </bookViews>
  <sheets>
    <sheet name="Stores &amp; Delivery Addresses " sheetId="7" state="hidden" r:id="rId1"/>
    <sheet name="Summary" sheetId="6" state="hidden" r:id="rId2"/>
    <sheet name="Eco Aluminium External Shutters" sheetId="1" r:id="rId3"/>
    <sheet name="Aluminium Screen" sheetId="5" state="hidden" r:id="rId4"/>
    <sheet name="Data" sheetId="2" state="hidden" r:id="rId5"/>
    <sheet name="Privacy Screen Data" sheetId="3" state="hidden" r:id="rId6"/>
    <sheet name="Calculation Sheet" sheetId="4" state="hidden" r:id="rId7"/>
  </sheets>
  <definedNames>
    <definedName name="_63mm114mmProductInMS">'Eco Aluminium External Shutters'!$AG$9:$AG$10</definedName>
    <definedName name="_63mm114mmProductOut">'Eco Aluminium External Shutters'!$AF$9</definedName>
    <definedName name="_xlnm._FilterDatabase" localSheetId="3" hidden="1">'Aluminium Screen'!$A$9:$Q$45</definedName>
    <definedName name="_xlnm._FilterDatabase" localSheetId="2" hidden="1">'Eco Aluminium External Shutters'!$A$8:$AA$41</definedName>
    <definedName name="AlumimiumExternalLiteColour">'Eco Aluminium External Shutters'!$EA$9:$EA$10</definedName>
    <definedName name="AluminiumBiFoldLayoutCodes">Data!$AM$2:$AM$14</definedName>
    <definedName name="AluminiumColours">Data!$AG$2:$AG$3</definedName>
    <definedName name="AluminiumDoubleHingedLayoutCodes">Data!$AP$2:$AP$9</definedName>
    <definedName name="AluminiumExtraHardwares">'Eco Aluminium External Shutters'!$BB$26:$BB$38</definedName>
    <definedName name="AluminiumExtras">'Eco Aluminium External Shutters'!$BA$26:$BA$47</definedName>
    <definedName name="AluminiumExtrasLimitedColours">'Eco Aluminium External Shutters'!$BD$26:$BD$29</definedName>
    <definedName name="AluminiumFixedLayoutCodes">Data!$AN$2</definedName>
    <definedName name="AluminiumHingedLayoutCodes">Data!$AK$2:$AK$32</definedName>
    <definedName name="AluminiumNALayoutCodes">Data!$AO$2</definedName>
    <definedName name="AluminiumPivotHingedLayoutCodes">Data!$AQ$2:$AQ$5</definedName>
    <definedName name="AluminiumProductAll">'Eco Aluminium External Shutters'!$AI$9:$AI$11</definedName>
    <definedName name="AluminiumProductInOut">'Eco Aluminium External Shutters'!$AJ$9:$AJ$10</definedName>
    <definedName name="AluminiumScreenExtraColourExtraEAngle140mm40mm">'Privacy Screen Data'!$M$2:$M$5</definedName>
    <definedName name="AluminiumScreenExtraColourExtraFAngle240mmx20mm">'Privacy Screen Data'!$N$2:$N$5</definedName>
    <definedName name="AluminiumScreenExtraColourExtraGAngle325mmx20mm">'Privacy Screen Data'!$O$2:$O$5</definedName>
    <definedName name="AluminiumScreenExtraColourExtraHAngle420mmx12mm">'Privacy Screen Data'!$P$2:$P$5</definedName>
    <definedName name="AluminiumScreenExtraColourHFrame65mmx533mm">'Privacy Screen Data'!$L$2:$L$5</definedName>
    <definedName name="AluminiumScreenExtraColourMountingBracket">'Privacy Screen Data'!$J$2:$J$5</definedName>
    <definedName name="AluminiumScreenExtraColourStainlessSteelHinge">'Privacy Screen Data'!$Q$2</definedName>
    <definedName name="AluminiumScreenExtraColourUChannel536mmx30mm">'Privacy Screen Data'!$K$2:$K$5</definedName>
    <definedName name="AluminiumSlidingLayoutCodes">Data!$AL$2:$AL$20</definedName>
    <definedName name="AluminiumSpecialComments">'Eco Aluminium External Shutters'!$BC$26:$BC$32</definedName>
    <definedName name="BiFoldFrames">'Eco Aluminium External Shutters'!$DF$9</definedName>
    <definedName name="BiFoldFramesLeftRight">'Eco Aluminium External Shutters'!$DQ$9:$DQ$11</definedName>
    <definedName name="Colour">'Privacy Screen Data'!$A$2:$A$5</definedName>
    <definedName name="Delivery_Address">'Stores &amp; Delivery Addresses '!$D$3:$D$102</definedName>
    <definedName name="EcoExternalAluminiumColour">'Eco Aluminium External Shutters'!$CK$9:$CK$16</definedName>
    <definedName name="EcoExternalAluminiumColourAll">'Eco Aluminium External Shutters'!$EB$9:$EB$17</definedName>
    <definedName name="ExternalMoutingMethodIN">'Eco Aluminium External Shutters'!$CD$10:$CD$15</definedName>
    <definedName name="ExternalMoutingMethodMS">'Eco Aluminium External Shutters'!$CC$10</definedName>
    <definedName name="ExternalMoutingMethodOUT">'Eco Aluminium External Shutters'!$CE$10:$CE$14</definedName>
    <definedName name="ExternalShapedMountingMethodIn">'Eco Aluminium External Shutters'!$CI$10:$CI$11</definedName>
    <definedName name="ExternalShapedMountingMethodOut">'Eco Aluminium External Shutters'!$CJ$10</definedName>
    <definedName name="ExternalWindowType">'Eco Aluminium External Shutters'!$CA$9:$CA$11</definedName>
    <definedName name="FixedFrames">'Eco Aluminium External Shutters'!$DD$9</definedName>
    <definedName name="FlushBoltBiFoldSlinding">'Eco Aluminium External Shutters'!$AS$9</definedName>
    <definedName name="FlushBoltHinged">'Eco Aluminium External Shutters'!$AR$9:$AR$11</definedName>
    <definedName name="FlushBoltLocationNA">'Eco Aluminium External Shutters'!$AL$7</definedName>
    <definedName name="FlushBoltNA">'Eco Aluminium External Shutters'!$AN$9</definedName>
    <definedName name="FlushBoltYes">'Eco Aluminium External Shutters'!$AM$9:$AM$11</definedName>
    <definedName name="FrameBiFold">Data!$CF$2</definedName>
    <definedName name="FrameFixed">Data!$CG$2</definedName>
    <definedName name="FrameHinged">Data!$CH$2</definedName>
    <definedName name="FrameNA" localSheetId="2">'Eco Aluminium External Shutters'!$DY$9</definedName>
    <definedName name="FrameNA">Data!$CI$2</definedName>
    <definedName name="FrameSliding">Data!$CJ$2</definedName>
    <definedName name="FZFrameLeftRight">'Eco Aluminium External Shutters'!$DM$9:$DM$10</definedName>
    <definedName name="HandleLockYes">'Eco Aluminium External Shutters'!$AN$27:$AN$29</definedName>
    <definedName name="Hardware">Data!$S$2:$S$11</definedName>
    <definedName name="HingeColourBiFold">Data!$BR$2</definedName>
    <definedName name="HingeColourFixed">Data!$BS$2</definedName>
    <definedName name="HingeColourHinged">Data!$BP$2</definedName>
    <definedName name="HingeColourIN">Data!$AT$2</definedName>
    <definedName name="HingeColourMS">Data!$AS$2</definedName>
    <definedName name="HingeColourNA">Data!$BT$2</definedName>
    <definedName name="HingeColourNo">'Eco Aluminium External Shutters'!$CZ$9</definedName>
    <definedName name="HingeColourOUT">Data!$AU$2</definedName>
    <definedName name="HingeColourSliding">Data!$BQ$2</definedName>
    <definedName name="HingeColourYes">'Eco Aluminium External Shutters'!$CY$9:$CY$11</definedName>
    <definedName name="HingedDoubleHingedFrames">'Eco Aluminium External Shutters'!$DC$9:$DC$11</definedName>
    <definedName name="IN">Data!$A$2:$A$5</definedName>
    <definedName name="IN_1">Data!$O$2:$O$4</definedName>
    <definedName name="IN_2">Data!$G$2:$G$3</definedName>
    <definedName name="IN_3">Data!$K$2:$K$9</definedName>
    <definedName name="Item">'Privacy Screen Data'!$D$2:$D$9</definedName>
    <definedName name="KeyLock">'Eco Aluminium External Shutters'!$AZ$27:$AZ$29</definedName>
    <definedName name="Line_Item_Number">'Privacy Screen Data'!$F$2:$F$13</definedName>
    <definedName name="LockBiFold">Data!$BI$2:$BI$4</definedName>
    <definedName name="LockFixed">Data!$BJ$2</definedName>
    <definedName name="LockHinged">Data!$BG$2:$BG$5</definedName>
    <definedName name="LockNA">Data!$BK$2</definedName>
    <definedName name="LockSliding">Data!$BH$2:$BH$4</definedName>
    <definedName name="LourveLock">'Eco Aluminium External Shutters'!$AQ$27:$AQ$28</definedName>
    <definedName name="MS">Data!$C$2</definedName>
    <definedName name="MS_1">Data!$Q$2</definedName>
    <definedName name="MS_2">Data!$I$2</definedName>
    <definedName name="MS_3">Data!$M$2</definedName>
    <definedName name="NoShapes">'Eco Aluminium External Shutters'!$ER$9</definedName>
    <definedName name="OUT">Data!$B$2:$B$5</definedName>
    <definedName name="OUT_1">Data!$P$2:$P$4</definedName>
    <definedName name="OUT_2">Data!$H$2:$H$3</definedName>
    <definedName name="OUT_3">Data!$L$2:$L$9</definedName>
    <definedName name="Pacific_Sales_Coordinator">Data!$AD$3:$AD$6</definedName>
    <definedName name="PanelOnly">'Eco Aluminium External Shutters'!$DR$9</definedName>
    <definedName name="PivotHingedFrames">'Eco Aluminium External Shutters'!$DG$9</definedName>
    <definedName name="_xlnm.Print_Area" localSheetId="3">'Aluminium Screen'!$A$1:$Q$45</definedName>
    <definedName name="_xlnm.Print_Area" localSheetId="2">'Eco Aluminium External Shutters'!$A$1:$AA$41</definedName>
    <definedName name="Quantity">'Privacy Screen Data'!$B$2:$B$11</definedName>
    <definedName name="SecurityLock">'Eco Aluminium External Shutters'!$AS$27:$AS$28</definedName>
    <definedName name="SecurityLockNA">'Eco Aluminium External Shutters'!$AR$27</definedName>
    <definedName name="SecurityLockNo">'Eco Aluminium External Shutters'!$AW$27</definedName>
    <definedName name="SecurityLockYes">'Eco Aluminium External Shutters'!$AV$27:$AV$29</definedName>
    <definedName name="Shaped">'Eco Aluminium External Shutters'!$EQ$9:$EQ$11</definedName>
    <definedName name="SlidingFrames">'Eco Aluminium External Shutters'!$DE$9</definedName>
    <definedName name="SlidingFramesLeftRight">'Eco Aluminium External Shutters'!$DP$9:$DP$10</definedName>
    <definedName name="SlidingTopFrame">'Eco Aluminium External Shutters'!$DU$9</definedName>
    <definedName name="SliidingBottomFrame">'Eco Aluminium External Shutters'!$DV$9</definedName>
    <definedName name="SpecialComments1">Data!$BW$2:$BW$12</definedName>
    <definedName name="SpecialComments2">Data!$BX$2:$BX$12</definedName>
    <definedName name="StainlessSteelHingeOnly">'Eco Aluminium External Shutters'!$DA$9</definedName>
    <definedName name="Store_Name">'Stores &amp; Delivery Addresses '!$B$3:$B$52</definedName>
    <definedName name="THPost">'Eco Aluminium External Shutters'!$BZ$9:$BZ$14</definedName>
    <definedName name="TiltPrivacy">'Eco Aluminium External Shutters'!$EO$9</definedName>
    <definedName name="TiltrodBoth">'Eco Aluminium External Shutters'!$EN$9:$EN$10</definedName>
    <definedName name="TopBottomYes">'Eco Aluminium External Shutters'!$DT$9</definedName>
    <definedName name="UChannelLeftRight">'Eco Aluminium External Shutters'!$DO$9:$DO$11</definedName>
  </definedNames>
  <calcPr calcId="191029"/>
</workbook>
</file>

<file path=xl/calcChain.xml><?xml version="1.0" encoding="utf-8"?>
<calcChain xmlns="http://schemas.openxmlformats.org/spreadsheetml/2006/main">
  <c r="AA11" i="1" l="1"/>
  <c r="AA12" i="1"/>
  <c r="AA13" i="1"/>
  <c r="AA14" i="1"/>
  <c r="AA15" i="1"/>
  <c r="AA16" i="1"/>
  <c r="AA17" i="1"/>
  <c r="AA18" i="1"/>
  <c r="AA19" i="1"/>
  <c r="AA20" i="1"/>
  <c r="AA21" i="1"/>
  <c r="AA22" i="1"/>
  <c r="AO28" i="1"/>
  <c r="AO29" i="1"/>
  <c r="AO30" i="1"/>
  <c r="AO31" i="1"/>
  <c r="AO32" i="1"/>
  <c r="AO33" i="1"/>
  <c r="AO34" i="1"/>
  <c r="AO35" i="1"/>
  <c r="AO36" i="1"/>
  <c r="AO37" i="1"/>
  <c r="AO38" i="1"/>
  <c r="AO39" i="1"/>
  <c r="AO40" i="1"/>
  <c r="AO41" i="1"/>
  <c r="AO27" i="1"/>
  <c r="EY9" i="1"/>
  <c r="EY10" i="1"/>
  <c r="EW10" i="1"/>
  <c r="EX10" i="1"/>
  <c r="FC11" i="1"/>
  <c r="FC12" i="1"/>
  <c r="FC14" i="1"/>
  <c r="FC15" i="1"/>
  <c r="FC16" i="1"/>
  <c r="FC17" i="1"/>
  <c r="FC18" i="1"/>
  <c r="FC19" i="1"/>
  <c r="FC20" i="1"/>
  <c r="FC21" i="1"/>
  <c r="FC22" i="1"/>
  <c r="FC23" i="1"/>
  <c r="FC24" i="1"/>
  <c r="FA10" i="1"/>
  <c r="FB10" i="1"/>
  <c r="FA11" i="1"/>
  <c r="FB11" i="1"/>
  <c r="FA12" i="1"/>
  <c r="FB12" i="1"/>
  <c r="FA13" i="1"/>
  <c r="FB13" i="1"/>
  <c r="FA14" i="1"/>
  <c r="FB14" i="1"/>
  <c r="FA15" i="1"/>
  <c r="FB15" i="1"/>
  <c r="FA16" i="1"/>
  <c r="FB16" i="1"/>
  <c r="FA17" i="1"/>
  <c r="FB17" i="1"/>
  <c r="FA18" i="1"/>
  <c r="FB18" i="1"/>
  <c r="FA19" i="1"/>
  <c r="FB19" i="1"/>
  <c r="FA20" i="1"/>
  <c r="FB20" i="1"/>
  <c r="FA21" i="1"/>
  <c r="FB21" i="1"/>
  <c r="FA22" i="1"/>
  <c r="FB22" i="1"/>
  <c r="FA23" i="1"/>
  <c r="FB23" i="1"/>
  <c r="FA24" i="1"/>
  <c r="FB24" i="1"/>
  <c r="FB9" i="1"/>
  <c r="FA9" i="1"/>
  <c r="EY11" i="1"/>
  <c r="EW11" i="1"/>
  <c r="EW9" i="1"/>
  <c r="EX9" i="1"/>
  <c r="EX11" i="1"/>
  <c r="CL17" i="1"/>
  <c r="FC13" i="1" l="1"/>
  <c r="FC10" i="1"/>
  <c r="FC9" i="1"/>
  <c r="ES10" i="1"/>
  <c r="ES11" i="1"/>
  <c r="ES12" i="1"/>
  <c r="ES13" i="1"/>
  <c r="ES14" i="1"/>
  <c r="ES15" i="1"/>
  <c r="ES16" i="1"/>
  <c r="ES17" i="1"/>
  <c r="ES18" i="1"/>
  <c r="ES19" i="1"/>
  <c r="ES20" i="1"/>
  <c r="ES21" i="1"/>
  <c r="ES22" i="1"/>
  <c r="ES23" i="1"/>
  <c r="ES24" i="1"/>
  <c r="ES9" i="1"/>
  <c r="DL13" i="1" l="1"/>
  <c r="DK13" i="1"/>
  <c r="CL16" i="1"/>
  <c r="CL14" i="1"/>
  <c r="CL11" i="1"/>
  <c r="CL10" i="1"/>
  <c r="CL15" i="1"/>
  <c r="CL13" i="1"/>
  <c r="CL12" i="1"/>
  <c r="CL9" i="1"/>
  <c r="BF43" i="1"/>
  <c r="AP28" i="1"/>
  <c r="AP29" i="1"/>
  <c r="AP30" i="1"/>
  <c r="AP31" i="1"/>
  <c r="AP32" i="1"/>
  <c r="AP33" i="1"/>
  <c r="AP34" i="1"/>
  <c r="AP35" i="1"/>
  <c r="AP36" i="1"/>
  <c r="AP37" i="1"/>
  <c r="AP38" i="1"/>
  <c r="AP39" i="1"/>
  <c r="AP40" i="1"/>
  <c r="AP41" i="1"/>
  <c r="AP27" i="1"/>
  <c r="AX28" i="1"/>
  <c r="AX29" i="1"/>
  <c r="AX30" i="1"/>
  <c r="AX31" i="1"/>
  <c r="AX32" i="1"/>
  <c r="AX33" i="1"/>
  <c r="AX34" i="1"/>
  <c r="AX35" i="1"/>
  <c r="AX36" i="1"/>
  <c r="AX37" i="1"/>
  <c r="AX38" i="1"/>
  <c r="AX39" i="1"/>
  <c r="AX40" i="1"/>
  <c r="AX41" i="1"/>
  <c r="AX27" i="1"/>
  <c r="AT28" i="1"/>
  <c r="AT29" i="1"/>
  <c r="AT30" i="1"/>
  <c r="AT31" i="1"/>
  <c r="AT32" i="1"/>
  <c r="AT33" i="1"/>
  <c r="AT34" i="1"/>
  <c r="AT35" i="1"/>
  <c r="AT36" i="1"/>
  <c r="AT37" i="1"/>
  <c r="AT38" i="1"/>
  <c r="AT39" i="1"/>
  <c r="AT40" i="1"/>
  <c r="AT41" i="1"/>
  <c r="AT27" i="1"/>
  <c r="AU27" i="1"/>
  <c r="EP23" i="1" l="1"/>
  <c r="EP24" i="1"/>
  <c r="EP10" i="1"/>
  <c r="EP11" i="1"/>
  <c r="EP12" i="1"/>
  <c r="EP13" i="1"/>
  <c r="EP15" i="1"/>
  <c r="EP17" i="1"/>
  <c r="EP18" i="1"/>
  <c r="EP19" i="1"/>
  <c r="EP20" i="1"/>
  <c r="EP21" i="1"/>
  <c r="EP22" i="1"/>
  <c r="EM11" i="1"/>
  <c r="EP9" i="1" s="1"/>
  <c r="EM10" i="1"/>
  <c r="EP14" i="1" s="1"/>
  <c r="EM9" i="1"/>
  <c r="AH10" i="1"/>
  <c r="AH11" i="1"/>
  <c r="AH12" i="1"/>
  <c r="AH13" i="1"/>
  <c r="AH14" i="1"/>
  <c r="AH15" i="1"/>
  <c r="AH16" i="1"/>
  <c r="AH17" i="1"/>
  <c r="AH18" i="1"/>
  <c r="AH19" i="1"/>
  <c r="AH20" i="1"/>
  <c r="AH21" i="1"/>
  <c r="AH22" i="1"/>
  <c r="AH23" i="1"/>
  <c r="AH9" i="1"/>
  <c r="EI10" i="1"/>
  <c r="EI11" i="1"/>
  <c r="EI12" i="1"/>
  <c r="EI13" i="1"/>
  <c r="EJ13" i="1" s="1"/>
  <c r="EI14" i="1"/>
  <c r="EI15" i="1"/>
  <c r="EJ15" i="1" s="1"/>
  <c r="EI16" i="1"/>
  <c r="EJ16" i="1" s="1"/>
  <c r="EI17" i="1"/>
  <c r="EJ17" i="1" s="1"/>
  <c r="EI18" i="1"/>
  <c r="EJ18" i="1" s="1"/>
  <c r="EI19" i="1"/>
  <c r="EJ19" i="1" s="1"/>
  <c r="EI20" i="1"/>
  <c r="EJ20" i="1" s="1"/>
  <c r="EI21" i="1"/>
  <c r="EJ21" i="1" s="1"/>
  <c r="EI22" i="1"/>
  <c r="EJ22" i="1" s="1"/>
  <c r="EI23" i="1"/>
  <c r="EJ23" i="1" s="1"/>
  <c r="EI24" i="1"/>
  <c r="EJ24" i="1" s="1"/>
  <c r="EI9" i="1"/>
  <c r="EH10" i="1"/>
  <c r="EH11" i="1"/>
  <c r="EH12" i="1"/>
  <c r="EH13" i="1"/>
  <c r="EH14" i="1"/>
  <c r="EH9" i="1"/>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45" i="2"/>
  <c r="BB46" i="2"/>
  <c r="BB47" i="2"/>
  <c r="BB48" i="2"/>
  <c r="BB49" i="2"/>
  <c r="BB50" i="2"/>
  <c r="BB51" i="2"/>
  <c r="BB52" i="2"/>
  <c r="BB53"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3" i="2"/>
  <c r="EJ10" i="1" l="1"/>
  <c r="EP16" i="1"/>
  <c r="EJ14" i="1"/>
  <c r="EJ9" i="1"/>
  <c r="EJ12" i="1"/>
  <c r="EJ11" i="1"/>
  <c r="BG28" i="1"/>
  <c r="BG29" i="1"/>
  <c r="BG30" i="1"/>
  <c r="BG31" i="1"/>
  <c r="BG32" i="1"/>
  <c r="BG33" i="1"/>
  <c r="BG34" i="1"/>
  <c r="BG35" i="1"/>
  <c r="BG36" i="1"/>
  <c r="BG37" i="1"/>
  <c r="BG38" i="1"/>
  <c r="BG39" i="1"/>
  <c r="BG40" i="1"/>
  <c r="BG41" i="1"/>
  <c r="BG27" i="1"/>
  <c r="BF44" i="1"/>
  <c r="BF47" i="1"/>
  <c r="BF46" i="1"/>
  <c r="BF45" i="1"/>
  <c r="BF42" i="1"/>
  <c r="BF41" i="1"/>
  <c r="BF40" i="1"/>
  <c r="BF39" i="1"/>
  <c r="BF38" i="1"/>
  <c r="BF35" i="1"/>
  <c r="BF32" i="1"/>
  <c r="BF37" i="1"/>
  <c r="BF36" i="1"/>
  <c r="BF34" i="1"/>
  <c r="BF33" i="1"/>
  <c r="BF31" i="1"/>
  <c r="BF30" i="1"/>
  <c r="BF29" i="1"/>
  <c r="BF28" i="1"/>
  <c r="BF27" i="1"/>
  <c r="BF26" i="1"/>
  <c r="AZ10" i="1"/>
  <c r="AZ11" i="1"/>
  <c r="AZ12" i="1"/>
  <c r="AZ13" i="1"/>
  <c r="AZ14" i="1"/>
  <c r="AZ15" i="1"/>
  <c r="AZ16" i="1"/>
  <c r="AZ17" i="1"/>
  <c r="AZ18" i="1"/>
  <c r="AZ19" i="1"/>
  <c r="AZ20" i="1"/>
  <c r="AZ21" i="1"/>
  <c r="AZ22" i="1"/>
  <c r="AZ23" i="1"/>
  <c r="DZ10" i="1"/>
  <c r="DZ11" i="1"/>
  <c r="DZ12" i="1"/>
  <c r="DZ13" i="1"/>
  <c r="DZ14" i="1"/>
  <c r="DZ15" i="1"/>
  <c r="DZ16" i="1"/>
  <c r="DZ17" i="1"/>
  <c r="DZ18" i="1"/>
  <c r="DZ19" i="1"/>
  <c r="DZ20" i="1"/>
  <c r="DZ21" i="1"/>
  <c r="DZ22" i="1"/>
  <c r="DZ23" i="1"/>
  <c r="DZ24" i="1"/>
  <c r="DZ9" i="1"/>
  <c r="AZ9" i="1"/>
  <c r="AQ13" i="1" l="1"/>
  <c r="AP13" i="1"/>
  <c r="DL15" i="1"/>
  <c r="DK15" i="1"/>
  <c r="DJ15" i="1"/>
  <c r="CX14" i="1"/>
  <c r="CW14" i="1"/>
  <c r="AT11" i="1"/>
  <c r="AK11" i="1" s="1"/>
  <c r="AT12" i="1"/>
  <c r="AK12" i="1" s="1"/>
  <c r="AT13" i="1"/>
  <c r="AK13" i="1" s="1"/>
  <c r="AT14" i="1"/>
  <c r="AK14" i="1" s="1"/>
  <c r="AT15" i="1"/>
  <c r="AK15" i="1" s="1"/>
  <c r="AT16" i="1"/>
  <c r="AK16" i="1" s="1"/>
  <c r="AT17" i="1"/>
  <c r="AK17" i="1" s="1"/>
  <c r="AT18" i="1"/>
  <c r="AK18" i="1" s="1"/>
  <c r="AT19" i="1"/>
  <c r="AK19" i="1" s="1"/>
  <c r="AT20" i="1"/>
  <c r="AK20" i="1" s="1"/>
  <c r="AT21" i="1"/>
  <c r="AK21" i="1" s="1"/>
  <c r="AT22" i="1"/>
  <c r="AK22" i="1" s="1"/>
  <c r="AT23" i="1"/>
  <c r="AK23" i="1" s="1"/>
  <c r="AL23" i="1"/>
  <c r="AL11" i="1"/>
  <c r="AL12" i="1"/>
  <c r="AL13" i="1"/>
  <c r="AL14" i="1"/>
  <c r="AL15" i="1"/>
  <c r="AL16" i="1"/>
  <c r="AL17" i="1"/>
  <c r="AL18" i="1"/>
  <c r="AL19" i="1"/>
  <c r="AL20" i="1"/>
  <c r="AL21" i="1"/>
  <c r="AL22" i="1"/>
  <c r="AP14" i="1"/>
  <c r="AP12" i="1"/>
  <c r="AP11" i="1"/>
  <c r="AL9" i="1" s="1"/>
  <c r="AP10" i="1"/>
  <c r="AL10" i="1" s="1"/>
  <c r="AP9" i="1"/>
  <c r="AP8" i="1"/>
  <c r="AQ14" i="1"/>
  <c r="AQ12" i="1"/>
  <c r="AQ11" i="1"/>
  <c r="AQ10" i="1"/>
  <c r="AT10" i="1" s="1"/>
  <c r="AK10" i="1" s="1"/>
  <c r="AU28" i="1"/>
  <c r="AU29" i="1"/>
  <c r="AU30" i="1"/>
  <c r="AU31" i="1"/>
  <c r="AU32" i="1"/>
  <c r="AU33" i="1"/>
  <c r="AU34" i="1"/>
  <c r="AU35" i="1"/>
  <c r="AU36" i="1"/>
  <c r="AU37" i="1"/>
  <c r="AU38" i="1"/>
  <c r="AU39" i="1"/>
  <c r="AU40" i="1"/>
  <c r="AU41" i="1"/>
  <c r="DL16" i="1"/>
  <c r="DX9" i="1" s="1"/>
  <c r="DK16" i="1"/>
  <c r="DW24" i="1"/>
  <c r="DX24" i="1"/>
  <c r="DW10" i="1"/>
  <c r="DX10" i="1"/>
  <c r="DW11" i="1"/>
  <c r="DX11" i="1"/>
  <c r="DW12" i="1"/>
  <c r="DX12" i="1"/>
  <c r="DW13" i="1"/>
  <c r="DX13" i="1"/>
  <c r="DW14" i="1"/>
  <c r="DW15" i="1"/>
  <c r="DX15" i="1"/>
  <c r="DW16" i="1"/>
  <c r="DX16" i="1"/>
  <c r="DW17" i="1"/>
  <c r="DX17" i="1"/>
  <c r="DW18" i="1"/>
  <c r="DX18" i="1"/>
  <c r="DW19" i="1"/>
  <c r="DX19" i="1"/>
  <c r="DW20" i="1"/>
  <c r="DX20" i="1"/>
  <c r="DW21" i="1"/>
  <c r="DX21" i="1"/>
  <c r="DW22" i="1"/>
  <c r="DX22" i="1"/>
  <c r="DW23" i="1"/>
  <c r="DX23" i="1"/>
  <c r="DL14" i="1"/>
  <c r="DK14" i="1"/>
  <c r="DL12" i="1"/>
  <c r="DX14" i="1" s="1"/>
  <c r="DL11" i="1"/>
  <c r="DL10" i="1"/>
  <c r="DL9" i="1"/>
  <c r="DK12" i="1"/>
  <c r="DK11" i="1"/>
  <c r="DK10" i="1"/>
  <c r="DK9" i="1"/>
  <c r="DS10" i="1"/>
  <c r="DS11" i="1"/>
  <c r="DS12" i="1"/>
  <c r="DS13" i="1"/>
  <c r="DS14" i="1"/>
  <c r="DS15" i="1"/>
  <c r="DS16" i="1"/>
  <c r="DS17" i="1"/>
  <c r="DS18" i="1"/>
  <c r="DS19" i="1"/>
  <c r="DS20" i="1"/>
  <c r="DS21" i="1"/>
  <c r="DS22" i="1"/>
  <c r="DS23" i="1"/>
  <c r="DJ16" i="1"/>
  <c r="DJ14" i="1"/>
  <c r="DJ13" i="1"/>
  <c r="DJ12" i="1"/>
  <c r="DJ11" i="1"/>
  <c r="DJ10" i="1"/>
  <c r="DJ9" i="1"/>
  <c r="DH11" i="1"/>
  <c r="DH12" i="1"/>
  <c r="DH13" i="1"/>
  <c r="DH15" i="1"/>
  <c r="DH16" i="1"/>
  <c r="DH17" i="1"/>
  <c r="DH18" i="1"/>
  <c r="DH19" i="1"/>
  <c r="DH20" i="1"/>
  <c r="DH21" i="1"/>
  <c r="DH22" i="1"/>
  <c r="DH23" i="1"/>
  <c r="DH24" i="1"/>
  <c r="CX10" i="1"/>
  <c r="DH14" i="1" s="1"/>
  <c r="CX15" i="1"/>
  <c r="CX13" i="1"/>
  <c r="CX12" i="1"/>
  <c r="DH9" i="1" s="1"/>
  <c r="CX11" i="1"/>
  <c r="DH10" i="1" s="1"/>
  <c r="CX9" i="1"/>
  <c r="DB11" i="1"/>
  <c r="DB12" i="1"/>
  <c r="DB13" i="1"/>
  <c r="DB15" i="1"/>
  <c r="DB16" i="1"/>
  <c r="DB17" i="1"/>
  <c r="DB18" i="1"/>
  <c r="DB19" i="1"/>
  <c r="DB20" i="1"/>
  <c r="DB21" i="1"/>
  <c r="DB22" i="1"/>
  <c r="DB23" i="1"/>
  <c r="DB24" i="1"/>
  <c r="CW10" i="1"/>
  <c r="DB14" i="1" s="1"/>
  <c r="CW11" i="1"/>
  <c r="DB10" i="1" s="1"/>
  <c r="CW12" i="1"/>
  <c r="CW13" i="1"/>
  <c r="CW15" i="1"/>
  <c r="CW9" i="1"/>
  <c r="CR10" i="1"/>
  <c r="CS10" i="1"/>
  <c r="CR11" i="1"/>
  <c r="CS11" i="1"/>
  <c r="CR12" i="1"/>
  <c r="CS12" i="1"/>
  <c r="CR13" i="1"/>
  <c r="CS13" i="1"/>
  <c r="CR14" i="1"/>
  <c r="CS14" i="1"/>
  <c r="CR15" i="1"/>
  <c r="CS15" i="1"/>
  <c r="CR16" i="1"/>
  <c r="CS16" i="1"/>
  <c r="CR17" i="1"/>
  <c r="CS17" i="1"/>
  <c r="CR18" i="1"/>
  <c r="CS18" i="1"/>
  <c r="CR19" i="1"/>
  <c r="CS19" i="1"/>
  <c r="CR20" i="1"/>
  <c r="CS20" i="1"/>
  <c r="CR21" i="1"/>
  <c r="CS21" i="1"/>
  <c r="CR22" i="1"/>
  <c r="CS22" i="1"/>
  <c r="CR23" i="1"/>
  <c r="CS23" i="1"/>
  <c r="CR24" i="1"/>
  <c r="CS24" i="1"/>
  <c r="CR9" i="1"/>
  <c r="CS9" i="1"/>
  <c r="CN11" i="1"/>
  <c r="CN10" i="1"/>
  <c r="CP9" i="1"/>
  <c r="CO9" i="1"/>
  <c r="CN9" i="1"/>
  <c r="DW9" i="1" l="1"/>
  <c r="DS9" i="1"/>
  <c r="AT9" i="1"/>
  <c r="AK9" i="1" s="1"/>
  <c r="DB9" i="1"/>
  <c r="CT17" i="1"/>
  <c r="CT11" i="1"/>
  <c r="CT21" i="1"/>
  <c r="CT15" i="1"/>
  <c r="CT9" i="1"/>
  <c r="CT22" i="1"/>
  <c r="CT13" i="1"/>
  <c r="CT12" i="1"/>
  <c r="CT24" i="1"/>
  <c r="CT23" i="1"/>
  <c r="CT18" i="1"/>
  <c r="CT16" i="1"/>
  <c r="CT20" i="1"/>
  <c r="CT14" i="1"/>
  <c r="CT19" i="1"/>
  <c r="AU17" i="1"/>
  <c r="AV17" i="1"/>
  <c r="AW17" i="1"/>
  <c r="AX17" i="1"/>
  <c r="AY17" i="1"/>
  <c r="BA17" i="1"/>
  <c r="BB17" i="1"/>
  <c r="BC17" i="1"/>
  <c r="BD17" i="1" s="1"/>
  <c r="BE17" i="1"/>
  <c r="BF17" i="1"/>
  <c r="BG17" i="1"/>
  <c r="BH17" i="1"/>
  <c r="BI17" i="1"/>
  <c r="BJ17" i="1"/>
  <c r="BK17" i="1"/>
  <c r="BL17" i="1"/>
  <c r="BO17" i="1"/>
  <c r="BP17" i="1"/>
  <c r="BS17" i="1" s="1"/>
  <c r="BQ17" i="1"/>
  <c r="BT17" i="1" s="1"/>
  <c r="BR17" i="1"/>
  <c r="BU17" i="1" s="1"/>
  <c r="BY17" i="1"/>
  <c r="AU18" i="1"/>
  <c r="AV18" i="1"/>
  <c r="AW18" i="1"/>
  <c r="AX18" i="1"/>
  <c r="AY18" i="1"/>
  <c r="BA18" i="1"/>
  <c r="BB18" i="1"/>
  <c r="BC18" i="1"/>
  <c r="BD18" i="1" s="1"/>
  <c r="BE18" i="1"/>
  <c r="BF18" i="1"/>
  <c r="BG18" i="1"/>
  <c r="BH18" i="1"/>
  <c r="BI18" i="1"/>
  <c r="BJ18" i="1"/>
  <c r="BK18" i="1"/>
  <c r="BL18" i="1"/>
  <c r="BO18" i="1"/>
  <c r="BP18" i="1"/>
  <c r="BS18" i="1" s="1"/>
  <c r="BQ18" i="1"/>
  <c r="BT18" i="1" s="1"/>
  <c r="BR18" i="1"/>
  <c r="BU18" i="1" s="1"/>
  <c r="BY18" i="1"/>
  <c r="AU19" i="1"/>
  <c r="AV19" i="1"/>
  <c r="AW19" i="1"/>
  <c r="AX19" i="1"/>
  <c r="AY19" i="1"/>
  <c r="BA19" i="1"/>
  <c r="BB19" i="1"/>
  <c r="BC19" i="1"/>
  <c r="BD19" i="1" s="1"/>
  <c r="BE19" i="1"/>
  <c r="BF19" i="1"/>
  <c r="BG19" i="1"/>
  <c r="BH19" i="1"/>
  <c r="BI19" i="1"/>
  <c r="BJ19" i="1"/>
  <c r="BK19" i="1"/>
  <c r="BL19" i="1"/>
  <c r="BO19" i="1"/>
  <c r="BP19" i="1"/>
  <c r="BS19" i="1" s="1"/>
  <c r="BQ19" i="1"/>
  <c r="BT19" i="1" s="1"/>
  <c r="BR19" i="1"/>
  <c r="BU19" i="1" s="1"/>
  <c r="BY19" i="1"/>
  <c r="AU20" i="1"/>
  <c r="AV20" i="1"/>
  <c r="AW20" i="1"/>
  <c r="AX20" i="1"/>
  <c r="AY20" i="1"/>
  <c r="BA20" i="1"/>
  <c r="BB20" i="1"/>
  <c r="BC20" i="1"/>
  <c r="BD20" i="1" s="1"/>
  <c r="BE20" i="1"/>
  <c r="BF20" i="1"/>
  <c r="BG20" i="1"/>
  <c r="BH20" i="1"/>
  <c r="BI20" i="1"/>
  <c r="BJ20" i="1"/>
  <c r="BK20" i="1"/>
  <c r="BL20" i="1"/>
  <c r="BO20" i="1"/>
  <c r="BP20" i="1"/>
  <c r="BS20" i="1" s="1"/>
  <c r="BQ20" i="1"/>
  <c r="BT20" i="1" s="1"/>
  <c r="BR20" i="1"/>
  <c r="BU20" i="1" s="1"/>
  <c r="BY20" i="1"/>
  <c r="AU21" i="1"/>
  <c r="AV21" i="1"/>
  <c r="AW21" i="1"/>
  <c r="AX21" i="1"/>
  <c r="AY21" i="1"/>
  <c r="BA21" i="1"/>
  <c r="BB21" i="1"/>
  <c r="BC21" i="1"/>
  <c r="BD21" i="1" s="1"/>
  <c r="BE21" i="1"/>
  <c r="BF21" i="1"/>
  <c r="BG21" i="1"/>
  <c r="BH21" i="1"/>
  <c r="BI21" i="1"/>
  <c r="BJ21" i="1"/>
  <c r="BK21" i="1"/>
  <c r="BL21" i="1"/>
  <c r="BO21" i="1"/>
  <c r="BP21" i="1"/>
  <c r="BS21" i="1" s="1"/>
  <c r="BQ21" i="1"/>
  <c r="BT21" i="1" s="1"/>
  <c r="BR21" i="1"/>
  <c r="BU21" i="1" s="1"/>
  <c r="BY21" i="1"/>
  <c r="AU22" i="1"/>
  <c r="AV22" i="1"/>
  <c r="AW22" i="1"/>
  <c r="AX22" i="1"/>
  <c r="AY22" i="1"/>
  <c r="BA22" i="1"/>
  <c r="BB22" i="1"/>
  <c r="BC22" i="1"/>
  <c r="BD22" i="1" s="1"/>
  <c r="BE22" i="1"/>
  <c r="BF22" i="1"/>
  <c r="BG22" i="1"/>
  <c r="BH22" i="1"/>
  <c r="BI22" i="1"/>
  <c r="BJ22" i="1"/>
  <c r="BK22" i="1"/>
  <c r="BL22" i="1"/>
  <c r="BO22" i="1"/>
  <c r="BP22" i="1"/>
  <c r="BS22" i="1" s="1"/>
  <c r="BQ22" i="1"/>
  <c r="BT22" i="1" s="1"/>
  <c r="BR22" i="1"/>
  <c r="BU22" i="1" s="1"/>
  <c r="BY22" i="1"/>
  <c r="AU23" i="1"/>
  <c r="AV23" i="1"/>
  <c r="AW23" i="1"/>
  <c r="AX23" i="1"/>
  <c r="AY23" i="1"/>
  <c r="BA23" i="1"/>
  <c r="BB23" i="1"/>
  <c r="BC23" i="1"/>
  <c r="BD23" i="1" s="1"/>
  <c r="BE23" i="1"/>
  <c r="BF23" i="1"/>
  <c r="BG23" i="1"/>
  <c r="BH23" i="1"/>
  <c r="BI23" i="1"/>
  <c r="BJ23" i="1"/>
  <c r="BK23" i="1"/>
  <c r="BL23" i="1"/>
  <c r="BO23" i="1"/>
  <c r="BP23" i="1"/>
  <c r="BS23" i="1" s="1"/>
  <c r="BQ23" i="1"/>
  <c r="BT23" i="1" s="1"/>
  <c r="BR23" i="1"/>
  <c r="BU23" i="1" s="1"/>
  <c r="BY23" i="1"/>
  <c r="CF11" i="1"/>
  <c r="CF12" i="1"/>
  <c r="CF13" i="1"/>
  <c r="CF14" i="1"/>
  <c r="CF15" i="1"/>
  <c r="CF16" i="1"/>
  <c r="CF17" i="1"/>
  <c r="CF18" i="1"/>
  <c r="CF19" i="1"/>
  <c r="CF20" i="1"/>
  <c r="CF21" i="1"/>
  <c r="CF22" i="1"/>
  <c r="CF23" i="1"/>
  <c r="CF9" i="1"/>
  <c r="BV23" i="1" l="1"/>
  <c r="BW23" i="1" s="1"/>
  <c r="BX23" i="1" s="1"/>
  <c r="BV21" i="1"/>
  <c r="BW21" i="1" s="1"/>
  <c r="BX21" i="1" s="1"/>
  <c r="BV19" i="1"/>
  <c r="BW19" i="1" s="1"/>
  <c r="BX19" i="1" s="1"/>
  <c r="BM17" i="1"/>
  <c r="BN17" i="1" s="1"/>
  <c r="BM19" i="1"/>
  <c r="BN19" i="1" s="1"/>
  <c r="BV20" i="1"/>
  <c r="BW20" i="1" s="1"/>
  <c r="BX20" i="1" s="1"/>
  <c r="BV17" i="1"/>
  <c r="BW17" i="1" s="1"/>
  <c r="BX17" i="1" s="1"/>
  <c r="BM23" i="1"/>
  <c r="BN23" i="1" s="1"/>
  <c r="BM21" i="1"/>
  <c r="BN21" i="1" s="1"/>
  <c r="BM20" i="1"/>
  <c r="BN20" i="1" s="1"/>
  <c r="BM22" i="1"/>
  <c r="BN22" i="1" s="1"/>
  <c r="BM18" i="1"/>
  <c r="BN18" i="1" s="1"/>
  <c r="BV22" i="1"/>
  <c r="BW22" i="1" s="1"/>
  <c r="BX22" i="1" s="1"/>
  <c r="BV18" i="1"/>
  <c r="BW18" i="1" s="1"/>
  <c r="BX18" i="1" s="1"/>
  <c r="CP11" i="1" l="1"/>
  <c r="CO11" i="1"/>
  <c r="CT10" i="1" s="1"/>
  <c r="CP10" i="1"/>
  <c r="CO10" i="1"/>
  <c r="CF10" i="1"/>
  <c r="BY10" i="1" l="1"/>
  <c r="BY11" i="1"/>
  <c r="BY12" i="1"/>
  <c r="BY13" i="1"/>
  <c r="BY14" i="1"/>
  <c r="BY15" i="1"/>
  <c r="BY16" i="1"/>
  <c r="BY9" i="1"/>
  <c r="BJ10" i="1"/>
  <c r="BJ11" i="1"/>
  <c r="BJ12" i="1"/>
  <c r="BJ13" i="1"/>
  <c r="BJ14" i="1"/>
  <c r="BJ15" i="1"/>
  <c r="BJ16" i="1"/>
  <c r="BJ9" i="1"/>
  <c r="BO11" i="1"/>
  <c r="BP11" i="1"/>
  <c r="BS11" i="1" s="1"/>
  <c r="BQ11" i="1"/>
  <c r="BT11" i="1" s="1"/>
  <c r="BR11" i="1"/>
  <c r="BU11" i="1" s="1"/>
  <c r="BP10" i="1"/>
  <c r="BS10" i="1" s="1"/>
  <c r="BQ10" i="1"/>
  <c r="BT10" i="1" s="1"/>
  <c r="BR10" i="1"/>
  <c r="BU10" i="1" s="1"/>
  <c r="BP12" i="1"/>
  <c r="BS12" i="1" s="1"/>
  <c r="BQ12" i="1"/>
  <c r="BT12" i="1" s="1"/>
  <c r="BR12" i="1"/>
  <c r="BU12" i="1" s="1"/>
  <c r="BO12" i="1"/>
  <c r="BP13" i="1"/>
  <c r="BS13" i="1" s="1"/>
  <c r="BQ13" i="1"/>
  <c r="BT13" i="1" s="1"/>
  <c r="BR13" i="1"/>
  <c r="BU13" i="1" s="1"/>
  <c r="BP14" i="1"/>
  <c r="BS14" i="1" s="1"/>
  <c r="BQ14" i="1"/>
  <c r="BT14" i="1" s="1"/>
  <c r="BR14" i="1"/>
  <c r="BU14" i="1" s="1"/>
  <c r="BP15" i="1"/>
  <c r="BS15" i="1" s="1"/>
  <c r="BQ15" i="1"/>
  <c r="BT15" i="1" s="1"/>
  <c r="BR15" i="1"/>
  <c r="BU15" i="1" s="1"/>
  <c r="BP16" i="1"/>
  <c r="BS16" i="1" s="1"/>
  <c r="BQ16" i="1"/>
  <c r="BT16" i="1" s="1"/>
  <c r="BR16" i="1"/>
  <c r="BU16" i="1" s="1"/>
  <c r="BP9" i="1"/>
  <c r="BS9" i="1" s="1"/>
  <c r="BQ9" i="1"/>
  <c r="BT9" i="1" s="1"/>
  <c r="BR9" i="1"/>
  <c r="BU9" i="1" s="1"/>
  <c r="BO9" i="1"/>
  <c r="AA9" i="1"/>
  <c r="BO10" i="1"/>
  <c r="BO13" i="1"/>
  <c r="BO14" i="1"/>
  <c r="BO15" i="1"/>
  <c r="BO16" i="1"/>
  <c r="AU10" i="1"/>
  <c r="AU11" i="1"/>
  <c r="AU12" i="1"/>
  <c r="AU13" i="1"/>
  <c r="AU14" i="1"/>
  <c r="AU15" i="1"/>
  <c r="AU16" i="1"/>
  <c r="AU9" i="1"/>
  <c r="BL10" i="1"/>
  <c r="BK10" i="1"/>
  <c r="BL11" i="1"/>
  <c r="BK11" i="1"/>
  <c r="BL12" i="1"/>
  <c r="BK12" i="1"/>
  <c r="BL13" i="1"/>
  <c r="BK13" i="1"/>
  <c r="BL14" i="1"/>
  <c r="BK14" i="1"/>
  <c r="BL15" i="1"/>
  <c r="BK15" i="1"/>
  <c r="BL16" i="1"/>
  <c r="BK16" i="1"/>
  <c r="BL9" i="1"/>
  <c r="BK9" i="1"/>
  <c r="Q4" i="5"/>
  <c r="AL24" i="5"/>
  <c r="AL25" i="5"/>
  <c r="AL26" i="5"/>
  <c r="AL27" i="5"/>
  <c r="AL28" i="5"/>
  <c r="AL29" i="5"/>
  <c r="AL30" i="5"/>
  <c r="AL31" i="5"/>
  <c r="AL32" i="5"/>
  <c r="AL33" i="5"/>
  <c r="AL23" i="5"/>
  <c r="BA10" i="1"/>
  <c r="BA11" i="1"/>
  <c r="BA12" i="1"/>
  <c r="BA13" i="1"/>
  <c r="BA14" i="1"/>
  <c r="BA15" i="1"/>
  <c r="BA16" i="1"/>
  <c r="BA9" i="1"/>
  <c r="BI10" i="1"/>
  <c r="BI11" i="1"/>
  <c r="BI12" i="1"/>
  <c r="BI13" i="1"/>
  <c r="BI14" i="1"/>
  <c r="BI15" i="1"/>
  <c r="BI16" i="1"/>
  <c r="BI9" i="1"/>
  <c r="BH10" i="1"/>
  <c r="BH11" i="1"/>
  <c r="BH12" i="1"/>
  <c r="BH13" i="1"/>
  <c r="BH14" i="1"/>
  <c r="BH15" i="1"/>
  <c r="BH16" i="1"/>
  <c r="BH9" i="1"/>
  <c r="BG10" i="1"/>
  <c r="BG11" i="1"/>
  <c r="BG12" i="1"/>
  <c r="BG13" i="1"/>
  <c r="BG14" i="1"/>
  <c r="BG15" i="1"/>
  <c r="BG16" i="1"/>
  <c r="BG9" i="1"/>
  <c r="BF10" i="1"/>
  <c r="BF11" i="1"/>
  <c r="BF12" i="1"/>
  <c r="BF13" i="1"/>
  <c r="BF14" i="1"/>
  <c r="BF15" i="1"/>
  <c r="BF16" i="1"/>
  <c r="BF9" i="1"/>
  <c r="BE10" i="1"/>
  <c r="BE11" i="1"/>
  <c r="BE12" i="1"/>
  <c r="BE13" i="1"/>
  <c r="BE14" i="1"/>
  <c r="BE15" i="1"/>
  <c r="BE16" i="1"/>
  <c r="BE9" i="1"/>
  <c r="BC10" i="1"/>
  <c r="BD10" i="1" s="1"/>
  <c r="BC11" i="1"/>
  <c r="BD11" i="1" s="1"/>
  <c r="BC12" i="1"/>
  <c r="BD12" i="1" s="1"/>
  <c r="BC13" i="1"/>
  <c r="BD13" i="1" s="1"/>
  <c r="BC14" i="1"/>
  <c r="BD14" i="1" s="1"/>
  <c r="BC15" i="1"/>
  <c r="BD15" i="1" s="1"/>
  <c r="BC16" i="1"/>
  <c r="BD16" i="1" s="1"/>
  <c r="BB10" i="1"/>
  <c r="BB11" i="1"/>
  <c r="BB12" i="1"/>
  <c r="BB13" i="1"/>
  <c r="BB14" i="1"/>
  <c r="BB15" i="1"/>
  <c r="BB16" i="1"/>
  <c r="BC9" i="1"/>
  <c r="BD9" i="1" s="1"/>
  <c r="BB9" i="1"/>
  <c r="AA4" i="1"/>
  <c r="J5" i="5"/>
  <c r="J4" i="5"/>
  <c r="J3" i="5"/>
  <c r="J2" i="5"/>
  <c r="J1" i="5"/>
  <c r="D16" i="6"/>
  <c r="D15" i="6"/>
  <c r="Q10" i="5"/>
  <c r="Q11" i="5"/>
  <c r="Q12" i="5"/>
  <c r="Q13" i="5"/>
  <c r="Q14" i="5"/>
  <c r="Q15" i="5"/>
  <c r="Q16" i="5"/>
  <c r="Q17" i="5"/>
  <c r="Q18" i="5"/>
  <c r="Q19" i="5"/>
  <c r="Q20" i="5"/>
  <c r="B2" i="4"/>
  <c r="AB11" i="4" s="1"/>
  <c r="C2" i="4"/>
  <c r="D2" i="4"/>
  <c r="E2" i="4"/>
  <c r="F2" i="4"/>
  <c r="G2" i="4"/>
  <c r="H2" i="4"/>
  <c r="I2" i="4"/>
  <c r="J2" i="4"/>
  <c r="K2" i="4"/>
  <c r="L2" i="4"/>
  <c r="Z3" i="4"/>
  <c r="Z4" i="4"/>
  <c r="T5" i="4"/>
  <c r="Z5" i="4"/>
  <c r="AA5" i="4" s="1"/>
  <c r="Z6" i="4"/>
  <c r="AA6" i="4" s="1"/>
  <c r="Z7" i="4"/>
  <c r="AA7" i="4" s="1"/>
  <c r="Z8" i="4"/>
  <c r="AA8" i="4" s="1"/>
  <c r="T10" i="4"/>
  <c r="P9" i="4" s="1"/>
  <c r="P22" i="4"/>
  <c r="P30" i="4"/>
  <c r="AY10" i="1"/>
  <c r="AY11" i="1"/>
  <c r="AY12" i="1"/>
  <c r="AY13" i="1"/>
  <c r="AY14" i="1"/>
  <c r="AY15" i="1"/>
  <c r="AY16" i="1"/>
  <c r="AY9" i="1"/>
  <c r="AX10" i="1"/>
  <c r="AX11" i="1"/>
  <c r="AX12" i="1"/>
  <c r="AX13" i="1"/>
  <c r="AX14" i="1"/>
  <c r="AX15" i="1"/>
  <c r="AX16" i="1"/>
  <c r="AX9" i="1"/>
  <c r="AV10" i="1"/>
  <c r="AW10" i="1"/>
  <c r="AV11" i="1"/>
  <c r="AW11" i="1"/>
  <c r="AV12" i="1"/>
  <c r="AW12" i="1"/>
  <c r="AV13" i="1"/>
  <c r="AW13" i="1"/>
  <c r="AV14" i="1"/>
  <c r="AW14" i="1"/>
  <c r="AV15" i="1"/>
  <c r="AW15" i="1"/>
  <c r="AV16" i="1"/>
  <c r="AW16" i="1"/>
  <c r="AW9" i="1"/>
  <c r="AV9" i="1"/>
  <c r="AA10" i="1"/>
  <c r="AA23" i="1"/>
  <c r="P31" i="4"/>
  <c r="P19" i="4"/>
  <c r="P14" i="4"/>
  <c r="P13" i="4"/>
  <c r="P6" i="4"/>
  <c r="BM12" i="1" l="1"/>
  <c r="BN12" i="1" s="1"/>
  <c r="BM15" i="1"/>
  <c r="BN15" i="1" s="1"/>
  <c r="BM16" i="1"/>
  <c r="BN16" i="1" s="1"/>
  <c r="BM11" i="1"/>
  <c r="BN11" i="1" s="1"/>
  <c r="P23" i="4"/>
  <c r="P17" i="4"/>
  <c r="P27" i="4"/>
  <c r="P4" i="4"/>
  <c r="BM14" i="1"/>
  <c r="BN14" i="1" s="1"/>
  <c r="P5" i="4"/>
  <c r="P11" i="4"/>
  <c r="Q3" i="5"/>
  <c r="P28" i="4"/>
  <c r="P15" i="4"/>
  <c r="P24" i="4"/>
  <c r="BM13" i="1"/>
  <c r="BN13" i="1" s="1"/>
  <c r="BV14" i="1"/>
  <c r="BW14" i="1" s="1"/>
  <c r="BX14" i="1" s="1"/>
  <c r="BV16" i="1"/>
  <c r="BW16" i="1" s="1"/>
  <c r="BX16" i="1" s="1"/>
  <c r="BV15" i="1"/>
  <c r="BW15" i="1" s="1"/>
  <c r="BX15" i="1" s="1"/>
  <c r="BV9" i="1"/>
  <c r="BW9" i="1" s="1"/>
  <c r="BX9" i="1" s="1"/>
  <c r="BV13" i="1"/>
  <c r="BW13" i="1" s="1"/>
  <c r="BX13" i="1" s="1"/>
  <c r="BV11" i="1"/>
  <c r="BW11" i="1" s="1"/>
  <c r="BX11" i="1" s="1"/>
  <c r="P29" i="4"/>
  <c r="P18" i="4"/>
  <c r="BM9" i="1"/>
  <c r="BN9" i="1" s="1"/>
  <c r="BM10" i="1"/>
  <c r="BN10" i="1" s="1"/>
  <c r="AA3" i="1"/>
  <c r="BV12" i="1"/>
  <c r="BW12" i="1" s="1"/>
  <c r="BX12" i="1" s="1"/>
  <c r="BV10" i="1"/>
  <c r="BW10" i="1" s="1"/>
  <c r="BX10" i="1" s="1"/>
  <c r="P7" i="4"/>
  <c r="P3" i="4"/>
  <c r="L3" i="4" s="1"/>
  <c r="J3" i="4"/>
  <c r="J4" i="4" s="1"/>
  <c r="E18" i="5" s="1"/>
  <c r="P26" i="4"/>
  <c r="P21" i="4"/>
  <c r="P16" i="4"/>
  <c r="P10" i="4"/>
  <c r="P8" i="4"/>
  <c r="P25" i="4"/>
  <c r="P20" i="4"/>
  <c r="P12" i="4"/>
  <c r="C3" i="4" l="1"/>
  <c r="I3" i="4"/>
  <c r="L8" i="4"/>
  <c r="L4" i="4"/>
  <c r="E20" i="5" s="1"/>
  <c r="F3" i="4"/>
  <c r="E3" i="4"/>
  <c r="J8" i="4"/>
  <c r="D3" i="4"/>
  <c r="G3" i="4"/>
  <c r="C8" i="4"/>
  <c r="C4" i="4"/>
  <c r="E11" i="5" s="1"/>
  <c r="I8" i="4"/>
  <c r="I4" i="4"/>
  <c r="E17" i="5" s="1"/>
  <c r="K3" i="4"/>
  <c r="B3" i="4"/>
  <c r="H3" i="4"/>
  <c r="K4" i="4" l="1"/>
  <c r="E19" i="5" s="1"/>
  <c r="K8" i="4"/>
  <c r="C9" i="4"/>
  <c r="C10" i="4" s="1"/>
  <c r="E8" i="4"/>
  <c r="E4" i="4"/>
  <c r="E13" i="5" s="1"/>
  <c r="G8" i="4"/>
  <c r="G4" i="4"/>
  <c r="E15" i="5" s="1"/>
  <c r="F8" i="4"/>
  <c r="F4" i="4"/>
  <c r="E14" i="5" s="1"/>
  <c r="H8" i="4"/>
  <c r="H4" i="4"/>
  <c r="E16" i="5" s="1"/>
  <c r="I9" i="4"/>
  <c r="I10" i="4" s="1"/>
  <c r="D8" i="4"/>
  <c r="D4" i="4"/>
  <c r="E12" i="5" s="1"/>
  <c r="B4" i="4"/>
  <c r="B8" i="4"/>
  <c r="J9" i="4"/>
  <c r="J10" i="4" s="1"/>
  <c r="L9" i="4"/>
  <c r="J15" i="4" l="1"/>
  <c r="J12" i="4"/>
  <c r="C15" i="4"/>
  <c r="C12" i="4"/>
  <c r="J14" i="4"/>
  <c r="J11" i="4"/>
  <c r="F18" i="5" s="1"/>
  <c r="D9" i="4"/>
  <c r="H9" i="4"/>
  <c r="H10" i="4" s="1"/>
  <c r="G9" i="4"/>
  <c r="G10" i="4" s="1"/>
  <c r="C14" i="4"/>
  <c r="C11" i="4"/>
  <c r="F11" i="5" s="1"/>
  <c r="L14" i="4"/>
  <c r="L11" i="4"/>
  <c r="F20" i="5" s="1"/>
  <c r="B9" i="4"/>
  <c r="B10" i="4" s="1"/>
  <c r="I12" i="4"/>
  <c r="I15" i="4"/>
  <c r="K9" i="4"/>
  <c r="K10" i="4" s="1"/>
  <c r="L10" i="4"/>
  <c r="Y3" i="4"/>
  <c r="E10" i="5"/>
  <c r="I14" i="4"/>
  <c r="I11" i="4"/>
  <c r="F17" i="5" s="1"/>
  <c r="F9" i="4"/>
  <c r="F10" i="4" s="1"/>
  <c r="E9" i="4"/>
  <c r="H15" i="4" l="1"/>
  <c r="H12" i="4"/>
  <c r="K12" i="4"/>
  <c r="K15" i="4"/>
  <c r="B12" i="4"/>
  <c r="Z10" i="4"/>
  <c r="AA10" i="4" s="1"/>
  <c r="B15" i="4"/>
  <c r="AA3" i="4"/>
  <c r="AA11" i="4" s="1"/>
  <c r="AC11" i="4" s="1"/>
  <c r="Y4" i="4"/>
  <c r="AA4" i="4" s="1"/>
  <c r="G15" i="4"/>
  <c r="G12" i="4"/>
  <c r="D11" i="4"/>
  <c r="F12" i="5" s="1"/>
  <c r="D14" i="4"/>
  <c r="E11" i="4"/>
  <c r="F13" i="5" s="1"/>
  <c r="E14" i="4"/>
  <c r="L12" i="4"/>
  <c r="L15" i="4"/>
  <c r="G14" i="4"/>
  <c r="G11" i="4"/>
  <c r="F15" i="5" s="1"/>
  <c r="D10" i="4"/>
  <c r="E10" i="4"/>
  <c r="F15" i="4"/>
  <c r="F12" i="4"/>
  <c r="F14" i="4"/>
  <c r="F11" i="4"/>
  <c r="F14" i="5" s="1"/>
  <c r="K11" i="4"/>
  <c r="F19" i="5" s="1"/>
  <c r="K14" i="4"/>
  <c r="Z9" i="4"/>
  <c r="AA9" i="4" s="1"/>
  <c r="B14" i="4"/>
  <c r="B11" i="4"/>
  <c r="F10" i="5" s="1"/>
  <c r="H11" i="4"/>
  <c r="F16" i="5" s="1"/>
  <c r="H14" i="4"/>
  <c r="D15" i="4" l="1"/>
  <c r="D12" i="4"/>
  <c r="E15" i="4"/>
  <c r="E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3" authorId="0" shapeId="0" xr:uid="{00000000-0006-0000-0100-000001000000}">
      <text>
        <r>
          <rPr>
            <sz val="8"/>
            <color indexed="81"/>
            <rFont val="Tahoma"/>
            <family val="2"/>
          </rPr>
          <t>The</t>
        </r>
        <r>
          <rPr>
            <i/>
            <sz val="8"/>
            <color indexed="81"/>
            <rFont val="Tahoma"/>
            <family val="2"/>
          </rPr>
          <t xml:space="preserve"> Store Name</t>
        </r>
        <r>
          <rPr>
            <sz val="8"/>
            <color indexed="81"/>
            <rFont val="Tahoma"/>
            <family val="2"/>
          </rPr>
          <t xml:space="preserve"> List Can Be Populated 
When Entered On 
The</t>
        </r>
        <r>
          <rPr>
            <i/>
            <sz val="8"/>
            <color indexed="81"/>
            <rFont val="Tahoma"/>
            <family val="2"/>
          </rPr>
          <t xml:space="preserve"> Stores &amp; Delivery Addresses</t>
        </r>
        <r>
          <rPr>
            <sz val="8"/>
            <color indexed="81"/>
            <rFont val="Tahoma"/>
            <family val="2"/>
          </rPr>
          <t xml:space="preserve"> Tab.</t>
        </r>
      </text>
    </comment>
    <comment ref="D4" authorId="0" shapeId="0" xr:uid="{00000000-0006-0000-0100-000002000000}">
      <text>
        <r>
          <rPr>
            <sz val="8"/>
            <color indexed="81"/>
            <rFont val="Tahoma"/>
            <family val="2"/>
          </rPr>
          <t xml:space="preserve">The </t>
        </r>
        <r>
          <rPr>
            <i/>
            <sz val="8"/>
            <color indexed="81"/>
            <rFont val="Tahoma"/>
            <family val="2"/>
          </rPr>
          <t>Delivery Address</t>
        </r>
        <r>
          <rPr>
            <sz val="8"/>
            <color indexed="81"/>
            <rFont val="Tahoma"/>
            <family val="2"/>
          </rPr>
          <t xml:space="preserve"> List Can Be Populated 
When Entered On 
The </t>
        </r>
        <r>
          <rPr>
            <i/>
            <sz val="8"/>
            <color indexed="81"/>
            <rFont val="Tahoma"/>
            <family val="2"/>
          </rPr>
          <t>Stores &amp; Delivery Addresses</t>
        </r>
        <r>
          <rPr>
            <sz val="8"/>
            <color indexed="81"/>
            <rFont val="Tahoma"/>
            <family val="2"/>
          </rPr>
          <t xml:space="preserve">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AA1" authorId="0" shapeId="0" xr:uid="{00000000-0006-0000-0200-000001000000}">
      <text>
        <r>
          <rPr>
            <sz val="8"/>
            <color indexed="81"/>
            <rFont val="Tahoma"/>
            <family val="2"/>
          </rPr>
          <t>Please enter the number of Pages 
in this Order.
e.g.  Page: 1 Of 2</t>
        </r>
      </text>
    </comment>
    <comment ref="C8" authorId="0" shapeId="0" xr:uid="{26180F25-AAAE-4DD7-8658-E339A5691C00}">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8" authorId="0" shapeId="0" xr:uid="{F498759E-6608-4620-9182-5132E026B958}">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8" authorId="0" shapeId="0" xr:uid="{4C2C771A-8F0C-49B1-A6F8-D8AD0B568B6F}">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8" authorId="0" shapeId="0" xr:uid="{AEB88B05-D096-453C-BB40-B9252483CAC6}">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8" authorId="0" shapeId="0" xr:uid="{C68081D9-3317-4994-9314-AC50809046BB}">
      <text>
        <r>
          <rPr>
            <sz val="8"/>
            <color indexed="81"/>
            <rFont val="Tahoma"/>
            <family val="2"/>
          </rPr>
          <t>The Blade sizes options are;
Eco Aluminium External Standard &amp; 
Eco Aluminium External Privacy Screen;
63mm
89mm
114mm
Eco Aluminium External Lite;
89mm</t>
        </r>
      </text>
    </comment>
    <comment ref="H8" authorId="0" shapeId="0" xr:uid="{4DDC21A8-8F80-4524-A701-3A0042092D2E}">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8" authorId="0" shapeId="0" xr:uid="{0732D4A1-783A-494F-9393-35AC17D4F7BE}">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8" authorId="0" shapeId="0" xr:uid="{CDE1E712-54B9-4C6C-A5A2-C9A0857B17C8}">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8" authorId="0" shapeId="0" xr:uid="{9A418FEE-2C7C-42D1-B127-15E839F9742B}">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8" authorId="0" shapeId="0" xr:uid="{B404AF73-46AC-4C77-B23B-A55DA959359A}">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8" authorId="0" shapeId="0" xr:uid="{E28249B3-CAB8-4A6A-98B2-8B06EB24C047}">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8" authorId="0" shapeId="0" xr:uid="{EEFF8922-8E83-4D51-B1AB-717F4D563454}">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8" authorId="0" shapeId="0" xr:uid="{73781144-3164-4715-86BF-A5E76D4CE5CD}">
      <text>
        <r>
          <rPr>
            <sz val="8"/>
            <color indexed="81"/>
            <rFont val="Tahoma"/>
            <family val="2"/>
          </rPr>
          <t>The Frame Type is dependant on
 Mounting Method.</t>
        </r>
      </text>
    </comment>
    <comment ref="P8" authorId="0" shapeId="0" xr:uid="{48064879-9094-4A37-9F81-B04381BA3BB9}">
      <text>
        <r>
          <rPr>
            <sz val="8"/>
            <color indexed="81"/>
            <rFont val="Tahoma"/>
            <family val="2"/>
          </rPr>
          <t>Side Boards/Headboards for 
Track Bi Fold or Sliding 
incur an additional charge.</t>
        </r>
      </text>
    </comment>
    <comment ref="Q8" authorId="0" shapeId="0" xr:uid="{19765F14-721D-4358-8B3B-F297016CFB10}">
      <text>
        <r>
          <rPr>
            <sz val="8"/>
            <color indexed="81"/>
            <rFont val="Tahoma"/>
            <family val="2"/>
          </rPr>
          <t>Side Boards/Headboards for 
Track Bi Fold or Sliding 
incur an additional charge.</t>
        </r>
      </text>
    </comment>
    <comment ref="R8" authorId="0" shapeId="0" xr:uid="{E22DDD4B-3E17-4DA6-8F43-70BFEC74F218}">
      <text>
        <r>
          <rPr>
            <sz val="8"/>
            <color indexed="81"/>
            <rFont val="Tahoma"/>
            <family val="2"/>
          </rPr>
          <t>For Sliding, a 
Top Slide Channel 
will be suppplied.
Side Boards/Headboards for 
Track Bi Fold or Sliding 
incur an additional charge.</t>
        </r>
      </text>
    </comment>
    <comment ref="S8" authorId="0" shapeId="0" xr:uid="{41B27770-4E03-4148-85A2-36463EF3CF64}">
      <text>
        <r>
          <rPr>
            <sz val="8"/>
            <color indexed="81"/>
            <rFont val="Tahoma"/>
            <family val="2"/>
          </rPr>
          <t>For Sliding, a 
Bottom Slide Channel 
will be suppplied.
Side Boards/Headboards for 
Track Bi Fold or Sliding 
incur an additional charge.</t>
        </r>
      </text>
    </comment>
    <comment ref="T8" authorId="0" shapeId="0" xr:uid="{24EA761E-2934-4981-B128-3DEB620DA262}">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8" authorId="0" shapeId="0" xr:uid="{8011517A-4DA8-45AC-A528-507DE291FC7A}">
      <text>
        <r>
          <rPr>
            <sz val="8"/>
            <color indexed="81"/>
            <rFont val="Tahoma"/>
            <family val="2"/>
          </rPr>
          <t>The Tiltrod Type 
options are;
For 
Eco Aluminium External Standard
&amp; Eco Aluminium External Lite;
Hidden Back
Hidden Front
For 
Eco Aluminium External Privacy Screen
N/A</t>
        </r>
      </text>
    </comment>
    <comment ref="Y8" authorId="0" shapeId="0" xr:uid="{9BBB5FC5-0007-49F3-85EE-595D61E04966}">
      <text>
        <r>
          <rPr>
            <sz val="8"/>
            <color indexed="81"/>
            <rFont val="Tahoma"/>
            <family val="2"/>
          </rPr>
          <t>The Flush Bolt 
options are;
For Hinged, Pivot Hinged, Sliding &amp; Track Bi Fold;
No
Silver
White
For Fixed;
N/A
For MS;
N/A</t>
        </r>
      </text>
    </comment>
    <comment ref="Z8" authorId="0" shapeId="0" xr:uid="{3F9F54A8-39C8-4C81-BC57-97E343D89092}">
      <text>
        <r>
          <rPr>
            <sz val="8"/>
            <color indexed="81"/>
            <rFont val="Tahoma"/>
            <family val="2"/>
          </rPr>
          <t>The Flush Bolt 
Location options are;
Hinged &amp; Pivot Hinged;
Bottom
Top
Bottom &amp; Top
Sliding &amp; Track Bi Fold;
Bottom</t>
        </r>
      </text>
    </comment>
    <comment ref="C9" authorId="0" shapeId="0" xr:uid="{DEAECF84-AE6A-4ADA-8B94-00E564A86855}">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9" authorId="0" shapeId="0" xr:uid="{E71329C2-F7D3-4D6E-A30C-798D9CAC9EF3}">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9" authorId="0" shapeId="0" xr:uid="{15CC29C9-7AAF-47AE-9378-4529DD4A5673}">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9" authorId="0" shapeId="0" xr:uid="{A7ADC462-AE82-4757-8ACC-823087A70358}">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9" authorId="0" shapeId="0" xr:uid="{1637AD1B-4F1C-4DE4-AC7B-0F347A5AFA8F}">
      <text>
        <r>
          <rPr>
            <sz val="8"/>
            <color indexed="81"/>
            <rFont val="Tahoma"/>
            <family val="2"/>
          </rPr>
          <t>The Blade sizes options are;
Eco Aluminium External Standard &amp; 
Eco Aluminium External Privacy Screen;
63mm
89mm
114mm
Eco Aluminium External Lite;
89mm</t>
        </r>
      </text>
    </comment>
    <comment ref="H9" authorId="0" shapeId="0" xr:uid="{C7654266-3A74-4D97-933C-E53272D77721}">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9" authorId="0" shapeId="0" xr:uid="{E8FD6BD1-DC66-40DA-A22E-7C60A56B3126}">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9" authorId="0" shapeId="0" xr:uid="{31EC93A8-AF3F-4580-A1D2-A6DE4462C029}">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9" authorId="0" shapeId="0" xr:uid="{1ADB5F08-D891-4A99-9F99-F68A397F6AF1}">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9" authorId="0" shapeId="0" xr:uid="{7EF0247D-D6D4-4D62-A253-2A7927AE8787}">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9" authorId="0" shapeId="0" xr:uid="{37A99FE5-D326-4163-B644-0B723E6F6866}">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9" authorId="0" shapeId="0" xr:uid="{698A6C46-E6DE-4BA1-8BBF-C9739C1E7A55}">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9" authorId="0" shapeId="0" xr:uid="{A2A0776E-B53C-4AE6-A2BE-B5DF1CB963CB}">
      <text>
        <r>
          <rPr>
            <sz val="8"/>
            <color indexed="81"/>
            <rFont val="Tahoma"/>
            <family val="2"/>
          </rPr>
          <t>The Frame Type is dependant on
 Mounting Method.</t>
        </r>
      </text>
    </comment>
    <comment ref="P9" authorId="0" shapeId="0" xr:uid="{1CCD2989-3668-48ED-A42E-4723E0507A61}">
      <text>
        <r>
          <rPr>
            <sz val="8"/>
            <color indexed="81"/>
            <rFont val="Tahoma"/>
            <family val="2"/>
          </rPr>
          <t>Side Boards/Headboards for 
Track Bi Fold or Sliding 
incur an additional charge.</t>
        </r>
      </text>
    </comment>
    <comment ref="Q9" authorId="0" shapeId="0" xr:uid="{FF6BE59F-E846-43F4-9822-710263EBE970}">
      <text>
        <r>
          <rPr>
            <sz val="8"/>
            <color indexed="81"/>
            <rFont val="Tahoma"/>
            <family val="2"/>
          </rPr>
          <t>Side Boards/Headboards for 
Track Bi Fold or Sliding 
incur an additional charge.</t>
        </r>
      </text>
    </comment>
    <comment ref="R9" authorId="0" shapeId="0" xr:uid="{6B48EF67-4425-4D74-B4BF-2B6B2637D839}">
      <text>
        <r>
          <rPr>
            <sz val="8"/>
            <color indexed="81"/>
            <rFont val="Tahoma"/>
            <family val="2"/>
          </rPr>
          <t>For Sliding, a 
Top Slide Channel 
will be suppplied.
Side Boards/Headboards for 
Track Bi Fold or Sliding 
incur an additional charge.</t>
        </r>
      </text>
    </comment>
    <comment ref="S9" authorId="0" shapeId="0" xr:uid="{E0D14EC7-AAD9-429F-A1F3-CE9214D74166}">
      <text>
        <r>
          <rPr>
            <sz val="8"/>
            <color indexed="81"/>
            <rFont val="Tahoma"/>
            <family val="2"/>
          </rPr>
          <t>For Sliding, a 
Bottom Slide Channel 
will be suppplied.
Side Boards/Headboards for 
Track Bi Fold or Sliding 
incur an additional charge.</t>
        </r>
      </text>
    </comment>
    <comment ref="T9" authorId="0" shapeId="0" xr:uid="{9658F0AB-9768-4DC0-AE3C-706CDBC13676}">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9" authorId="0" shapeId="0" xr:uid="{7B73986E-8459-4A7F-9CD7-28DC7E679724}">
      <text>
        <r>
          <rPr>
            <sz val="8"/>
            <color indexed="81"/>
            <rFont val="Tahoma"/>
            <family val="2"/>
          </rPr>
          <t>The Tiltrod Type 
options are;
For 
Eco Aluminium External Standard
&amp; Eco Aluminium External Lite;
Hidden Back
Hidden Front
For 
Eco Aluminium External Privacy Screen
N/A</t>
        </r>
      </text>
    </comment>
    <comment ref="Y9" authorId="0" shapeId="0" xr:uid="{FCC3D95C-D479-41D2-A69A-EA5A62F23910}">
      <text>
        <r>
          <rPr>
            <sz val="8"/>
            <color indexed="81"/>
            <rFont val="Tahoma"/>
            <family val="2"/>
          </rPr>
          <t>The Flush Bolt 
options are;
For Hinged, Pivot Hinged, Sliding &amp; Track Bi Fold;
No
Silver
White
For Fixed;
N/A
For MS;
N/A</t>
        </r>
      </text>
    </comment>
    <comment ref="Z9" authorId="0" shapeId="0" xr:uid="{015C9F99-5877-42DA-AF0B-80245375E38F}">
      <text>
        <r>
          <rPr>
            <sz val="8"/>
            <color indexed="81"/>
            <rFont val="Tahoma"/>
            <family val="2"/>
          </rPr>
          <t>The Flush Bolt 
Location options are;
Hinged &amp; Pivot Hinged;
Bottom
Top
Bottom &amp; Top
Sliding &amp; Track Bi Fold;
Bottom</t>
        </r>
      </text>
    </comment>
    <comment ref="C10" authorId="0" shapeId="0" xr:uid="{51D69149-509B-443A-B424-E46EE72CE8E1}">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0" authorId="0" shapeId="0" xr:uid="{1FB67D35-4B5C-4BFE-BD3A-C5A20BD896B4}">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0" authorId="0" shapeId="0" xr:uid="{92519231-D548-4106-8F4C-AD44914B8B65}">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0" authorId="0" shapeId="0" xr:uid="{ED9DADD3-6BB0-4CCA-B757-F856FA5DED79}">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0" authorId="0" shapeId="0" xr:uid="{47F5C9ED-92EF-45D0-8155-394E4BD1346D}">
      <text>
        <r>
          <rPr>
            <sz val="8"/>
            <color indexed="81"/>
            <rFont val="Tahoma"/>
            <family val="2"/>
          </rPr>
          <t>The Blade sizes options are;
Eco Aluminium External Standard &amp; 
Eco Aluminium External Privacy Screen;
63mm
89mm
114mm
Eco Aluminium External Lite;
89mm</t>
        </r>
      </text>
    </comment>
    <comment ref="H10" authorId="0" shapeId="0" xr:uid="{B287C5F3-4AAB-4577-91BA-15123BEB62CC}">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0" authorId="0" shapeId="0" xr:uid="{BC9A9FE9-4720-4843-826E-83389149DD38}">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0" authorId="0" shapeId="0" xr:uid="{AFB56A17-E02D-42D0-B11E-8655CEBCC775}">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0" authorId="0" shapeId="0" xr:uid="{490B1950-8838-45F8-84D9-657783334ACD}">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0" authorId="0" shapeId="0" xr:uid="{58F804EE-67A5-4077-B0C7-8D76F250CD22}">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0" authorId="0" shapeId="0" xr:uid="{3350B7D8-F9D4-4E04-B560-347B9C607E9D}">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0" authorId="0" shapeId="0" xr:uid="{38C341F0-339A-4F20-A6B2-CAEF75D20760}">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0" authorId="0" shapeId="0" xr:uid="{EE667814-8D1C-4F4A-8501-B3D4CDDA780A}">
      <text>
        <r>
          <rPr>
            <sz val="8"/>
            <color indexed="81"/>
            <rFont val="Tahoma"/>
            <family val="2"/>
          </rPr>
          <t>The Frame Type is dependant on
 Mounting Method.</t>
        </r>
      </text>
    </comment>
    <comment ref="P10" authorId="0" shapeId="0" xr:uid="{268C544C-FEA8-49FA-AB96-4A38A8CC9032}">
      <text>
        <r>
          <rPr>
            <sz val="8"/>
            <color indexed="81"/>
            <rFont val="Tahoma"/>
            <family val="2"/>
          </rPr>
          <t>Side Boards/Headboards for 
Track Bi Fold or Sliding 
incur an additional charge.</t>
        </r>
      </text>
    </comment>
    <comment ref="Q10" authorId="0" shapeId="0" xr:uid="{59DF6850-E9E6-4E9E-883C-C4FE9334FD66}">
      <text>
        <r>
          <rPr>
            <sz val="8"/>
            <color indexed="81"/>
            <rFont val="Tahoma"/>
            <family val="2"/>
          </rPr>
          <t>Side Boards/Headboards for 
Track Bi Fold or Sliding 
incur an additional charge.</t>
        </r>
      </text>
    </comment>
    <comment ref="R10" authorId="0" shapeId="0" xr:uid="{7CBBFFB8-3A70-4C54-AE1C-9D14AE5DCB0B}">
      <text>
        <r>
          <rPr>
            <sz val="8"/>
            <color indexed="81"/>
            <rFont val="Tahoma"/>
            <family val="2"/>
          </rPr>
          <t>For Sliding, a 
Top Slide Channel 
will be suppplied.
Side Boards/Headboards for 
Track Bi Fold or Sliding 
incur an additional charge.</t>
        </r>
      </text>
    </comment>
    <comment ref="S10" authorId="0" shapeId="0" xr:uid="{D1B16739-C23E-4DA0-B80C-0FBF0DEBF9EA}">
      <text>
        <r>
          <rPr>
            <sz val="8"/>
            <color indexed="81"/>
            <rFont val="Tahoma"/>
            <family val="2"/>
          </rPr>
          <t>For Sliding, a 
Bottom Slide Channel 
will be suppplied.
Side Boards/Headboards for 
Track Bi Fold or Sliding 
incur an additional charge.</t>
        </r>
      </text>
    </comment>
    <comment ref="T10" authorId="0" shapeId="0" xr:uid="{D4F59C85-39AE-49B2-BA4B-C6686113FAB2}">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0" authorId="0" shapeId="0" xr:uid="{FC728A64-62B9-4077-BE20-512C504BD366}">
      <text>
        <r>
          <rPr>
            <sz val="8"/>
            <color indexed="81"/>
            <rFont val="Tahoma"/>
            <family val="2"/>
          </rPr>
          <t>The Tiltrod Type 
options are;
For 
Eco Aluminium External Standard
&amp; Eco Aluminium External Lite;
Hidden Back
Hidden Front
For 
Eco Aluminium External Privacy Screen
N/A</t>
        </r>
      </text>
    </comment>
    <comment ref="Y10" authorId="0" shapeId="0" xr:uid="{09BD70DD-7098-43E4-9D64-7FA5662DE6C2}">
      <text>
        <r>
          <rPr>
            <sz val="8"/>
            <color indexed="81"/>
            <rFont val="Tahoma"/>
            <family val="2"/>
          </rPr>
          <t>The Flush Bolt 
options are;
For Hinged, Pivot Hinged, Sliding &amp; Track Bi Fold;
No
Silver
White
For Fixed;
N/A
For MS;
N/A</t>
        </r>
      </text>
    </comment>
    <comment ref="Z10" authorId="0" shapeId="0" xr:uid="{031EB872-802F-43DE-BE90-438836D496DD}">
      <text>
        <r>
          <rPr>
            <sz val="8"/>
            <color indexed="81"/>
            <rFont val="Tahoma"/>
            <family val="2"/>
          </rPr>
          <t>The Flush Bolt 
Location options are;
Hinged &amp; Pivot Hinged;
Bottom
Top
Bottom &amp; Top
Sliding &amp; Track Bi Fold;
Bottom</t>
        </r>
      </text>
    </comment>
    <comment ref="C11" authorId="0" shapeId="0" xr:uid="{A4B83EA5-D811-4CD3-B65C-65DC319C4AE1}">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1" authorId="0" shapeId="0" xr:uid="{082DE7E9-4080-4E50-8120-63254E1B9AD9}">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1" authorId="0" shapeId="0" xr:uid="{B7E3A4A1-BA1A-4CCA-940C-47392496386D}">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1" authorId="0" shapeId="0" xr:uid="{C9B0A79E-5A57-4A42-8738-3995BD6E7DE1}">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1" authorId="0" shapeId="0" xr:uid="{7F3BEE76-D533-4A61-B4D9-F5B8E4D69F49}">
      <text>
        <r>
          <rPr>
            <sz val="8"/>
            <color indexed="81"/>
            <rFont val="Tahoma"/>
            <family val="2"/>
          </rPr>
          <t>The Blade sizes options are;
Eco Aluminium External Standard &amp; 
Eco Aluminium External Privacy Screen;
63mm
89mm
114mm
Eco Aluminium External Lite;
89mm</t>
        </r>
      </text>
    </comment>
    <comment ref="H11" authorId="0" shapeId="0" xr:uid="{1D87B8B4-3262-4A34-A0D1-DDFC00CF5FE6}">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1" authorId="0" shapeId="0" xr:uid="{B6CA4104-455B-45D9-96D3-E61364BFC37B}">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1" authorId="0" shapeId="0" xr:uid="{630540CE-14AF-4748-9235-78D7E7FE4AB9}">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1" authorId="0" shapeId="0" xr:uid="{FC702803-BABA-4ECE-9FC6-579F62A02035}">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1" authorId="0" shapeId="0" xr:uid="{901B9ED3-4733-4258-9233-55FE169AC087}">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1" authorId="0" shapeId="0" xr:uid="{3CFDD7F6-5E5C-44A1-8056-428ECE559E9E}">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1" authorId="0" shapeId="0" xr:uid="{7643A2BB-500F-4F9E-A44F-E5B46BDADE2B}">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1" authorId="0" shapeId="0" xr:uid="{7E3D4FA1-0143-457C-B53E-A90F67C1DE10}">
      <text>
        <r>
          <rPr>
            <sz val="8"/>
            <color indexed="81"/>
            <rFont val="Tahoma"/>
            <family val="2"/>
          </rPr>
          <t>The Frame Type is dependant on
 Mounting Method.</t>
        </r>
      </text>
    </comment>
    <comment ref="P11" authorId="0" shapeId="0" xr:uid="{6153BD08-43AB-4211-AFDF-F212A5368615}">
      <text>
        <r>
          <rPr>
            <sz val="8"/>
            <color indexed="81"/>
            <rFont val="Tahoma"/>
            <family val="2"/>
          </rPr>
          <t>Side Boards/Headboards for 
Track Bi Fold or Sliding 
incur an additional charge.</t>
        </r>
      </text>
    </comment>
    <comment ref="Q11" authorId="0" shapeId="0" xr:uid="{1D50A10A-6A9A-4147-B526-D6DEFD2F5A92}">
      <text>
        <r>
          <rPr>
            <sz val="8"/>
            <color indexed="81"/>
            <rFont val="Tahoma"/>
            <family val="2"/>
          </rPr>
          <t>Side Boards/Headboards for 
Track Bi Fold or Sliding 
incur an additional charge.</t>
        </r>
      </text>
    </comment>
    <comment ref="R11" authorId="0" shapeId="0" xr:uid="{14DBDB43-A128-4C14-8781-6CA73282F598}">
      <text>
        <r>
          <rPr>
            <sz val="8"/>
            <color indexed="81"/>
            <rFont val="Tahoma"/>
            <family val="2"/>
          </rPr>
          <t>For Sliding, a 
Top Slide Channel 
will be suppplied.
Side Boards/Headboards for 
Track Bi Fold or Sliding 
incur an additional charge.</t>
        </r>
      </text>
    </comment>
    <comment ref="S11" authorId="0" shapeId="0" xr:uid="{8A47D30C-B5AB-480F-8A5F-7115AACD38D8}">
      <text>
        <r>
          <rPr>
            <sz val="8"/>
            <color indexed="81"/>
            <rFont val="Tahoma"/>
            <family val="2"/>
          </rPr>
          <t>For Sliding, a 
Bottom Slide Channel 
will be suppplied.
Side Boards/Headboards for 
Track Bi Fold or Sliding 
incur an additional charge.</t>
        </r>
      </text>
    </comment>
    <comment ref="T11" authorId="0" shapeId="0" xr:uid="{9CA03620-5EC2-47BE-9F44-FEBBE4342585}">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1" authorId="0" shapeId="0" xr:uid="{A12A728B-84CC-4411-862C-7287A41B504E}">
      <text>
        <r>
          <rPr>
            <sz val="8"/>
            <color indexed="81"/>
            <rFont val="Tahoma"/>
            <family val="2"/>
          </rPr>
          <t>The Tiltrod Type 
options are;
For 
Eco Aluminium External Standard
&amp; Eco Aluminium External Lite;
Hidden Back
Hidden Front
For 
Eco Aluminium External Privacy Screen
N/A</t>
        </r>
      </text>
    </comment>
    <comment ref="Y11" authorId="0" shapeId="0" xr:uid="{95B58BBC-E464-41B4-97AF-35F1D2A64767}">
      <text>
        <r>
          <rPr>
            <sz val="8"/>
            <color indexed="81"/>
            <rFont val="Tahoma"/>
            <family val="2"/>
          </rPr>
          <t>The Flush Bolt 
options are;
For Hinged, Pivot Hinged, Sliding &amp; Track Bi Fold;
No
Silver
White
For Fixed;
N/A
For MS;
N/A</t>
        </r>
      </text>
    </comment>
    <comment ref="Z11" authorId="0" shapeId="0" xr:uid="{ADA19FEE-8439-47F2-80AA-365962A8FAAC}">
      <text>
        <r>
          <rPr>
            <sz val="8"/>
            <color indexed="81"/>
            <rFont val="Tahoma"/>
            <family val="2"/>
          </rPr>
          <t>The Flush Bolt 
Location options are;
Hinged &amp; Pivot Hinged;
Bottom
Top
Bottom &amp; Top
Sliding &amp; Track Bi Fold;
Bottom</t>
        </r>
      </text>
    </comment>
    <comment ref="C12" authorId="0" shapeId="0" xr:uid="{07CB4084-D477-4090-931C-510A60C43643}">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2" authorId="0" shapeId="0" xr:uid="{812CD583-93C2-4B33-9B0E-95938B13D600}">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2" authorId="0" shapeId="0" xr:uid="{39C32498-718C-49AB-A734-04D23AC62E9F}">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2" authorId="0" shapeId="0" xr:uid="{A09C7222-05D9-4FC6-AEDC-2AD465B61BB4}">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2" authorId="0" shapeId="0" xr:uid="{B69C0891-A6AA-4311-A9A6-F307A5590FDE}">
      <text>
        <r>
          <rPr>
            <sz val="8"/>
            <color indexed="81"/>
            <rFont val="Tahoma"/>
            <family val="2"/>
          </rPr>
          <t>The Blade sizes options are;
Eco Aluminium External Standard &amp; 
Eco Aluminium External Privacy Screen;
63mm
89mm
114mm
Eco Aluminium External Lite;
89mm</t>
        </r>
      </text>
    </comment>
    <comment ref="H12" authorId="0" shapeId="0" xr:uid="{029E0233-B703-4E3B-9D0B-039E6DF226F8}">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2" authorId="0" shapeId="0" xr:uid="{21A049B3-6451-4BCD-93BB-DDF41789B394}">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2" authorId="0" shapeId="0" xr:uid="{748AA850-D1FB-4102-A3CC-BA7D81490C47}">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2" authorId="0" shapeId="0" xr:uid="{338BFE77-9FDE-4116-8391-F374D9446115}">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2" authorId="0" shapeId="0" xr:uid="{62B36E08-D438-4392-8ADF-16B725E4407B}">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2" authorId="0" shapeId="0" xr:uid="{8174A22D-2476-4BF0-994C-CB9BADEAC49D}">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2" authorId="0" shapeId="0" xr:uid="{6440F294-E7DB-4F0B-8DC9-43B7906F6873}">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2" authorId="0" shapeId="0" xr:uid="{0C555B6F-07C1-4F8F-A3E0-F15059905FAC}">
      <text>
        <r>
          <rPr>
            <sz val="8"/>
            <color indexed="81"/>
            <rFont val="Tahoma"/>
            <family val="2"/>
          </rPr>
          <t>The Frame Type is dependant on
 Mounting Method.</t>
        </r>
      </text>
    </comment>
    <comment ref="P12" authorId="0" shapeId="0" xr:uid="{60A15A7C-ECBB-46EF-A3D8-A767A1D57C8D}">
      <text>
        <r>
          <rPr>
            <sz val="8"/>
            <color indexed="81"/>
            <rFont val="Tahoma"/>
            <family val="2"/>
          </rPr>
          <t>Side Boards/Headboards for 
Track Bi Fold or Sliding 
incur an additional charge.</t>
        </r>
      </text>
    </comment>
    <comment ref="Q12" authorId="0" shapeId="0" xr:uid="{D084529B-6A93-4EC9-BC18-47FD6E077096}">
      <text>
        <r>
          <rPr>
            <sz val="8"/>
            <color indexed="81"/>
            <rFont val="Tahoma"/>
            <family val="2"/>
          </rPr>
          <t>Side Boards/Headboards for 
Track Bi Fold or Sliding 
incur an additional charge.</t>
        </r>
      </text>
    </comment>
    <comment ref="R12" authorId="0" shapeId="0" xr:uid="{03C15B9A-878D-4D3F-AC19-237D301CC6F6}">
      <text>
        <r>
          <rPr>
            <sz val="8"/>
            <color indexed="81"/>
            <rFont val="Tahoma"/>
            <family val="2"/>
          </rPr>
          <t>For Sliding, a 
Top Slide Channel 
will be suppplied.
Side Boards/Headboards for 
Track Bi Fold or Sliding 
incur an additional charge.</t>
        </r>
      </text>
    </comment>
    <comment ref="S12" authorId="0" shapeId="0" xr:uid="{B27B4C16-A58B-4746-A032-7373A919AF87}">
      <text>
        <r>
          <rPr>
            <sz val="8"/>
            <color indexed="81"/>
            <rFont val="Tahoma"/>
            <family val="2"/>
          </rPr>
          <t>For Sliding, a 
Bottom Slide Channel 
will be suppplied.
Side Boards/Headboards for 
Track Bi Fold or Sliding 
incur an additional charge.</t>
        </r>
      </text>
    </comment>
    <comment ref="T12" authorId="0" shapeId="0" xr:uid="{6C78732D-BDF1-4ACF-96BC-39C1A0B5DF6D}">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2" authorId="0" shapeId="0" xr:uid="{14E1C2DA-9626-40D5-A6AE-BE617E2E4B41}">
      <text>
        <r>
          <rPr>
            <sz val="8"/>
            <color indexed="81"/>
            <rFont val="Tahoma"/>
            <family val="2"/>
          </rPr>
          <t>The Tiltrod Type 
options are;
For 
Eco Aluminium External Standard
&amp; Eco Aluminium External Lite;
Hidden Back
Hidden Front
For 
Eco Aluminium External Privacy Screen
N/A</t>
        </r>
      </text>
    </comment>
    <comment ref="Y12" authorId="0" shapeId="0" xr:uid="{C6C361EB-C9A6-40DC-8F66-A0085FC0D16B}">
      <text>
        <r>
          <rPr>
            <sz val="8"/>
            <color indexed="81"/>
            <rFont val="Tahoma"/>
            <family val="2"/>
          </rPr>
          <t>The Flush Bolt 
options are;
For Hinged, Pivot Hinged, Sliding &amp; Track Bi Fold;
No
Silver
White
For Fixed;
N/A
For MS;
N/A</t>
        </r>
      </text>
    </comment>
    <comment ref="Z12" authorId="0" shapeId="0" xr:uid="{D158D553-F2A0-4B10-964A-239AA39D9BBA}">
      <text>
        <r>
          <rPr>
            <sz val="8"/>
            <color indexed="81"/>
            <rFont val="Tahoma"/>
            <family val="2"/>
          </rPr>
          <t>The Flush Bolt 
Location options are;
Hinged &amp; Pivot Hinged;
Bottom
Top
Bottom &amp; Top
Sliding &amp; Track Bi Fold;
Bottom</t>
        </r>
      </text>
    </comment>
    <comment ref="C13" authorId="0" shapeId="0" xr:uid="{F4CE2DED-EF7C-4E7F-A879-C8E031FA282D}">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3" authorId="0" shapeId="0" xr:uid="{049D9D80-00F4-4041-8A32-B954509E15BC}">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3" authorId="0" shapeId="0" xr:uid="{66657648-263A-4B0B-B6A4-C1DB410F5DA4}">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3" authorId="0" shapeId="0" xr:uid="{6802ED27-0151-46E5-B9E0-E72D7076F039}">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3" authorId="0" shapeId="0" xr:uid="{23356236-EE3B-4AA0-B89D-2B41357FC092}">
      <text>
        <r>
          <rPr>
            <sz val="8"/>
            <color indexed="81"/>
            <rFont val="Tahoma"/>
            <family val="2"/>
          </rPr>
          <t>The Blade sizes options are;
Eco Aluminium External Standard &amp; 
Eco Aluminium External Privacy Screen;
63mm
89mm
114mm
Eco Aluminium External Lite;
89mm</t>
        </r>
      </text>
    </comment>
    <comment ref="H13" authorId="0" shapeId="0" xr:uid="{69AACAD0-73E8-4716-97C5-C00FBD5B514C}">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3" authorId="0" shapeId="0" xr:uid="{9997D211-EDFB-44F1-8301-6CEF75E5F5AB}">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3" authorId="0" shapeId="0" xr:uid="{03C5D1DB-96EA-46DD-B9E6-4D907D3D4E6F}">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3" authorId="0" shapeId="0" xr:uid="{314D2B76-2F7F-43CF-95D9-96467F6911AF}">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3" authorId="0" shapeId="0" xr:uid="{6BC417AE-27EB-4CA3-963D-912C614C7B41}">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3" authorId="0" shapeId="0" xr:uid="{1DDA9022-43AE-436E-B319-E31EE537725E}">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3" authorId="0" shapeId="0" xr:uid="{F6AB99B8-0B66-43E8-935A-2DA0CF13CA6E}">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3" authorId="0" shapeId="0" xr:uid="{FEB7E0AA-E04E-495D-8128-190BEE6AB2DD}">
      <text>
        <r>
          <rPr>
            <sz val="8"/>
            <color indexed="81"/>
            <rFont val="Tahoma"/>
            <family val="2"/>
          </rPr>
          <t>The Frame Type is dependant on
 Mounting Method.</t>
        </r>
      </text>
    </comment>
    <comment ref="P13" authorId="0" shapeId="0" xr:uid="{CA8A807C-3290-4D70-BF6E-25EC98B65F0D}">
      <text>
        <r>
          <rPr>
            <sz val="8"/>
            <color indexed="81"/>
            <rFont val="Tahoma"/>
            <family val="2"/>
          </rPr>
          <t>Side Boards/Headboards for 
Track Bi Fold or Sliding 
incur an additional charge.</t>
        </r>
      </text>
    </comment>
    <comment ref="Q13" authorId="0" shapeId="0" xr:uid="{C16E1224-244B-4FC3-A785-D2731CFDDEF9}">
      <text>
        <r>
          <rPr>
            <sz val="8"/>
            <color indexed="81"/>
            <rFont val="Tahoma"/>
            <family val="2"/>
          </rPr>
          <t>Side Boards/Headboards for 
Track Bi Fold or Sliding 
incur an additional charge.</t>
        </r>
      </text>
    </comment>
    <comment ref="R13" authorId="0" shapeId="0" xr:uid="{5D706A59-20E9-40B0-9DFF-1A9C79E7EFE9}">
      <text>
        <r>
          <rPr>
            <sz val="8"/>
            <color indexed="81"/>
            <rFont val="Tahoma"/>
            <family val="2"/>
          </rPr>
          <t>For Sliding, a 
Top Slide Channel 
will be suppplied.
Side Boards/Headboards for 
Track Bi Fold or Sliding 
incur an additional charge.</t>
        </r>
      </text>
    </comment>
    <comment ref="S13" authorId="0" shapeId="0" xr:uid="{CD2BC4EA-2367-4948-9A9C-0252D8EB127F}">
      <text>
        <r>
          <rPr>
            <sz val="8"/>
            <color indexed="81"/>
            <rFont val="Tahoma"/>
            <family val="2"/>
          </rPr>
          <t>For Sliding, a 
Bottom Slide Channel 
will be suppplied.
Side Boards/Headboards for 
Track Bi Fold or Sliding 
incur an additional charge.</t>
        </r>
      </text>
    </comment>
    <comment ref="T13" authorId="0" shapeId="0" xr:uid="{B57776F2-1F3C-412F-9C9C-F490064A5428}">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3" authorId="0" shapeId="0" xr:uid="{0B359736-9612-4467-BE19-5D4735D81582}">
      <text>
        <r>
          <rPr>
            <sz val="8"/>
            <color indexed="81"/>
            <rFont val="Tahoma"/>
            <family val="2"/>
          </rPr>
          <t>The Tiltrod Type 
options are;
For 
Eco Aluminium External Standard
&amp; Eco Aluminium External Lite;
Hidden Back
Hidden Front
For 
Eco Aluminium External Privacy Screen
N/A</t>
        </r>
      </text>
    </comment>
    <comment ref="Y13" authorId="0" shapeId="0" xr:uid="{BC656F94-A8A6-424C-8ADF-C25EC66129E2}">
      <text>
        <r>
          <rPr>
            <sz val="8"/>
            <color indexed="81"/>
            <rFont val="Tahoma"/>
            <family val="2"/>
          </rPr>
          <t>The Flush Bolt 
options are;
For Hinged, Pivot Hinged, Sliding &amp; Track Bi Fold;
No
Silver
White
For Fixed;
N/A
For MS;
N/A</t>
        </r>
      </text>
    </comment>
    <comment ref="Z13" authorId="0" shapeId="0" xr:uid="{CB1AEEAE-CFAD-4BCC-AB8E-12B29E469BE8}">
      <text>
        <r>
          <rPr>
            <sz val="8"/>
            <color indexed="81"/>
            <rFont val="Tahoma"/>
            <family val="2"/>
          </rPr>
          <t>The Flush Bolt 
Location options are;
Hinged &amp; Pivot Hinged;
Bottom
Top
Bottom &amp; Top
Sliding &amp; Track Bi Fold;
Bottom</t>
        </r>
      </text>
    </comment>
    <comment ref="C14" authorId="0" shapeId="0" xr:uid="{5BB7CC8D-E053-40A0-BC75-01DD05585111}">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4" authorId="0" shapeId="0" xr:uid="{8709E6B0-75D3-434A-BB4B-0BA6116BFA48}">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4" authorId="0" shapeId="0" xr:uid="{F2300674-613C-44C5-B748-8BF564A77960}">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4" authorId="0" shapeId="0" xr:uid="{C23FE0AF-F1CC-4FA0-A35E-55615A4F9AB1}">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4" authorId="0" shapeId="0" xr:uid="{A2F09335-7FEF-4867-A423-E194EE51A540}">
      <text>
        <r>
          <rPr>
            <sz val="8"/>
            <color indexed="81"/>
            <rFont val="Tahoma"/>
            <family val="2"/>
          </rPr>
          <t>The Blade sizes options are;
Eco Aluminium External Standard &amp; 
Eco Aluminium External Privacy Screen;
63mm
89mm
114mm
Eco Aluminium External Lite;
89mm</t>
        </r>
      </text>
    </comment>
    <comment ref="H14" authorId="0" shapeId="0" xr:uid="{24D9B179-9B26-475F-A1D3-ED6949ADC655}">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4" authorId="0" shapeId="0" xr:uid="{9A02E7C1-96B7-407B-A23A-E9D4CC125E8B}">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4" authorId="0" shapeId="0" xr:uid="{86D70ED2-CC41-4A60-913F-6F025E1675AC}">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4" authorId="0" shapeId="0" xr:uid="{CAFB8F80-7655-4B82-BB12-C04B34BFD96D}">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4" authorId="0" shapeId="0" xr:uid="{DCD11233-8AF1-4530-874F-677DD0005522}">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4" authorId="0" shapeId="0" xr:uid="{41CB5F73-EBC5-4D12-88B7-E795E2CA75D3}">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4" authorId="0" shapeId="0" xr:uid="{5CD0BA48-D6B2-4A63-AF88-844F0745C101}">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4" authorId="0" shapeId="0" xr:uid="{4FFB9D43-9C0B-4876-A49A-B252EC9639C5}">
      <text>
        <r>
          <rPr>
            <sz val="8"/>
            <color indexed="81"/>
            <rFont val="Tahoma"/>
            <family val="2"/>
          </rPr>
          <t>The Frame Type is dependant on
 Mounting Method.</t>
        </r>
      </text>
    </comment>
    <comment ref="P14" authorId="0" shapeId="0" xr:uid="{45294097-CF07-4B32-A4B3-C1CEC84459AF}">
      <text>
        <r>
          <rPr>
            <sz val="8"/>
            <color indexed="81"/>
            <rFont val="Tahoma"/>
            <family val="2"/>
          </rPr>
          <t>Side Boards/Headboards for 
Track Bi Fold or Sliding 
incur an additional charge.</t>
        </r>
      </text>
    </comment>
    <comment ref="Q14" authorId="0" shapeId="0" xr:uid="{ACBD8B64-C031-48A7-800B-A906F325D0F0}">
      <text>
        <r>
          <rPr>
            <sz val="8"/>
            <color indexed="81"/>
            <rFont val="Tahoma"/>
            <family val="2"/>
          </rPr>
          <t>Side Boards/Headboards for 
Track Bi Fold or Sliding 
incur an additional charge.</t>
        </r>
      </text>
    </comment>
    <comment ref="R14" authorId="0" shapeId="0" xr:uid="{3FC295BD-2B91-4089-B95D-EDDB255A172A}">
      <text>
        <r>
          <rPr>
            <sz val="8"/>
            <color indexed="81"/>
            <rFont val="Tahoma"/>
            <family val="2"/>
          </rPr>
          <t>For Sliding, a 
Top Slide Channel 
will be suppplied.
Side Boards/Headboards for 
Track Bi Fold or Sliding 
incur an additional charge.</t>
        </r>
      </text>
    </comment>
    <comment ref="S14" authorId="0" shapeId="0" xr:uid="{751395E5-3F23-409B-AE63-350249A02465}">
      <text>
        <r>
          <rPr>
            <sz val="8"/>
            <color indexed="81"/>
            <rFont val="Tahoma"/>
            <family val="2"/>
          </rPr>
          <t>For Sliding, a 
Bottom Slide Channel 
will be suppplied.
Side Boards/Headboards for 
Track Bi Fold or Sliding 
incur an additional charge.</t>
        </r>
      </text>
    </comment>
    <comment ref="T14" authorId="0" shapeId="0" xr:uid="{40A35797-FCFF-46E7-AB25-8A99AB8C4635}">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4" authorId="0" shapeId="0" xr:uid="{83CB3504-2D0B-4A8B-B973-EBBBA9B193E5}">
      <text>
        <r>
          <rPr>
            <sz val="8"/>
            <color indexed="81"/>
            <rFont val="Tahoma"/>
            <family val="2"/>
          </rPr>
          <t>The Tiltrod Type 
options are;
For 
Eco Aluminium External Standard
&amp; Eco Aluminium External Lite;
Hidden Back
Hidden Front
For 
Eco Aluminium External Privacy Screen
N/A</t>
        </r>
      </text>
    </comment>
    <comment ref="Y14" authorId="0" shapeId="0" xr:uid="{5C4827AE-CAB3-4D4D-A706-12491D227D89}">
      <text>
        <r>
          <rPr>
            <sz val="8"/>
            <color indexed="81"/>
            <rFont val="Tahoma"/>
            <family val="2"/>
          </rPr>
          <t>The Flush Bolt 
options are;
For Hinged, Pivot Hinged, Sliding &amp; Track Bi Fold;
No
Silver
White
For Fixed;
N/A
For MS;
N/A</t>
        </r>
      </text>
    </comment>
    <comment ref="Z14" authorId="0" shapeId="0" xr:uid="{3C9B004B-8701-4894-8124-8939945D5A08}">
      <text>
        <r>
          <rPr>
            <sz val="8"/>
            <color indexed="81"/>
            <rFont val="Tahoma"/>
            <family val="2"/>
          </rPr>
          <t>The Flush Bolt 
Location options are;
Hinged &amp; Pivot Hinged;
Bottom
Top
Bottom &amp; Top
Sliding &amp; Track Bi Fold;
Bottom</t>
        </r>
      </text>
    </comment>
    <comment ref="C15" authorId="0" shapeId="0" xr:uid="{64207367-EB6F-432E-AD51-738633A7AC64}">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5" authorId="0" shapeId="0" xr:uid="{BF11A4E5-5888-4763-BE68-A6F573B756C6}">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5" authorId="0" shapeId="0" xr:uid="{EC178E2C-61C6-42FE-95BD-0107D9855382}">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5" authorId="0" shapeId="0" xr:uid="{2D9FD5C9-B67D-4B30-8102-BADEA65527B5}">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5" authorId="0" shapeId="0" xr:uid="{E0491355-D6D2-4559-8444-57FD30E651B7}">
      <text>
        <r>
          <rPr>
            <sz val="8"/>
            <color indexed="81"/>
            <rFont val="Tahoma"/>
            <family val="2"/>
          </rPr>
          <t>The Blade sizes options are;
Eco Aluminium External Standard &amp; 
Eco Aluminium External Privacy Screen;
63mm
89mm
114mm
Eco Aluminium External Lite;
89mm</t>
        </r>
      </text>
    </comment>
    <comment ref="H15" authorId="0" shapeId="0" xr:uid="{B4482658-618D-45F5-A2DA-61E2D9137D1E}">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5" authorId="0" shapeId="0" xr:uid="{AB803926-E589-4346-8EA6-E59A83A02E03}">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5" authorId="0" shapeId="0" xr:uid="{68FF14A1-9181-4D0D-84AE-627557EE18A9}">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5" authorId="0" shapeId="0" xr:uid="{6A69ED2E-0B9F-4142-89C2-C0645F5E1CDA}">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5" authorId="0" shapeId="0" xr:uid="{8FB070C3-9A0E-453E-BBFB-F184EB23A5FE}">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5" authorId="0" shapeId="0" xr:uid="{3884C970-EDB9-4108-A31C-DC1D4091712A}">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5" authorId="0" shapeId="0" xr:uid="{29B0F4E9-3383-4284-AEA3-25C45D080845}">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5" authorId="0" shapeId="0" xr:uid="{4F1A4068-FE4E-47CB-B773-9217ABD0C46C}">
      <text>
        <r>
          <rPr>
            <sz val="8"/>
            <color indexed="81"/>
            <rFont val="Tahoma"/>
            <family val="2"/>
          </rPr>
          <t>The Frame Type is dependant on
 Mounting Method.</t>
        </r>
      </text>
    </comment>
    <comment ref="P15" authorId="0" shapeId="0" xr:uid="{DE14420F-4694-4E5B-A924-D54BA6883D32}">
      <text>
        <r>
          <rPr>
            <sz val="8"/>
            <color indexed="81"/>
            <rFont val="Tahoma"/>
            <family val="2"/>
          </rPr>
          <t>Side Boards/Headboards for 
Track Bi Fold or Sliding 
incur an additional charge.</t>
        </r>
      </text>
    </comment>
    <comment ref="Q15" authorId="0" shapeId="0" xr:uid="{45E35E62-2B94-4081-9AF2-8C53647222E0}">
      <text>
        <r>
          <rPr>
            <sz val="8"/>
            <color indexed="81"/>
            <rFont val="Tahoma"/>
            <family val="2"/>
          </rPr>
          <t>Side Boards/Headboards for 
Track Bi Fold or Sliding 
incur an additional charge.</t>
        </r>
      </text>
    </comment>
    <comment ref="R15" authorId="0" shapeId="0" xr:uid="{B23F631D-A4B2-4DF4-898C-79E49F745D33}">
      <text>
        <r>
          <rPr>
            <sz val="8"/>
            <color indexed="81"/>
            <rFont val="Tahoma"/>
            <family val="2"/>
          </rPr>
          <t>For Sliding, a 
Top Slide Channel 
will be suppplied.
Side Boards/Headboards for 
Track Bi Fold or Sliding 
incur an additional charge.</t>
        </r>
      </text>
    </comment>
    <comment ref="S15" authorId="0" shapeId="0" xr:uid="{572BFD59-8452-4203-BC14-B72F6DD08EDD}">
      <text>
        <r>
          <rPr>
            <sz val="8"/>
            <color indexed="81"/>
            <rFont val="Tahoma"/>
            <family val="2"/>
          </rPr>
          <t>For Sliding, a 
Bottom Slide Channel 
will be suppplied.
Side Boards/Headboards for 
Track Bi Fold or Sliding 
incur an additional charge.</t>
        </r>
      </text>
    </comment>
    <comment ref="T15" authorId="0" shapeId="0" xr:uid="{B9AA0BEB-4C41-443D-AD72-1A00088BBD88}">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5" authorId="0" shapeId="0" xr:uid="{96396299-A920-491E-AAF7-C2CB42B771AB}">
      <text>
        <r>
          <rPr>
            <sz val="8"/>
            <color indexed="81"/>
            <rFont val="Tahoma"/>
            <family val="2"/>
          </rPr>
          <t>The Tiltrod Type 
options are;
For 
Eco Aluminium External Standard
&amp; Eco Aluminium External Lite;
Hidden Back
Hidden Front
For 
Eco Aluminium External Privacy Screen
N/A</t>
        </r>
      </text>
    </comment>
    <comment ref="Y15" authorId="0" shapeId="0" xr:uid="{41C38F25-F600-4209-AA53-985C7A990574}">
      <text>
        <r>
          <rPr>
            <sz val="8"/>
            <color indexed="81"/>
            <rFont val="Tahoma"/>
            <family val="2"/>
          </rPr>
          <t>The Flush Bolt 
options are;
For Hinged, Pivot Hinged, Sliding &amp; Track Bi Fold;
No
Silver
White
For Fixed;
N/A
For MS;
N/A</t>
        </r>
      </text>
    </comment>
    <comment ref="Z15" authorId="0" shapeId="0" xr:uid="{DEF77B32-DF80-4479-88EE-21CAE2BBA8DC}">
      <text>
        <r>
          <rPr>
            <sz val="8"/>
            <color indexed="81"/>
            <rFont val="Tahoma"/>
            <family val="2"/>
          </rPr>
          <t>The Flush Bolt 
Location options are;
Hinged &amp; Pivot Hinged;
Bottom
Top
Bottom &amp; Top
Sliding &amp; Track Bi Fold;
Bottom</t>
        </r>
      </text>
    </comment>
    <comment ref="C16" authorId="0" shapeId="0" xr:uid="{C8C916E0-0C51-4D4E-907B-5415EF283014}">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6" authorId="0" shapeId="0" xr:uid="{60ACCC6C-EFD7-4DD0-83C8-3E10242231E3}">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6" authorId="0" shapeId="0" xr:uid="{A7D7A53D-1303-4FFF-94B7-8626E9813D39}">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6" authorId="0" shapeId="0" xr:uid="{47C7BEBE-9691-4D9D-8421-09BC36109C76}">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6" authorId="0" shapeId="0" xr:uid="{A811C96B-83B1-40B4-8D74-CA9ACF040862}">
      <text>
        <r>
          <rPr>
            <sz val="8"/>
            <color indexed="81"/>
            <rFont val="Tahoma"/>
            <family val="2"/>
          </rPr>
          <t>The Blade sizes options are;
Eco Aluminium External Standard &amp; 
Eco Aluminium External Privacy Screen;
63mm
89mm
114mm
Eco Aluminium External Lite;
89mm</t>
        </r>
      </text>
    </comment>
    <comment ref="H16" authorId="0" shapeId="0" xr:uid="{4C162AFE-9DF2-441A-BAD6-12FC7005BAC7}">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6" authorId="0" shapeId="0" xr:uid="{F91CB34B-3D18-4A44-879C-D50B010ABF48}">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6" authorId="0" shapeId="0" xr:uid="{9ED703D8-5483-4741-861C-BAC1822BEA2D}">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6" authorId="0" shapeId="0" xr:uid="{EF0ABC2D-FE72-4F87-92BA-35D9A5BAA8FA}">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6" authorId="0" shapeId="0" xr:uid="{614BD043-9672-4F38-A4BF-1D23FD79BD3C}">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6" authorId="0" shapeId="0" xr:uid="{01C654C4-4EFF-41EC-B8AE-0E6FD8AB9C2A}">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6" authorId="0" shapeId="0" xr:uid="{A9031E01-A479-459C-8648-A538AC255D17}">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6" authorId="0" shapeId="0" xr:uid="{35FB835D-3E05-4D0B-9DE9-7E0DE4A5F92E}">
      <text>
        <r>
          <rPr>
            <sz val="8"/>
            <color indexed="81"/>
            <rFont val="Tahoma"/>
            <family val="2"/>
          </rPr>
          <t>The Frame Type is dependant on
 Mounting Method.</t>
        </r>
      </text>
    </comment>
    <comment ref="P16" authorId="0" shapeId="0" xr:uid="{E8E9E0E3-2195-4116-833F-E0CCDA8E7C19}">
      <text>
        <r>
          <rPr>
            <sz val="8"/>
            <color indexed="81"/>
            <rFont val="Tahoma"/>
            <family val="2"/>
          </rPr>
          <t>Side Boards/Headboards for 
Track Bi Fold or Sliding 
incur an additional charge.</t>
        </r>
      </text>
    </comment>
    <comment ref="Q16" authorId="0" shapeId="0" xr:uid="{4EC390C7-AD76-48F9-B2B3-42141BC5FDF9}">
      <text>
        <r>
          <rPr>
            <sz val="8"/>
            <color indexed="81"/>
            <rFont val="Tahoma"/>
            <family val="2"/>
          </rPr>
          <t>Side Boards/Headboards for 
Track Bi Fold or Sliding 
incur an additional charge.</t>
        </r>
      </text>
    </comment>
    <comment ref="R16" authorId="0" shapeId="0" xr:uid="{1C7900C8-7017-44D8-B335-2E63A2309BDA}">
      <text>
        <r>
          <rPr>
            <sz val="8"/>
            <color indexed="81"/>
            <rFont val="Tahoma"/>
            <family val="2"/>
          </rPr>
          <t>For Sliding, a 
Top Slide Channel 
will be suppplied.
Side Boards/Headboards for 
Track Bi Fold or Sliding 
incur an additional charge.</t>
        </r>
      </text>
    </comment>
    <comment ref="S16" authorId="0" shapeId="0" xr:uid="{03040CDA-0621-47D0-B806-3EECF957689C}">
      <text>
        <r>
          <rPr>
            <sz val="8"/>
            <color indexed="81"/>
            <rFont val="Tahoma"/>
            <family val="2"/>
          </rPr>
          <t>For Sliding, a 
Bottom Slide Channel 
will be suppplied.
Side Boards/Headboards for 
Track Bi Fold or Sliding 
incur an additional charge.</t>
        </r>
      </text>
    </comment>
    <comment ref="T16" authorId="0" shapeId="0" xr:uid="{697B1D6A-F28B-480D-A57A-C5CC565D42A0}">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6" authorId="0" shapeId="0" xr:uid="{55558EAC-FF7C-47D8-87EA-1FF1F83861C6}">
      <text>
        <r>
          <rPr>
            <sz val="8"/>
            <color indexed="81"/>
            <rFont val="Tahoma"/>
            <family val="2"/>
          </rPr>
          <t>The Tiltrod Type 
options are;
For 
Eco Aluminium External Standard
&amp; Eco Aluminium External Lite;
Hidden Back
Hidden Front
For 
Eco Aluminium External Privacy Screen
N/A</t>
        </r>
      </text>
    </comment>
    <comment ref="Y16" authorId="0" shapeId="0" xr:uid="{6BC86BF7-1EF4-41A2-BEE0-6FA03EC0F42C}">
      <text>
        <r>
          <rPr>
            <sz val="8"/>
            <color indexed="81"/>
            <rFont val="Tahoma"/>
            <family val="2"/>
          </rPr>
          <t>The Flush Bolt 
options are;
For Hinged, Pivot Hinged, Sliding &amp; Track Bi Fold;
No
Silver
White
For Fixed;
N/A
For MS;
N/A</t>
        </r>
      </text>
    </comment>
    <comment ref="Z16" authorId="0" shapeId="0" xr:uid="{CEA88BD3-AA94-4B40-BAC8-48FA45D2CED9}">
      <text>
        <r>
          <rPr>
            <sz val="8"/>
            <color indexed="81"/>
            <rFont val="Tahoma"/>
            <family val="2"/>
          </rPr>
          <t>The Flush Bolt 
Location options are;
Hinged &amp; Pivot Hinged;
Bottom
Top
Bottom &amp; Top
Sliding &amp; Track Bi Fold;
Bottom</t>
        </r>
      </text>
    </comment>
    <comment ref="C17" authorId="0" shapeId="0" xr:uid="{F3220B22-BB50-402B-88BA-BCE08EAA9ECD}">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7" authorId="0" shapeId="0" xr:uid="{2339729D-117A-4542-8851-0F69A886398D}">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7" authorId="0" shapeId="0" xr:uid="{114A472D-E1DC-4C3A-A8A9-636DE03F4A8C}">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7" authorId="0" shapeId="0" xr:uid="{E0173995-172D-4345-B66C-C1A9F424FF55}">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7" authorId="0" shapeId="0" xr:uid="{97E25581-7534-4BC7-B3AD-1FD90CD94292}">
      <text>
        <r>
          <rPr>
            <sz val="8"/>
            <color indexed="81"/>
            <rFont val="Tahoma"/>
            <family val="2"/>
          </rPr>
          <t>The Blade sizes options are;
Eco Aluminium External Standard &amp; 
Eco Aluminium External Privacy Screen;
63mm
89mm
114mm
Eco Aluminium External Lite;
89mm</t>
        </r>
      </text>
    </comment>
    <comment ref="H17" authorId="0" shapeId="0" xr:uid="{DFFD0336-CF0D-4DCA-A7B6-ABD28BAB264A}">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7" authorId="0" shapeId="0" xr:uid="{550EA77F-9A49-4220-A07C-1B5AB2B88BE0}">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7" authorId="0" shapeId="0" xr:uid="{1016FB14-CF30-432C-84CB-4C48BFF2E322}">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7" authorId="0" shapeId="0" xr:uid="{7C8E8F89-0EFB-4D36-9C90-0EF8AFE3DE61}">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7" authorId="0" shapeId="0" xr:uid="{EB449D0B-BBB5-4FEC-954B-51901DEB3254}">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7" authorId="0" shapeId="0" xr:uid="{AC5BE70C-D5D1-4867-823C-08E546737F85}">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7" authorId="0" shapeId="0" xr:uid="{104F4F50-6B02-4DB5-B4C3-5425A307AE11}">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7" authorId="0" shapeId="0" xr:uid="{D399F3AD-9FB8-4E0D-ADAD-645B508A281D}">
      <text>
        <r>
          <rPr>
            <sz val="8"/>
            <color indexed="81"/>
            <rFont val="Tahoma"/>
            <family val="2"/>
          </rPr>
          <t>The Frame Type is dependant on
 Mounting Method.</t>
        </r>
      </text>
    </comment>
    <comment ref="P17" authorId="0" shapeId="0" xr:uid="{6EC249B1-38A0-43BB-9C16-736EBE1D1C1A}">
      <text>
        <r>
          <rPr>
            <sz val="8"/>
            <color indexed="81"/>
            <rFont val="Tahoma"/>
            <family val="2"/>
          </rPr>
          <t>Side Boards/Headboards for 
Track Bi Fold or Sliding 
incur an additional charge.</t>
        </r>
      </text>
    </comment>
    <comment ref="Q17" authorId="0" shapeId="0" xr:uid="{CF7FC474-2244-40A3-8D5F-0C23BA52954C}">
      <text>
        <r>
          <rPr>
            <sz val="8"/>
            <color indexed="81"/>
            <rFont val="Tahoma"/>
            <family val="2"/>
          </rPr>
          <t>Side Boards/Headboards for 
Track Bi Fold or Sliding 
incur an additional charge.</t>
        </r>
      </text>
    </comment>
    <comment ref="R17" authorId="0" shapeId="0" xr:uid="{A4150D96-DAB4-442F-9BBC-DA26A6D2FF2A}">
      <text>
        <r>
          <rPr>
            <sz val="8"/>
            <color indexed="81"/>
            <rFont val="Tahoma"/>
            <family val="2"/>
          </rPr>
          <t>For Sliding, a 
Top Slide Channel 
will be suppplied.
Side Boards/Headboards for 
Track Bi Fold or Sliding 
incur an additional charge.</t>
        </r>
      </text>
    </comment>
    <comment ref="S17" authorId="0" shapeId="0" xr:uid="{17615587-63A8-46AF-BEA3-742A823C1653}">
      <text>
        <r>
          <rPr>
            <sz val="8"/>
            <color indexed="81"/>
            <rFont val="Tahoma"/>
            <family val="2"/>
          </rPr>
          <t>For Sliding, a 
Bottom Slide Channel 
will be suppplied.
Side Boards/Headboards for 
Track Bi Fold or Sliding 
incur an additional charge.</t>
        </r>
      </text>
    </comment>
    <comment ref="T17" authorId="0" shapeId="0" xr:uid="{6A5C69F8-8159-4F17-B2E7-DFF86396865B}">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7" authorId="0" shapeId="0" xr:uid="{A1969A24-62C3-4654-A655-E0164D8D1084}">
      <text>
        <r>
          <rPr>
            <sz val="8"/>
            <color indexed="81"/>
            <rFont val="Tahoma"/>
            <family val="2"/>
          </rPr>
          <t>The Tiltrod Type 
options are;
For 
Eco Aluminium External Standard
&amp; Eco Aluminium External Lite;
Hidden Back
Hidden Front
For 
Eco Aluminium External Privacy Screen
N/A</t>
        </r>
      </text>
    </comment>
    <comment ref="Y17" authorId="0" shapeId="0" xr:uid="{BDFA4E90-D48A-4334-BC40-F0B4D2407DD1}">
      <text>
        <r>
          <rPr>
            <sz val="8"/>
            <color indexed="81"/>
            <rFont val="Tahoma"/>
            <family val="2"/>
          </rPr>
          <t>The Flush Bolt 
options are;
For Hinged, Pivot Hinged, Sliding &amp; Track Bi Fold;
No
Silver
White
For Fixed;
N/A
For MS;
N/A</t>
        </r>
      </text>
    </comment>
    <comment ref="Z17" authorId="0" shapeId="0" xr:uid="{CBC38054-36F2-420F-9711-A86D2794CA23}">
      <text>
        <r>
          <rPr>
            <sz val="8"/>
            <color indexed="81"/>
            <rFont val="Tahoma"/>
            <family val="2"/>
          </rPr>
          <t>The Flush Bolt 
Location options are;
Hinged &amp; Pivot Hinged;
Bottom
Top
Bottom &amp; Top
Sliding &amp; Track Bi Fold;
Bottom</t>
        </r>
      </text>
    </comment>
    <comment ref="C18" authorId="0" shapeId="0" xr:uid="{460EBB56-FA9F-4A66-AA41-38D8D68A024F}">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8" authorId="0" shapeId="0" xr:uid="{6BFAF3BF-F97C-4096-A962-984E1B32BF6B}">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8" authorId="0" shapeId="0" xr:uid="{799FA47D-8923-4009-A49C-DD8CC5CDC91C}">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8" authorId="0" shapeId="0" xr:uid="{8AB10F00-0295-43BF-8858-12D12634DE8D}">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8" authorId="0" shapeId="0" xr:uid="{49DF76A6-CD69-4EDE-AD5E-A925DDE9192C}">
      <text>
        <r>
          <rPr>
            <sz val="8"/>
            <color indexed="81"/>
            <rFont val="Tahoma"/>
            <family val="2"/>
          </rPr>
          <t>The Blade sizes options are;
Eco Aluminium External Standard &amp; 
Eco Aluminium External Privacy Screen;
63mm
89mm
114mm
Eco Aluminium External Lite;
89mm</t>
        </r>
      </text>
    </comment>
    <comment ref="H18" authorId="0" shapeId="0" xr:uid="{3CCFA8D8-9734-4684-B539-A57B6E4C5E90}">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8" authorId="0" shapeId="0" xr:uid="{2FBF8204-3F5A-4604-BED7-45218A33D548}">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8" authorId="0" shapeId="0" xr:uid="{8E368551-37C9-45AE-9572-90E73BFE20E2}">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8" authorId="0" shapeId="0" xr:uid="{229E8657-5956-4750-A6DA-B8934FC7A408}">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8" authorId="0" shapeId="0" xr:uid="{1C3C4846-6D97-4D8B-93AC-D9029A23DE58}">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8" authorId="0" shapeId="0" xr:uid="{3C553A69-E3A7-43FD-B2B8-477ADCA952B8}">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8" authorId="0" shapeId="0" xr:uid="{2F1095A2-0C0B-4C11-8B7A-446B6287DEAD}">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8" authorId="0" shapeId="0" xr:uid="{4ED5F965-2406-482F-980A-5BEF6A0B5758}">
      <text>
        <r>
          <rPr>
            <sz val="8"/>
            <color indexed="81"/>
            <rFont val="Tahoma"/>
            <family val="2"/>
          </rPr>
          <t>The Frame Type is dependant on
 Mounting Method.</t>
        </r>
      </text>
    </comment>
    <comment ref="P18" authorId="0" shapeId="0" xr:uid="{9B3D2901-8068-4C5A-80B6-9CD9068B7B25}">
      <text>
        <r>
          <rPr>
            <sz val="8"/>
            <color indexed="81"/>
            <rFont val="Tahoma"/>
            <family val="2"/>
          </rPr>
          <t>Side Boards/Headboards for 
Track Bi Fold or Sliding 
incur an additional charge.</t>
        </r>
      </text>
    </comment>
    <comment ref="Q18" authorId="0" shapeId="0" xr:uid="{267E5CAA-B951-4912-9B13-C40FDE714C1E}">
      <text>
        <r>
          <rPr>
            <sz val="8"/>
            <color indexed="81"/>
            <rFont val="Tahoma"/>
            <family val="2"/>
          </rPr>
          <t>Side Boards/Headboards for 
Track Bi Fold or Sliding 
incur an additional charge.</t>
        </r>
      </text>
    </comment>
    <comment ref="R18" authorId="0" shapeId="0" xr:uid="{E2AEF9DE-3EEC-4FAC-A17A-F2AA31B7242F}">
      <text>
        <r>
          <rPr>
            <sz val="8"/>
            <color indexed="81"/>
            <rFont val="Tahoma"/>
            <family val="2"/>
          </rPr>
          <t>For Sliding, a 
Top Slide Channel 
will be suppplied.
Side Boards/Headboards for 
Track Bi Fold or Sliding 
incur an additional charge.</t>
        </r>
      </text>
    </comment>
    <comment ref="S18" authorId="0" shapeId="0" xr:uid="{9C9B7C49-D7C8-463F-B775-7E6D90EFBA07}">
      <text>
        <r>
          <rPr>
            <sz val="8"/>
            <color indexed="81"/>
            <rFont val="Tahoma"/>
            <family val="2"/>
          </rPr>
          <t>For Sliding, a 
Bottom Slide Channel 
will be suppplied.
Side Boards/Headboards for 
Track Bi Fold or Sliding 
incur an additional charge.</t>
        </r>
      </text>
    </comment>
    <comment ref="T18" authorId="0" shapeId="0" xr:uid="{F178D2F0-5667-4FB3-90AB-F6D0B9A3E37C}">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8" authorId="0" shapeId="0" xr:uid="{4E3D965B-AFBE-42E4-9D66-7B894C1D8ED1}">
      <text>
        <r>
          <rPr>
            <sz val="8"/>
            <color indexed="81"/>
            <rFont val="Tahoma"/>
            <family val="2"/>
          </rPr>
          <t>The Tiltrod Type 
options are;
For 
Eco Aluminium External Standard
&amp; Eco Aluminium External Lite;
Hidden Back
Hidden Front
For 
Eco Aluminium External Privacy Screen
N/A</t>
        </r>
      </text>
    </comment>
    <comment ref="Y18" authorId="0" shapeId="0" xr:uid="{D066F670-4C9B-4775-A3A5-45E0394F09A0}">
      <text>
        <r>
          <rPr>
            <sz val="8"/>
            <color indexed="81"/>
            <rFont val="Tahoma"/>
            <family val="2"/>
          </rPr>
          <t>The Flush Bolt 
options are;
For Hinged, Pivot Hinged, Sliding &amp; Track Bi Fold;
No
Silver
White
For Fixed;
N/A
For MS;
N/A</t>
        </r>
      </text>
    </comment>
    <comment ref="Z18" authorId="0" shapeId="0" xr:uid="{8A19F7DA-853D-4B0B-A0BA-F99B66EDD902}">
      <text>
        <r>
          <rPr>
            <sz val="8"/>
            <color indexed="81"/>
            <rFont val="Tahoma"/>
            <family val="2"/>
          </rPr>
          <t>The Flush Bolt 
Location options are;
Hinged &amp; Pivot Hinged;
Bottom
Top
Bottom &amp; Top
Sliding &amp; Track Bi Fold;
Bottom</t>
        </r>
      </text>
    </comment>
    <comment ref="C19" authorId="0" shapeId="0" xr:uid="{42CF37C1-AE15-4517-9C2E-4DD42EC9820C}">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19" authorId="0" shapeId="0" xr:uid="{84C6B2FB-D272-407A-AEF2-5C35097F1546}">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19" authorId="0" shapeId="0" xr:uid="{3E6D10EB-23D9-499A-8691-C10482375838}">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19" authorId="0" shapeId="0" xr:uid="{F1DE4E56-53DD-4D9A-90AE-355AD4B5E06B}">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19" authorId="0" shapeId="0" xr:uid="{218A592F-895F-4107-8F59-D593C1A80816}">
      <text>
        <r>
          <rPr>
            <sz val="8"/>
            <color indexed="81"/>
            <rFont val="Tahoma"/>
            <family val="2"/>
          </rPr>
          <t>The Blade sizes options are;
Eco Aluminium External Standard &amp; 
Eco Aluminium External Privacy Screen;
63mm
89mm
114mm
Eco Aluminium External Lite;
89mm</t>
        </r>
      </text>
    </comment>
    <comment ref="H19" authorId="0" shapeId="0" xr:uid="{6E6FE1B7-E04E-4CD2-A526-66391EC1B6DD}">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19" authorId="0" shapeId="0" xr:uid="{B468DC14-4801-42CD-A7C7-57E1765082A0}">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19" authorId="0" shapeId="0" xr:uid="{2DBD2C63-37A1-454B-BDED-1F51A452F3B4}">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19" authorId="0" shapeId="0" xr:uid="{D1CA7E90-AC4D-4FDB-BB5F-6ECE14BEF11A}">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19" authorId="0" shapeId="0" xr:uid="{061F818D-508B-4B37-9FA2-59728B4EC6C8}">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19" authorId="0" shapeId="0" xr:uid="{CE5C5F1C-B06A-4632-9568-F1319886F5E0}">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19" authorId="0" shapeId="0" xr:uid="{2EF9F759-3069-4352-A289-78D89A8FB8AA}">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19" authorId="0" shapeId="0" xr:uid="{1E8CEBA0-9E0E-4266-A769-5A1836EB30E9}">
      <text>
        <r>
          <rPr>
            <sz val="8"/>
            <color indexed="81"/>
            <rFont val="Tahoma"/>
            <family val="2"/>
          </rPr>
          <t>The Frame Type is dependant on
 Mounting Method.</t>
        </r>
      </text>
    </comment>
    <comment ref="P19" authorId="0" shapeId="0" xr:uid="{FE96C12C-D526-4429-8BEB-DCBB0B05B58D}">
      <text>
        <r>
          <rPr>
            <sz val="8"/>
            <color indexed="81"/>
            <rFont val="Tahoma"/>
            <family val="2"/>
          </rPr>
          <t>Side Boards/Headboards for 
Track Bi Fold or Sliding 
incur an additional charge.</t>
        </r>
      </text>
    </comment>
    <comment ref="Q19" authorId="0" shapeId="0" xr:uid="{DB0FDCF1-F48E-45FD-8B34-CF55BB2A1CBD}">
      <text>
        <r>
          <rPr>
            <sz val="8"/>
            <color indexed="81"/>
            <rFont val="Tahoma"/>
            <family val="2"/>
          </rPr>
          <t>Side Boards/Headboards for 
Track Bi Fold or Sliding 
incur an additional charge.</t>
        </r>
      </text>
    </comment>
    <comment ref="R19" authorId="0" shapeId="0" xr:uid="{FF649580-9725-487D-81AA-CD4DAD3C3FB9}">
      <text>
        <r>
          <rPr>
            <sz val="8"/>
            <color indexed="81"/>
            <rFont val="Tahoma"/>
            <family val="2"/>
          </rPr>
          <t>For Sliding, a 
Top Slide Channel 
will be suppplied.
Side Boards/Headboards for 
Track Bi Fold or Sliding 
incur an additional charge.</t>
        </r>
      </text>
    </comment>
    <comment ref="S19" authorId="0" shapeId="0" xr:uid="{CFAB3050-A4CA-4CD5-8205-CEA1FA1112BD}">
      <text>
        <r>
          <rPr>
            <sz val="8"/>
            <color indexed="81"/>
            <rFont val="Tahoma"/>
            <family val="2"/>
          </rPr>
          <t>For Sliding, a 
Bottom Slide Channel 
will be suppplied.
Side Boards/Headboards for 
Track Bi Fold or Sliding 
incur an additional charge.</t>
        </r>
      </text>
    </comment>
    <comment ref="T19" authorId="0" shapeId="0" xr:uid="{B147916F-19DD-4ECC-9541-BEFBFE3FAAA3}">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19" authorId="0" shapeId="0" xr:uid="{0728A7AF-EC9A-422A-A9F2-A47444E8FA4C}">
      <text>
        <r>
          <rPr>
            <sz val="8"/>
            <color indexed="81"/>
            <rFont val="Tahoma"/>
            <family val="2"/>
          </rPr>
          <t>The Tiltrod Type 
options are;
For 
Eco Aluminium External Standard
&amp; Eco Aluminium External Lite;
Hidden Back
Hidden Front
For 
Eco Aluminium External Privacy Screen
N/A</t>
        </r>
      </text>
    </comment>
    <comment ref="Y19" authorId="0" shapeId="0" xr:uid="{04F5D74A-FA7C-4847-86C9-BEE479AD820A}">
      <text>
        <r>
          <rPr>
            <sz val="8"/>
            <color indexed="81"/>
            <rFont val="Tahoma"/>
            <family val="2"/>
          </rPr>
          <t>The Flush Bolt 
options are;
For Hinged, Pivot Hinged, Sliding &amp; Track Bi Fold;
No
Silver
White
For Fixed;
N/A
For MS;
N/A</t>
        </r>
      </text>
    </comment>
    <comment ref="Z19" authorId="0" shapeId="0" xr:uid="{50662A67-AB65-49BA-85D7-5D1BF3824CD9}">
      <text>
        <r>
          <rPr>
            <sz val="8"/>
            <color indexed="81"/>
            <rFont val="Tahoma"/>
            <family val="2"/>
          </rPr>
          <t>The Flush Bolt 
Location options are;
Hinged &amp; Pivot Hinged;
Bottom
Top
Bottom &amp; Top
Sliding &amp; Track Bi Fold;
Bottom</t>
        </r>
      </text>
    </comment>
    <comment ref="C20" authorId="0" shapeId="0" xr:uid="{7FED63EE-19D6-4D2D-A460-D747CBEEBECD}">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20" authorId="0" shapeId="0" xr:uid="{5EC85583-425C-488A-B739-6266D9953493}">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20" authorId="0" shapeId="0" xr:uid="{18E5BBCC-0E92-4407-9AF8-E4C68A6E6FAE}">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20" authorId="0" shapeId="0" xr:uid="{D529F499-9927-4E9E-85FB-91E1009CE519}">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20" authorId="0" shapeId="0" xr:uid="{88AA474D-CDE9-4F13-853B-4202AEF14FBA}">
      <text>
        <r>
          <rPr>
            <sz val="8"/>
            <color indexed="81"/>
            <rFont val="Tahoma"/>
            <family val="2"/>
          </rPr>
          <t>The Blade sizes options are;
Eco Aluminium External Standard &amp; 
Eco Aluminium External Privacy Screen;
63mm
89mm
114mm
Eco Aluminium External Lite;
89mm</t>
        </r>
      </text>
    </comment>
    <comment ref="H20" authorId="0" shapeId="0" xr:uid="{A3A5F146-8213-45D0-8955-3492F5B4A483}">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20" authorId="0" shapeId="0" xr:uid="{5FC29EF5-A24D-43A1-BEAA-9A606685C75D}">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20" authorId="0" shapeId="0" xr:uid="{E2D524FD-15E8-4367-B16C-3045E5DE0E2E}">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20" authorId="0" shapeId="0" xr:uid="{34E8A7D3-30E5-41C3-BDEB-B3E53F9CC7FF}">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20" authorId="0" shapeId="0" xr:uid="{D98F2F82-A109-47B7-974F-3AD14DB77F66}">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20" authorId="0" shapeId="0" xr:uid="{4096EC3E-212B-4E53-A5D5-0654098AD3D4}">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20" authorId="0" shapeId="0" xr:uid="{967FBD57-DAFF-4B4B-BE4B-123E658DEC2A}">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20" authorId="0" shapeId="0" xr:uid="{5D1C7A5E-A80B-456F-A5EC-C3667BD7993B}">
      <text>
        <r>
          <rPr>
            <sz val="8"/>
            <color indexed="81"/>
            <rFont val="Tahoma"/>
            <family val="2"/>
          </rPr>
          <t>The Frame Type is dependant on
 Mounting Method.</t>
        </r>
      </text>
    </comment>
    <comment ref="P20" authorId="0" shapeId="0" xr:uid="{4BCB9794-3774-414D-AF87-628667CD74A2}">
      <text>
        <r>
          <rPr>
            <sz val="8"/>
            <color indexed="81"/>
            <rFont val="Tahoma"/>
            <family val="2"/>
          </rPr>
          <t>Side Boards/Headboards for 
Track Bi Fold or Sliding 
incur an additional charge.</t>
        </r>
      </text>
    </comment>
    <comment ref="Q20" authorId="0" shapeId="0" xr:uid="{17607F8F-6CE0-4AC2-9392-2131F287B981}">
      <text>
        <r>
          <rPr>
            <sz val="8"/>
            <color indexed="81"/>
            <rFont val="Tahoma"/>
            <family val="2"/>
          </rPr>
          <t>Side Boards/Headboards for 
Track Bi Fold or Sliding 
incur an additional charge.</t>
        </r>
      </text>
    </comment>
    <comment ref="R20" authorId="0" shapeId="0" xr:uid="{88B6A622-A7E3-4441-A165-E97341DEEEB6}">
      <text>
        <r>
          <rPr>
            <sz val="8"/>
            <color indexed="81"/>
            <rFont val="Tahoma"/>
            <family val="2"/>
          </rPr>
          <t>For Sliding, a 
Top Slide Channel 
will be suppplied.
Side Boards/Headboards for 
Track Bi Fold or Sliding 
incur an additional charge.</t>
        </r>
      </text>
    </comment>
    <comment ref="S20" authorId="0" shapeId="0" xr:uid="{9508DA86-783B-414E-854A-254A63719E43}">
      <text>
        <r>
          <rPr>
            <sz val="8"/>
            <color indexed="81"/>
            <rFont val="Tahoma"/>
            <family val="2"/>
          </rPr>
          <t>For Sliding, a 
Bottom Slide Channel 
will be suppplied.
Side Boards/Headboards for 
Track Bi Fold or Sliding 
incur an additional charge.</t>
        </r>
      </text>
    </comment>
    <comment ref="T20" authorId="0" shapeId="0" xr:uid="{D01C0B06-0FF3-4C28-8C26-53E90778A81D}">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20" authorId="0" shapeId="0" xr:uid="{46FD5C7B-C0CA-4A1A-A809-C1BCC0236900}">
      <text>
        <r>
          <rPr>
            <sz val="8"/>
            <color indexed="81"/>
            <rFont val="Tahoma"/>
            <family val="2"/>
          </rPr>
          <t>The Tiltrod Type 
options are;
For 
Eco Aluminium External Standard
&amp; Eco Aluminium External Lite;
Hidden Back
Hidden Front
For 
Eco Aluminium External Privacy Screen
N/A</t>
        </r>
      </text>
    </comment>
    <comment ref="Y20" authorId="0" shapeId="0" xr:uid="{3A452C58-A8B8-48CA-8896-D4BD669E4273}">
      <text>
        <r>
          <rPr>
            <sz val="8"/>
            <color indexed="81"/>
            <rFont val="Tahoma"/>
            <family val="2"/>
          </rPr>
          <t>The Flush Bolt 
options are;
For Hinged, Pivot Hinged, Sliding &amp; Track Bi Fold;
No
Silver
White
For Fixed;
N/A
For MS;
N/A</t>
        </r>
      </text>
    </comment>
    <comment ref="Z20" authorId="0" shapeId="0" xr:uid="{02326920-49CD-4AE3-9D30-90DA03E89683}">
      <text>
        <r>
          <rPr>
            <sz val="8"/>
            <color indexed="81"/>
            <rFont val="Tahoma"/>
            <family val="2"/>
          </rPr>
          <t>The Flush Bolt 
Location options are;
Hinged &amp; Pivot Hinged;
Bottom
Top
Bottom &amp; Top
Sliding &amp; Track Bi Fold;
Bottom</t>
        </r>
      </text>
    </comment>
    <comment ref="C21" authorId="0" shapeId="0" xr:uid="{6D303C6F-2760-4C4E-B8FB-2FFB5C306689}">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21" authorId="0" shapeId="0" xr:uid="{D43D207F-59B0-48EB-B0E7-588AB17CE699}">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21" authorId="0" shapeId="0" xr:uid="{921BB2B9-85E3-44D4-8E3E-2BB77A2638E3}">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21" authorId="0" shapeId="0" xr:uid="{0B2AB5B1-4F3D-40AD-8F35-2C0AA45B571D}">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21" authorId="0" shapeId="0" xr:uid="{1C0462C1-F474-4DBB-B36F-D2303BB9F774}">
      <text>
        <r>
          <rPr>
            <sz val="8"/>
            <color indexed="81"/>
            <rFont val="Tahoma"/>
            <family val="2"/>
          </rPr>
          <t>The Blade sizes options are;
Eco Aluminium External Standard &amp; 
Eco Aluminium External Privacy Screen;
63mm
89mm
114mm
Eco Aluminium External Lite;
89mm</t>
        </r>
      </text>
    </comment>
    <comment ref="H21" authorId="0" shapeId="0" xr:uid="{9C7E904B-D84F-4AA4-B5C4-68F60DDB9FD6}">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21" authorId="0" shapeId="0" xr:uid="{D8F0DC45-BB30-4BCC-A2FF-D4DD7B35D27B}">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21" authorId="0" shapeId="0" xr:uid="{7F37602A-C4DF-4480-8864-805742FA6A78}">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21" authorId="0" shapeId="0" xr:uid="{6643E6D4-C7DE-4378-BF8C-3274D9EDCCEF}">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21" authorId="0" shapeId="0" xr:uid="{645B9F0A-8003-4AB2-9257-86AB7B010608}">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21" authorId="0" shapeId="0" xr:uid="{FF236D21-B7F3-40CA-A355-827AC005ADB8}">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21" authorId="0" shapeId="0" xr:uid="{E53F2315-490E-42D4-B9F3-06BF6007F196}">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21" authorId="0" shapeId="0" xr:uid="{A7C31788-A797-42EB-AEFB-183828005727}">
      <text>
        <r>
          <rPr>
            <sz val="8"/>
            <color indexed="81"/>
            <rFont val="Tahoma"/>
            <family val="2"/>
          </rPr>
          <t>The Frame Type is dependant on
 Mounting Method.</t>
        </r>
      </text>
    </comment>
    <comment ref="P21" authorId="0" shapeId="0" xr:uid="{D86E278A-F89C-4492-9676-9DEDFE2A1A95}">
      <text>
        <r>
          <rPr>
            <sz val="8"/>
            <color indexed="81"/>
            <rFont val="Tahoma"/>
            <family val="2"/>
          </rPr>
          <t>Side Boards/Headboards for 
Track Bi Fold or Sliding 
incur an additional charge.</t>
        </r>
      </text>
    </comment>
    <comment ref="Q21" authorId="0" shapeId="0" xr:uid="{9E74A248-2A37-4BF0-A4B9-B65404421310}">
      <text>
        <r>
          <rPr>
            <sz val="8"/>
            <color indexed="81"/>
            <rFont val="Tahoma"/>
            <family val="2"/>
          </rPr>
          <t>Side Boards/Headboards for 
Track Bi Fold or Sliding 
incur an additional charge.</t>
        </r>
      </text>
    </comment>
    <comment ref="R21" authorId="0" shapeId="0" xr:uid="{21715D68-8BA4-46AC-9BCE-C7B491BDDBCE}">
      <text>
        <r>
          <rPr>
            <sz val="8"/>
            <color indexed="81"/>
            <rFont val="Tahoma"/>
            <family val="2"/>
          </rPr>
          <t>For Sliding, a 
Top Slide Channel 
will be suppplied.
Side Boards/Headboards for 
Track Bi Fold or Sliding 
incur an additional charge.</t>
        </r>
      </text>
    </comment>
    <comment ref="S21" authorId="0" shapeId="0" xr:uid="{31649F48-1821-4B34-8AE5-620337DC646A}">
      <text>
        <r>
          <rPr>
            <sz val="8"/>
            <color indexed="81"/>
            <rFont val="Tahoma"/>
            <family val="2"/>
          </rPr>
          <t>For Sliding, a 
Bottom Slide Channel 
will be suppplied.
Side Boards/Headboards for 
Track Bi Fold or Sliding 
incur an additional charge.</t>
        </r>
      </text>
    </comment>
    <comment ref="T21" authorId="0" shapeId="0" xr:uid="{81F11829-D1FD-43DB-BA5D-06561C954EBB}">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21" authorId="0" shapeId="0" xr:uid="{C12596F8-7671-48C2-B07E-F8130ABFEC61}">
      <text>
        <r>
          <rPr>
            <sz val="8"/>
            <color indexed="81"/>
            <rFont val="Tahoma"/>
            <family val="2"/>
          </rPr>
          <t>The Tiltrod Type 
options are;
For 
Eco Aluminium External Standard
&amp; Eco Aluminium External Lite;
Hidden Back
Hidden Front
For 
Eco Aluminium External Privacy Screen
N/A</t>
        </r>
      </text>
    </comment>
    <comment ref="Y21" authorId="0" shapeId="0" xr:uid="{19FE7CFD-FA7C-446F-9E18-A1CA61721273}">
      <text>
        <r>
          <rPr>
            <sz val="8"/>
            <color indexed="81"/>
            <rFont val="Tahoma"/>
            <family val="2"/>
          </rPr>
          <t>The Flush Bolt 
options are;
For Hinged, Pivot Hinged, Sliding &amp; Track Bi Fold;
No
Silver
White
For Fixed;
N/A
For MS;
N/A</t>
        </r>
      </text>
    </comment>
    <comment ref="Z21" authorId="0" shapeId="0" xr:uid="{72AE2C6B-867F-4C32-8DDC-064C9F5261F6}">
      <text>
        <r>
          <rPr>
            <sz val="8"/>
            <color indexed="81"/>
            <rFont val="Tahoma"/>
            <family val="2"/>
          </rPr>
          <t>The Flush Bolt 
Location options are;
Hinged &amp; Pivot Hinged;
Bottom
Top
Bottom &amp; Top
Sliding &amp; Track Bi Fold;
Bottom</t>
        </r>
      </text>
    </comment>
    <comment ref="C22" authorId="0" shapeId="0" xr:uid="{26B811E4-3A43-46AD-B3D6-4F3C42B9DBA8}">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22" authorId="0" shapeId="0" xr:uid="{DC946752-14C9-4437-ADEF-C0F7DC408708}">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22" authorId="0" shapeId="0" xr:uid="{64CA8468-2F2E-4BDB-BA44-5DD205764F7E}">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22" authorId="0" shapeId="0" xr:uid="{D73A8893-9E95-4CDC-A5F8-94B947CDF080}">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22" authorId="0" shapeId="0" xr:uid="{80078812-EED0-4B2C-B790-691E40CCB185}">
      <text>
        <r>
          <rPr>
            <sz val="8"/>
            <color indexed="81"/>
            <rFont val="Tahoma"/>
            <family val="2"/>
          </rPr>
          <t>The Blade sizes options are;
Eco Aluminium External Standard &amp; 
Eco Aluminium External Privacy Screen;
63mm
89mm
114mm
Eco Aluminium External Lite;
89mm</t>
        </r>
      </text>
    </comment>
    <comment ref="H22" authorId="0" shapeId="0" xr:uid="{F67FFD35-AD8B-401C-9D1F-F92B7B9EA956}">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22" authorId="0" shapeId="0" xr:uid="{F858BB2B-9610-4110-BF3C-446A0DCCCFAB}">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22" authorId="0" shapeId="0" xr:uid="{C6B4299F-6EB5-4C41-A3FF-4B401A9F2C78}">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22" authorId="0" shapeId="0" xr:uid="{FCAC6BA0-B7D0-4B9D-A193-C4E24DDAE47B}">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22" authorId="0" shapeId="0" xr:uid="{7A01837E-8891-411E-8434-61A7BBC9F5CF}">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22" authorId="0" shapeId="0" xr:uid="{7DB9B372-36BB-4F7B-9504-3DFDF6B626BC}">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22" authorId="0" shapeId="0" xr:uid="{25D12C83-E2DE-40E8-91A2-E604E5F00AD5}">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22" authorId="0" shapeId="0" xr:uid="{D0A57324-ECD5-4C44-AD53-55F8AD842064}">
      <text>
        <r>
          <rPr>
            <sz val="8"/>
            <color indexed="81"/>
            <rFont val="Tahoma"/>
            <family val="2"/>
          </rPr>
          <t>The Frame Type is dependant on
 Mounting Method.</t>
        </r>
      </text>
    </comment>
    <comment ref="P22" authorId="0" shapeId="0" xr:uid="{F31DD4CA-13A3-4F87-A2BC-839FF10A6FEB}">
      <text>
        <r>
          <rPr>
            <sz val="8"/>
            <color indexed="81"/>
            <rFont val="Tahoma"/>
            <family val="2"/>
          </rPr>
          <t>Side Boards/Headboards for 
Track Bi Fold or Sliding 
incur an additional charge.</t>
        </r>
      </text>
    </comment>
    <comment ref="Q22" authorId="0" shapeId="0" xr:uid="{FF1C8518-3840-4181-93E8-CE2F39BC9386}">
      <text>
        <r>
          <rPr>
            <sz val="8"/>
            <color indexed="81"/>
            <rFont val="Tahoma"/>
            <family val="2"/>
          </rPr>
          <t>Side Boards/Headboards for 
Track Bi Fold or Sliding 
incur an additional charge.</t>
        </r>
      </text>
    </comment>
    <comment ref="R22" authorId="0" shapeId="0" xr:uid="{0791CB40-83D7-4701-92E5-12F03F0ABEF8}">
      <text>
        <r>
          <rPr>
            <sz val="8"/>
            <color indexed="81"/>
            <rFont val="Tahoma"/>
            <family val="2"/>
          </rPr>
          <t>For Sliding, a 
Top Slide Channel 
will be suppplied.
Side Boards/Headboards for 
Track Bi Fold or Sliding 
incur an additional charge.</t>
        </r>
      </text>
    </comment>
    <comment ref="S22" authorId="0" shapeId="0" xr:uid="{B298C3B5-EC67-4B76-8076-5ED4FDF54774}">
      <text>
        <r>
          <rPr>
            <sz val="8"/>
            <color indexed="81"/>
            <rFont val="Tahoma"/>
            <family val="2"/>
          </rPr>
          <t>For Sliding, a 
Bottom Slide Channel 
will be suppplied.
Side Boards/Headboards for 
Track Bi Fold or Sliding 
incur an additional charge.</t>
        </r>
      </text>
    </comment>
    <comment ref="T22" authorId="0" shapeId="0" xr:uid="{7C0DE76A-C16E-4CC7-B4E4-7B7C4AA0119C}">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22" authorId="0" shapeId="0" xr:uid="{5A4EEEBA-7B53-46DD-BF31-A0FBC199520D}">
      <text>
        <r>
          <rPr>
            <sz val="8"/>
            <color indexed="81"/>
            <rFont val="Tahoma"/>
            <family val="2"/>
          </rPr>
          <t>The Tiltrod Type 
options are;
For 
Eco Aluminium External Standard
&amp; Eco Aluminium External Lite;
Hidden Back
Hidden Front
For 
Eco Aluminium External Privacy Screen
N/A</t>
        </r>
      </text>
    </comment>
    <comment ref="Y22" authorId="0" shapeId="0" xr:uid="{2E908F1D-585F-4084-8E3D-4D5116649E00}">
      <text>
        <r>
          <rPr>
            <sz val="8"/>
            <color indexed="81"/>
            <rFont val="Tahoma"/>
            <family val="2"/>
          </rPr>
          <t>The Flush Bolt 
options are;
For Hinged, Pivot Hinged, Sliding &amp; Track Bi Fold;
No
Silver
White
For Fixed;
N/A
For MS;
N/A</t>
        </r>
      </text>
    </comment>
    <comment ref="Z22" authorId="0" shapeId="0" xr:uid="{95437742-87AA-44EA-A790-95B3F5B0463D}">
      <text>
        <r>
          <rPr>
            <sz val="8"/>
            <color indexed="81"/>
            <rFont val="Tahoma"/>
            <family val="2"/>
          </rPr>
          <t>The Flush Bolt 
Location options are;
Hinged &amp; Pivot Hinged;
Bottom
Top
Bottom &amp; Top
Sliding &amp; Track Bi Fold;
Bottom</t>
        </r>
      </text>
    </comment>
    <comment ref="C23" authorId="0" shapeId="0" xr:uid="{22F7EDD8-40F3-440D-BF81-7E8072EBC603}">
      <text>
        <r>
          <rPr>
            <sz val="8"/>
            <color indexed="81"/>
            <rFont val="Tahoma"/>
            <family val="2"/>
          </rPr>
          <t xml:space="preserve">
The Minimum Panel Width is 200mm 
and 250mm for Privacy Screen.
The Maximum Panel Widths are; 
Double Hinged; 1000mm Per Panel (Over 1 Panel Maximum)
Fixed; 1000mm Per Panel
Hinged; 1000mm Per Panel
Pivot Hinged; 1000mm Per Panel
Sliding; 1000mm Per Panel
Track Fi Fold; 1000mm Per Panel
Privacy Screen; 1500mm Per Panel
</t>
        </r>
        <r>
          <rPr>
            <i/>
            <sz val="8"/>
            <color indexed="81"/>
            <rFont val="Tahoma"/>
            <family val="2"/>
          </rPr>
          <t>Please note: 
Larger Panels may sometimes require l
ifting in to the frame.</t>
        </r>
      </text>
    </comment>
    <comment ref="D23" authorId="0" shapeId="0" xr:uid="{ACFD8EE1-04D0-43FF-9F75-E77426A82CF0}">
      <text>
        <r>
          <rPr>
            <sz val="8"/>
            <color indexed="81"/>
            <rFont val="Tahoma"/>
            <family val="2"/>
          </rPr>
          <t xml:space="preserve">
The Minimum Panel Height is 400mm 
and 250mm for Privacy Screen.
The Maximum Panel Heights are; 
Double Hinged; 2100mm Per Panel
Fixed; 3500mm Per Panel
Hinged; 3500mm Per Panel
Pivot Hinged; 3500mm Per Panel
Sliding; 3500mm Per Panel
Track Fi Fold; 3000mm Per Panel
Privacy Screen; 3500mm Per Panel
</t>
        </r>
        <r>
          <rPr>
            <i/>
            <sz val="8"/>
            <color indexed="81"/>
            <rFont val="Tahoma"/>
            <family val="2"/>
          </rPr>
          <t>Please note: 
Larger Panels may sometimes require l
ifting in to the frame.</t>
        </r>
      </text>
    </comment>
    <comment ref="E23" authorId="0" shapeId="0" xr:uid="{3A2E9712-05C9-4CBA-AFD8-B167CDC1BF14}">
      <text>
        <r>
          <rPr>
            <sz val="8"/>
            <color indexed="81"/>
            <rFont val="Tahoma"/>
            <family val="2"/>
          </rPr>
          <t xml:space="preserve">In - Inside or Reveal Fit
Out - Outside or Face Fit
Alternative Option;
MS - Make Size
Panel Only Option
</t>
        </r>
        <r>
          <rPr>
            <i/>
            <sz val="8"/>
            <color indexed="81"/>
            <rFont val="Tahoma"/>
            <family val="2"/>
          </rPr>
          <t>(Used for specific requirements only)</t>
        </r>
        <r>
          <rPr>
            <sz val="8"/>
            <color indexed="81"/>
            <rFont val="Tahoma"/>
            <family val="2"/>
          </rPr>
          <t xml:space="preserve">
The Eco Aluminium External Privacy Screen 
can only be ordered as MS.
</t>
        </r>
      </text>
    </comment>
    <comment ref="F23" authorId="0" shapeId="0" xr:uid="{6CC0F29F-81BB-4128-BF07-960C1683F9FF}">
      <text>
        <r>
          <rPr>
            <sz val="8"/>
            <color indexed="81"/>
            <rFont val="Tahoma"/>
            <family val="2"/>
          </rPr>
          <t xml:space="preserve">The Panel Quantity is the number 
of Panels within the opening. 
</t>
        </r>
        <r>
          <rPr>
            <i/>
            <sz val="8"/>
            <color indexed="81"/>
            <rFont val="Tahoma"/>
            <family val="2"/>
          </rPr>
          <t>If ordering Make Size (MS), 
this will be the number of Panels 
at this size.</t>
        </r>
      </text>
    </comment>
    <comment ref="G23" authorId="0" shapeId="0" xr:uid="{93167608-E7FD-4339-81F3-0BDCC4978669}">
      <text>
        <r>
          <rPr>
            <sz val="8"/>
            <color indexed="81"/>
            <rFont val="Tahoma"/>
            <family val="2"/>
          </rPr>
          <t>The Blade sizes options are;
Eco Aluminium External Standard &amp; 
Eco Aluminium External Privacy Screen;
63mm
89mm
114mm
Eco Aluminium External Lite;
89mm</t>
        </r>
      </text>
    </comment>
    <comment ref="H23" authorId="0" shapeId="0" xr:uid="{204A0E6E-581E-4CC7-80F2-5E9D1C5FDB66}">
      <text>
        <r>
          <rPr>
            <sz val="8"/>
            <color indexed="81"/>
            <rFont val="Tahoma"/>
            <family val="2"/>
          </rPr>
          <t>The Material &amp; Product 
is dependant on the MS, In Or Out selection. 
The options are;
Eco Aluminium External Standard
Eco Aluminium External Lite
Eco Aluminium External Privacy Screen
The Eco Aluminium External Lite is only available 
with a 89mm Blade.
The Eco Standard Shutter &amp; Eco Privacy Screen 
is made with metal Blade end caps.
The Eco Lite Shutter is made with 
plastic Blade end caps.
The Eco Aluminium External Privacy Screen 
can only be ordered as MS.</t>
        </r>
      </text>
    </comment>
    <comment ref="I23" authorId="0" shapeId="0" xr:uid="{9C0CFC3C-935D-4A9E-A6B7-C369242861F9}">
      <text>
        <r>
          <rPr>
            <sz val="8"/>
            <color indexed="81"/>
            <rFont val="Tahoma"/>
            <family val="2"/>
          </rPr>
          <t xml:space="preserve">The Colours options available are;
Eco Aluminium External Standard &amp; Eco Aluminium External Privacy Screen;
Black Textured 
Golden Oak
Light Cedar
Pearl
Silver
Walnut
White
Eco Custom Dulux Colour
Eco Aluminium External Lite
Vivid White
Eco Custom Dulux Colour
</t>
        </r>
        <r>
          <rPr>
            <i/>
            <sz val="8"/>
            <color indexed="81"/>
            <rFont val="Tahoma"/>
            <family val="2"/>
          </rPr>
          <t>Custom Colours Surcharge applies.</t>
        </r>
      </text>
    </comment>
    <comment ref="J23" authorId="0" shapeId="0" xr:uid="{3EB7B770-DA04-4D69-AA92-4AFFF9EA5D2F}">
      <text>
        <r>
          <rPr>
            <sz val="8"/>
            <color indexed="81"/>
            <rFont val="Tahoma"/>
            <family val="2"/>
          </rPr>
          <t xml:space="preserve">Mid Rail is required on Panels over 1800mm.
Cell will highlight yellow when Mid Rail is required.
Only one Critical Mid Rail is allowed.
Mid Rails are not available on the Aluminium Privacy Screen.
</t>
        </r>
        <r>
          <rPr>
            <i/>
            <sz val="8"/>
            <color indexed="81"/>
            <rFont val="Tahoma"/>
            <family val="2"/>
          </rPr>
          <t>A Mid Rail that is not marked "Critical" may be moved up or down 
up to 40mm to stop any gaps and increase/decrease the blade quantity.</t>
        </r>
      </text>
    </comment>
    <comment ref="K23" authorId="0" shapeId="0" xr:uid="{020C4D8C-3273-4F22-91DC-8958176D23A0}">
      <text>
        <r>
          <rPr>
            <sz val="8"/>
            <color indexed="81"/>
            <rFont val="Tahoma"/>
            <family val="2"/>
          </rPr>
          <t>The Window Type is dependant
on the Colour. 
The options are;
All Colours; 
Standard
Black Textured, Pearl, 
Silver &amp; White;
Standard
Shaped Raked
Shaped Triangle
Shaped Raked &amp; Triangle Shutters must have a drawing supplied.
A Shaped Window  
Surcharge applies.</t>
        </r>
      </text>
    </comment>
    <comment ref="L23" authorId="0" shapeId="0" xr:uid="{84044CC8-5CA6-4B0C-9753-0411167F00FF}">
      <text>
        <r>
          <rPr>
            <sz val="8"/>
            <color indexed="81"/>
            <rFont val="Tahoma"/>
            <family val="2"/>
          </rPr>
          <t>The Mounting Method is dependant 
on  MS, In Or Out &amp; Window Type.
For IN
the options are;
Double Hinged
Fixed
Hinged
Pivot Hinged
Sliding
Track Bi Fold
For OUT 
the options are;
Double Hinged
Hinged
Pivot Hinged
Sliding
Track Bi Fold
For MS, the options are;
N/A</t>
        </r>
      </text>
    </comment>
    <comment ref="M23" authorId="0" shapeId="0" xr:uid="{8D04DD7F-9596-40A8-AA9C-2B143458858A}">
      <text>
        <r>
          <rPr>
            <sz val="8"/>
            <color indexed="81"/>
            <rFont val="Tahoma"/>
            <family val="2"/>
          </rPr>
          <t xml:space="preserve">Please refer to the Shutter Manual 
when selecting Layout Code.
The list provides the most common options, 
which are dependent on Mounting Method.
</t>
        </r>
        <r>
          <rPr>
            <i/>
            <sz val="8"/>
            <color indexed="81"/>
            <rFont val="Tahoma"/>
            <family val="2"/>
          </rPr>
          <t>More complex Layout Codes can still be entered manually.</t>
        </r>
      </text>
    </comment>
    <comment ref="N23" authorId="0" shapeId="0" xr:uid="{313D709E-BC17-4CDF-A775-0463C77A4ABF}">
      <text>
        <r>
          <rPr>
            <sz val="8"/>
            <color indexed="81"/>
            <rFont val="Tahoma"/>
            <family val="2"/>
          </rPr>
          <t xml:space="preserve">The Hinge Colour options are;
Black
White
Stainless Steel
N/A
The Pivot Hinged Colour options are;
Stainless Steel
Please refer to the Shutter Manual. 
</t>
        </r>
        <r>
          <rPr>
            <i/>
            <sz val="8"/>
            <color indexed="81"/>
            <rFont val="Tahoma"/>
            <family val="2"/>
          </rPr>
          <t>Stainless Steel Surcharge applies.</t>
        </r>
      </text>
    </comment>
    <comment ref="O23" authorId="0" shapeId="0" xr:uid="{855A376C-E513-4875-90E2-3E99629F299D}">
      <text>
        <r>
          <rPr>
            <sz val="8"/>
            <color indexed="81"/>
            <rFont val="Tahoma"/>
            <family val="2"/>
          </rPr>
          <t>The Frame Type is dependant on
 Mounting Method.</t>
        </r>
      </text>
    </comment>
    <comment ref="P23" authorId="0" shapeId="0" xr:uid="{D2AE1226-FE70-4D19-AD69-71408A42F60B}">
      <text>
        <r>
          <rPr>
            <sz val="8"/>
            <color indexed="81"/>
            <rFont val="Tahoma"/>
            <family val="2"/>
          </rPr>
          <t>Side Boards/Headboards for 
Track Bi Fold or Sliding 
incur an additional charge.</t>
        </r>
      </text>
    </comment>
    <comment ref="Q23" authorId="0" shapeId="0" xr:uid="{CFD1473D-62CE-4250-A58D-4DDA5113CCC8}">
      <text>
        <r>
          <rPr>
            <sz val="8"/>
            <color indexed="81"/>
            <rFont val="Tahoma"/>
            <family val="2"/>
          </rPr>
          <t>Side Boards/Headboards for 
Track Bi Fold or Sliding 
incur an additional charge.</t>
        </r>
      </text>
    </comment>
    <comment ref="R23" authorId="0" shapeId="0" xr:uid="{493D995D-1F9D-4FBB-82D3-2BE11AD63779}">
      <text>
        <r>
          <rPr>
            <sz val="8"/>
            <color indexed="81"/>
            <rFont val="Tahoma"/>
            <family val="2"/>
          </rPr>
          <t>For Sliding, a 
Top Slide Channel 
will be suppplied.
Side Boards/Headboards for 
Track Bi Fold or Sliding 
incur an additional charge.</t>
        </r>
      </text>
    </comment>
    <comment ref="S23" authorId="0" shapeId="0" xr:uid="{B2E92704-CCA7-4ED2-A5C1-C2DB335B7578}">
      <text>
        <r>
          <rPr>
            <sz val="8"/>
            <color indexed="81"/>
            <rFont val="Tahoma"/>
            <family val="2"/>
          </rPr>
          <t>For Sliding, a 
Bottom Slide Channel 
will be suppplied.
Side Boards/Headboards for 
Track Bi Fold or Sliding 
incur an additional charge.</t>
        </r>
      </text>
    </comment>
    <comment ref="T23" authorId="0" shapeId="0" xr:uid="{27F465D4-AFE4-4230-B2D2-6B0B0721ABF9}">
      <text>
        <r>
          <rPr>
            <sz val="8"/>
            <color indexed="81"/>
            <rFont val="Tahoma"/>
            <family val="2"/>
          </rPr>
          <t xml:space="preserve">If any T/H Posts are required then the measurements 
must be supplied under the next columns.
</t>
        </r>
        <r>
          <rPr>
            <i/>
            <sz val="8"/>
            <color indexed="81"/>
            <rFont val="Tahoma"/>
            <family val="2"/>
          </rPr>
          <t>Measurements should be made from the left.</t>
        </r>
      </text>
    </comment>
    <comment ref="X23" authorId="0" shapeId="0" xr:uid="{ED6042D9-B93E-4ACC-B944-A3EF8128AC0A}">
      <text>
        <r>
          <rPr>
            <sz val="8"/>
            <color indexed="81"/>
            <rFont val="Tahoma"/>
            <family val="2"/>
          </rPr>
          <t>The Tiltrod Type 
options are;
For 
Eco Aluminium External Standard
&amp; Eco Aluminium External Lite;
Hidden Back
Hidden Front
For 
Eco Aluminium External Privacy Screen
N/A</t>
        </r>
      </text>
    </comment>
    <comment ref="Y23" authorId="0" shapeId="0" xr:uid="{D520408C-D42D-496F-9863-42238C2D2576}">
      <text>
        <r>
          <rPr>
            <sz val="8"/>
            <color indexed="81"/>
            <rFont val="Tahoma"/>
            <family val="2"/>
          </rPr>
          <t>The Flush Bolt 
options are;
For Hinged, Pivot Hinged, Sliding &amp; Track Bi Fold;
No
Silver
White
For Fixed;
N/A
For MS;
N/A</t>
        </r>
      </text>
    </comment>
    <comment ref="Z23" authorId="0" shapeId="0" xr:uid="{F4FD98E7-680A-47DB-99C2-7BE339F6E682}">
      <text>
        <r>
          <rPr>
            <sz val="8"/>
            <color indexed="81"/>
            <rFont val="Tahoma"/>
            <family val="2"/>
          </rPr>
          <t>The Flush Bolt 
Location options are;
Hinged &amp; Pivot Hinged;
Bottom
Top
Bottom &amp; Top
Sliding &amp; Track Bi Fold;
Bottom</t>
        </r>
      </text>
    </comment>
    <comment ref="B25" authorId="0" shapeId="0" xr:uid="{9DF43C02-F9A8-485F-B4CD-7A5B7E208FC9}">
      <text>
        <r>
          <rPr>
            <sz val="8"/>
            <color indexed="81"/>
            <rFont val="Tahoma"/>
            <family val="2"/>
          </rPr>
          <t>The Safety Lock 
options are;
No
Silver
For Eco Aluminium External Privacy Screen;
N/A</t>
        </r>
      </text>
    </comment>
    <comment ref="C25" authorId="0" shapeId="0" xr:uid="{DD987E92-D167-4BE0-9125-ACC6108E2FCF}">
      <text>
        <r>
          <rPr>
            <sz val="8"/>
            <color indexed="81"/>
            <rFont val="Tahoma"/>
            <family val="2"/>
          </rPr>
          <t>The Safety Lock  
Location options are;
Bottom
Top
Bottom &amp; Top
N/A</t>
        </r>
      </text>
    </comment>
    <comment ref="D25" authorId="0" shapeId="0" xr:uid="{4FF409BF-3497-4F6F-A275-078EEAE6DB88}">
      <text>
        <r>
          <rPr>
            <sz val="8"/>
            <color indexed="81"/>
            <rFont val="Tahoma"/>
            <family val="2"/>
          </rPr>
          <t>The Key Lock 
options are;
No
Silver
White
For Eco Aluminium External Privacy Screen;
N/A</t>
        </r>
      </text>
    </comment>
    <comment ref="E25" authorId="0" shapeId="0" xr:uid="{7FBBE39A-5D00-45A5-9CFD-D99D0E74371A}">
      <text>
        <r>
          <rPr>
            <sz val="8"/>
            <color indexed="81"/>
            <rFont val="Tahoma"/>
            <family val="2"/>
          </rPr>
          <t>The Louvre/Blade Lock 
options are;
No
Yes
For Eco Aluminium External Privacy Screen;
N/A</t>
        </r>
      </text>
    </comment>
    <comment ref="F25" authorId="0" shapeId="0" xr:uid="{04C8BA93-0AAB-4C88-B6F9-0BD3E751E7B8}">
      <text>
        <r>
          <rPr>
            <sz val="8"/>
            <color indexed="81"/>
            <rFont val="Tahoma"/>
            <family val="2"/>
          </rPr>
          <t>The Handle Lock 
options are;
Black
White
No
For Eco Aluminium External Privacy Screen;
N/A</t>
        </r>
      </text>
    </comment>
    <comment ref="G25" authorId="0" shapeId="0" xr:uid="{2DB2D744-3C70-44E8-99C5-B8229A7C05F1}">
      <text>
        <r>
          <rPr>
            <sz val="8"/>
            <color indexed="81"/>
            <rFont val="Tahoma"/>
            <family val="2"/>
          </rPr>
          <t>Please enter the Extra Items required.</t>
        </r>
      </text>
    </comment>
    <comment ref="L25" authorId="0" shapeId="0" xr:uid="{CB80BF1A-8D84-45DB-AA50-DCFE0104EEDA}">
      <text>
        <r>
          <rPr>
            <sz val="8"/>
            <color indexed="81"/>
            <rFont val="Tahoma"/>
            <family val="2"/>
          </rPr>
          <t>Please enter the Special Comments required.</t>
        </r>
      </text>
    </comment>
    <comment ref="N25" authorId="0" shapeId="0" xr:uid="{3BD0505E-39F6-4C48-907A-B42646F6FBED}">
      <text>
        <r>
          <rPr>
            <sz val="8"/>
            <color indexed="81"/>
            <rFont val="Tahoma"/>
            <family val="2"/>
          </rPr>
          <t>Please enter the additional Special Comments required.</t>
        </r>
      </text>
    </comment>
    <comment ref="Q25" authorId="0" shapeId="0" xr:uid="{257369B5-26D4-46FF-9152-F70474B1923A}">
      <text>
        <r>
          <rPr>
            <sz val="8"/>
            <color indexed="81"/>
            <rFont val="Tahoma"/>
            <family val="2"/>
          </rPr>
          <t>Please enter the Additional Hardware Items required.</t>
        </r>
      </text>
    </comment>
    <comment ref="V25" authorId="0" shapeId="0" xr:uid="{3A712AE5-C124-4FFF-98BA-97F80688BC1C}">
      <text>
        <r>
          <rPr>
            <sz val="8"/>
            <color indexed="81"/>
            <rFont val="Tahoma"/>
            <family val="2"/>
          </rPr>
          <t>Please enter the General Comments required.</t>
        </r>
      </text>
    </comment>
    <comment ref="J26" authorId="0" shapeId="0" xr:uid="{02B1986F-1E57-4971-8A67-793C5D7400E1}">
      <text>
        <r>
          <rPr>
            <sz val="8"/>
            <color indexed="81"/>
            <rFont val="Tahoma"/>
            <family val="2"/>
          </rPr>
          <t>The Colour is dependent on
 the Extra Item.</t>
        </r>
      </text>
    </comment>
    <comment ref="B27" authorId="0" shapeId="0" xr:uid="{BD0C8633-3B77-4094-9070-A168EA579CA1}">
      <text>
        <r>
          <rPr>
            <sz val="8"/>
            <color indexed="81"/>
            <rFont val="Tahoma"/>
            <family val="2"/>
          </rPr>
          <t>The Safety Lock 
options are;
No
Silver
For Eco Aluminium External Privacy Screen;
N/A</t>
        </r>
      </text>
    </comment>
    <comment ref="C27" authorId="0" shapeId="0" xr:uid="{0520596D-2F1D-4FD0-BF0B-CCCD170E9B0D}">
      <text>
        <r>
          <rPr>
            <sz val="8"/>
            <color indexed="81"/>
            <rFont val="Tahoma"/>
            <family val="2"/>
          </rPr>
          <t>The Safety Lock  
Location options are;
Bottom
Top
Bottom &amp; Top
N/A</t>
        </r>
      </text>
    </comment>
    <comment ref="D27" authorId="0" shapeId="0" xr:uid="{01DD0810-996F-4F18-BFDE-7ECA75F4533B}">
      <text>
        <r>
          <rPr>
            <sz val="8"/>
            <color indexed="81"/>
            <rFont val="Tahoma"/>
            <family val="2"/>
          </rPr>
          <t>The Key Lock 
options are;
No
Silver
White
For Eco Aluminium External Privacy Screen;
N/A</t>
        </r>
      </text>
    </comment>
    <comment ref="E27" authorId="0" shapeId="0" xr:uid="{7FD24E6B-FFA9-4ADB-A56A-0D4551F2BC79}">
      <text>
        <r>
          <rPr>
            <sz val="8"/>
            <color indexed="81"/>
            <rFont val="Tahoma"/>
            <family val="2"/>
          </rPr>
          <t>The Louvre/Blade Lock 
options are;
No
Yes
For Eco Aluminium External Privacy Screen;
N/A</t>
        </r>
      </text>
    </comment>
    <comment ref="F27" authorId="0" shapeId="0" xr:uid="{4BC22176-51CF-4321-A0FD-33375329B6DA}">
      <text>
        <r>
          <rPr>
            <sz val="8"/>
            <color indexed="81"/>
            <rFont val="Tahoma"/>
            <family val="2"/>
          </rPr>
          <t>The Handle Lock 
options are;
Black
White
No
For Eco Aluminium External Privacy Screen;
N/A</t>
        </r>
      </text>
    </comment>
    <comment ref="J27" authorId="0" shapeId="0" xr:uid="{07786EFD-A392-4606-BC9D-FB5B171A1314}">
      <text>
        <r>
          <rPr>
            <sz val="8"/>
            <color indexed="81"/>
            <rFont val="Tahoma"/>
            <family val="2"/>
          </rPr>
          <t>The Colour is dependent on
 the Extra Item.</t>
        </r>
      </text>
    </comment>
    <comment ref="B28" authorId="0" shapeId="0" xr:uid="{7BF4ECC0-A332-40D3-9BD5-B02CD9CE8FB5}">
      <text>
        <r>
          <rPr>
            <sz val="8"/>
            <color indexed="81"/>
            <rFont val="Tahoma"/>
            <family val="2"/>
          </rPr>
          <t>The Safety Lock 
options are;
No
Silver
For Eco Aluminium External Privacy Screen;
N/A</t>
        </r>
      </text>
    </comment>
    <comment ref="C28" authorId="0" shapeId="0" xr:uid="{7614403A-55EF-4070-B438-DC1AB460DD39}">
      <text>
        <r>
          <rPr>
            <sz val="8"/>
            <color indexed="81"/>
            <rFont val="Tahoma"/>
            <family val="2"/>
          </rPr>
          <t>The Safety Lock  
Location options are;
Bottom
Top
Bottom &amp; Top
N/A</t>
        </r>
      </text>
    </comment>
    <comment ref="D28" authorId="0" shapeId="0" xr:uid="{F65D0D8C-44A3-47C6-8AAE-EB59ED56997A}">
      <text>
        <r>
          <rPr>
            <sz val="8"/>
            <color indexed="81"/>
            <rFont val="Tahoma"/>
            <family val="2"/>
          </rPr>
          <t>The Key Lock 
options are;
No
Silver
White
For Eco Aluminium External Privacy Screen;
N/A</t>
        </r>
      </text>
    </comment>
    <comment ref="E28" authorId="0" shapeId="0" xr:uid="{E133748E-C765-4732-A933-27961AE27283}">
      <text>
        <r>
          <rPr>
            <sz val="8"/>
            <color indexed="81"/>
            <rFont val="Tahoma"/>
            <family val="2"/>
          </rPr>
          <t>The Louvre/Blade Lock 
options are;
No
Yes
For Eco Aluminium External Privacy Screen;
N/A</t>
        </r>
      </text>
    </comment>
    <comment ref="F28" authorId="0" shapeId="0" xr:uid="{446886E6-B7F6-4567-ACF0-1B008E65A78B}">
      <text>
        <r>
          <rPr>
            <sz val="8"/>
            <color indexed="81"/>
            <rFont val="Tahoma"/>
            <family val="2"/>
          </rPr>
          <t>The Handle Lock 
options are;
Black
White
No
For Eco Aluminium External Privacy Screen;
N/A</t>
        </r>
      </text>
    </comment>
    <comment ref="J28" authorId="0" shapeId="0" xr:uid="{51FAB160-D805-4A3A-A457-1237D042692E}">
      <text>
        <r>
          <rPr>
            <sz val="8"/>
            <color indexed="81"/>
            <rFont val="Tahoma"/>
            <family val="2"/>
          </rPr>
          <t>The Colour is dependent on
 the Extra Item.</t>
        </r>
      </text>
    </comment>
    <comment ref="B29" authorId="0" shapeId="0" xr:uid="{CA302C09-4139-41A1-A030-5DE501584725}">
      <text>
        <r>
          <rPr>
            <sz val="8"/>
            <color indexed="81"/>
            <rFont val="Tahoma"/>
            <family val="2"/>
          </rPr>
          <t>The Safety Lock 
options are;
No
Silver
For Eco Aluminium External Privacy Screen;
N/A</t>
        </r>
      </text>
    </comment>
    <comment ref="C29" authorId="0" shapeId="0" xr:uid="{8021605C-7929-4D44-ACDC-CCF33F703633}">
      <text>
        <r>
          <rPr>
            <sz val="8"/>
            <color indexed="81"/>
            <rFont val="Tahoma"/>
            <family val="2"/>
          </rPr>
          <t>The Safety Lock  
Location options are;
Bottom
Top
Bottom &amp; Top
N/A</t>
        </r>
      </text>
    </comment>
    <comment ref="D29" authorId="0" shapeId="0" xr:uid="{EC59113D-C7EE-46E0-A774-C708072C52DD}">
      <text>
        <r>
          <rPr>
            <sz val="8"/>
            <color indexed="81"/>
            <rFont val="Tahoma"/>
            <family val="2"/>
          </rPr>
          <t>The Key Lock 
options are;
No
Silver
White</t>
        </r>
      </text>
    </comment>
    <comment ref="E29" authorId="0" shapeId="0" xr:uid="{63D7DA60-B4ED-4492-ACC2-B0F6CDF3F1BA}">
      <text>
        <r>
          <rPr>
            <sz val="8"/>
            <color indexed="81"/>
            <rFont val="Tahoma"/>
            <family val="2"/>
          </rPr>
          <t>The Louvre/Blade Lock 
options are;
No
Yes
For Eco Aluminium External Privacy Screen;
N/A</t>
        </r>
      </text>
    </comment>
    <comment ref="F29" authorId="0" shapeId="0" xr:uid="{FAA99002-FCE7-4E9D-B492-F09ADE1CFCC1}">
      <text>
        <r>
          <rPr>
            <sz val="8"/>
            <color indexed="81"/>
            <rFont val="Tahoma"/>
            <family val="2"/>
          </rPr>
          <t>The Handle Lock 
options are;
Black
White
No
For Eco Aluminium External Privacy Screen;
N/A</t>
        </r>
      </text>
    </comment>
    <comment ref="J29" authorId="0" shapeId="0" xr:uid="{8150DA6A-12DF-46F6-B4B9-B02563580E67}">
      <text>
        <r>
          <rPr>
            <sz val="8"/>
            <color indexed="81"/>
            <rFont val="Tahoma"/>
            <family val="2"/>
          </rPr>
          <t>The Colour is dependent on
 the Extra Item.</t>
        </r>
      </text>
    </comment>
    <comment ref="B30" authorId="0" shapeId="0" xr:uid="{26AC645E-6A15-4639-ACBE-D23B1BB62E67}">
      <text>
        <r>
          <rPr>
            <sz val="8"/>
            <color indexed="81"/>
            <rFont val="Tahoma"/>
            <family val="2"/>
          </rPr>
          <t>The Safety Lock 
options are;
No
Silver
For Eco Aluminium External Privacy Screen;
N/A</t>
        </r>
      </text>
    </comment>
    <comment ref="C30" authorId="0" shapeId="0" xr:uid="{EE7DDA58-0D86-4E17-918F-E6A61307DF1D}">
      <text>
        <r>
          <rPr>
            <sz val="8"/>
            <color indexed="81"/>
            <rFont val="Tahoma"/>
            <family val="2"/>
          </rPr>
          <t>The Safety Lock  
Location options are;
Bottom
Top
Bottom &amp; Top
N/A</t>
        </r>
      </text>
    </comment>
    <comment ref="D30" authorId="0" shapeId="0" xr:uid="{8A691164-C2C7-4855-BD80-C3706058B94E}">
      <text>
        <r>
          <rPr>
            <sz val="8"/>
            <color indexed="81"/>
            <rFont val="Tahoma"/>
            <family val="2"/>
          </rPr>
          <t>The Key Lock 
options are;
No
Silver
White</t>
        </r>
      </text>
    </comment>
    <comment ref="E30" authorId="0" shapeId="0" xr:uid="{A4FAB87A-2DD2-4026-B661-8F91AE862608}">
      <text>
        <r>
          <rPr>
            <sz val="8"/>
            <color indexed="81"/>
            <rFont val="Tahoma"/>
            <family val="2"/>
          </rPr>
          <t>The Louvre/Blade Lock 
options are;
No
Yes
For Eco Aluminium External Privacy Screen;
N/A</t>
        </r>
      </text>
    </comment>
    <comment ref="F30" authorId="0" shapeId="0" xr:uid="{C5128F52-66F3-426D-8EC8-D6C69A4CEE55}">
      <text>
        <r>
          <rPr>
            <sz val="8"/>
            <color indexed="81"/>
            <rFont val="Tahoma"/>
            <family val="2"/>
          </rPr>
          <t>The Handle Lock 
options are;
Black
White
No
For Eco Aluminium External Privacy Screen;
N/A</t>
        </r>
      </text>
    </comment>
    <comment ref="J30" authorId="0" shapeId="0" xr:uid="{3E0BB389-F929-46D1-8151-0DE87210DC6F}">
      <text>
        <r>
          <rPr>
            <sz val="8"/>
            <color indexed="81"/>
            <rFont val="Tahoma"/>
            <family val="2"/>
          </rPr>
          <t>The Colour is dependent on
 the Extra Item.</t>
        </r>
      </text>
    </comment>
    <comment ref="B31" authorId="0" shapeId="0" xr:uid="{3328E58E-3BEC-483A-9F45-66FE6FA4DEE6}">
      <text>
        <r>
          <rPr>
            <sz val="8"/>
            <color indexed="81"/>
            <rFont val="Tahoma"/>
            <family val="2"/>
          </rPr>
          <t>The Safety Lock 
options are;
No
Silver
For Eco Aluminium External Privacy Screen;
N/A</t>
        </r>
      </text>
    </comment>
    <comment ref="C31" authorId="0" shapeId="0" xr:uid="{0D5CE4B1-0B35-4ABD-BE64-8FC13F43F5F6}">
      <text>
        <r>
          <rPr>
            <sz val="8"/>
            <color indexed="81"/>
            <rFont val="Tahoma"/>
            <family val="2"/>
          </rPr>
          <t>The Safety Lock  
Location options are;
Bottom
Top
Bottom &amp; Top
N/A</t>
        </r>
      </text>
    </comment>
    <comment ref="D31" authorId="0" shapeId="0" xr:uid="{763F5769-60FF-4CAE-B7E3-9675AA32F172}">
      <text>
        <r>
          <rPr>
            <sz val="8"/>
            <color indexed="81"/>
            <rFont val="Tahoma"/>
            <family val="2"/>
          </rPr>
          <t>The Key Lock 
options are;
No
Silver
White</t>
        </r>
      </text>
    </comment>
    <comment ref="E31" authorId="0" shapeId="0" xr:uid="{2BC8C7B1-3DF8-4770-B2E5-6F0F1D62AACD}">
      <text>
        <r>
          <rPr>
            <sz val="8"/>
            <color indexed="81"/>
            <rFont val="Tahoma"/>
            <family val="2"/>
          </rPr>
          <t>The Louvre/Blade Lock 
options are;
No
Yes
For Eco Aluminium External Privacy Screen;
N/A</t>
        </r>
      </text>
    </comment>
    <comment ref="F31" authorId="0" shapeId="0" xr:uid="{EAA75066-1954-428C-9FE9-F23E22CDC247}">
      <text>
        <r>
          <rPr>
            <sz val="8"/>
            <color indexed="81"/>
            <rFont val="Tahoma"/>
            <family val="2"/>
          </rPr>
          <t>The Handle Lock 
options are;
Black
White
No
For Eco Aluminium External Privacy Screen;
N/A</t>
        </r>
      </text>
    </comment>
    <comment ref="J31" authorId="0" shapeId="0" xr:uid="{E96593CB-1676-415A-B61F-F1140E7C4077}">
      <text>
        <r>
          <rPr>
            <sz val="8"/>
            <color indexed="81"/>
            <rFont val="Tahoma"/>
            <family val="2"/>
          </rPr>
          <t>The Colour is dependent on
 the Extra Item.</t>
        </r>
      </text>
    </comment>
    <comment ref="B32" authorId="0" shapeId="0" xr:uid="{8C786A5E-06F8-4E97-9A25-00E31EBA4737}">
      <text>
        <r>
          <rPr>
            <sz val="8"/>
            <color indexed="81"/>
            <rFont val="Tahoma"/>
            <family val="2"/>
          </rPr>
          <t>The Safety Lock 
options are;
No
Silver
For Eco Aluminium External Privacy Screen;
N/A</t>
        </r>
      </text>
    </comment>
    <comment ref="C32" authorId="0" shapeId="0" xr:uid="{62670C1E-2483-4C8D-9CBA-C0D03CAB0ADE}">
      <text>
        <r>
          <rPr>
            <sz val="8"/>
            <color indexed="81"/>
            <rFont val="Tahoma"/>
            <family val="2"/>
          </rPr>
          <t>The Safety Lock  
Location options are;
Bottom
Top
Bottom &amp; Top
N/A</t>
        </r>
      </text>
    </comment>
    <comment ref="D32" authorId="0" shapeId="0" xr:uid="{BE36582C-5483-479C-BA90-333E63E81D96}">
      <text>
        <r>
          <rPr>
            <sz val="8"/>
            <color indexed="81"/>
            <rFont val="Tahoma"/>
            <family val="2"/>
          </rPr>
          <t>The Key Lock 
options are;
No
Silver
White</t>
        </r>
      </text>
    </comment>
    <comment ref="E32" authorId="0" shapeId="0" xr:uid="{81DB870B-D5E8-4121-96ED-29508F170415}">
      <text>
        <r>
          <rPr>
            <sz val="8"/>
            <color indexed="81"/>
            <rFont val="Tahoma"/>
            <family val="2"/>
          </rPr>
          <t>The Louvre/Blade Lock 
options are;
No
Yes
For Eco Aluminium External Privacy Screen;
N/A</t>
        </r>
      </text>
    </comment>
    <comment ref="F32" authorId="0" shapeId="0" xr:uid="{2D40EE21-BD4F-4A58-A585-A39C179B6B7B}">
      <text>
        <r>
          <rPr>
            <sz val="8"/>
            <color indexed="81"/>
            <rFont val="Tahoma"/>
            <family val="2"/>
          </rPr>
          <t>The Handle Lock 
options are;
Black
White
No
For Eco Aluminium External Privacy Screen;
N/A</t>
        </r>
      </text>
    </comment>
    <comment ref="J32" authorId="0" shapeId="0" xr:uid="{37E3434A-3DD5-4D37-850E-7019E80B6BB6}">
      <text>
        <r>
          <rPr>
            <sz val="8"/>
            <color indexed="81"/>
            <rFont val="Tahoma"/>
            <family val="2"/>
          </rPr>
          <t>The Colour is dependent on
 the Extra Item.</t>
        </r>
      </text>
    </comment>
    <comment ref="B33" authorId="0" shapeId="0" xr:uid="{ECFDAEC4-335C-41E5-8E8B-54134C7CB13E}">
      <text>
        <r>
          <rPr>
            <sz val="8"/>
            <color indexed="81"/>
            <rFont val="Tahoma"/>
            <family val="2"/>
          </rPr>
          <t>The Safety Lock 
options are;
No
Silver
For Eco Aluminium External Privacy Screen;
N/A</t>
        </r>
      </text>
    </comment>
    <comment ref="C33" authorId="0" shapeId="0" xr:uid="{F18EE36B-DBED-42FB-8A75-077FC71626EC}">
      <text>
        <r>
          <rPr>
            <sz val="8"/>
            <color indexed="81"/>
            <rFont val="Tahoma"/>
            <family val="2"/>
          </rPr>
          <t>The Safety Lock  
Location options are;
Bottom
Top
Bottom &amp; Top
N/A</t>
        </r>
      </text>
    </comment>
    <comment ref="D33" authorId="0" shapeId="0" xr:uid="{C03F9071-30A0-4DAE-B251-01E6FF9B1A0B}">
      <text>
        <r>
          <rPr>
            <sz val="8"/>
            <color indexed="81"/>
            <rFont val="Tahoma"/>
            <family val="2"/>
          </rPr>
          <t>The Key Lock 
options are;
No
Silver
White</t>
        </r>
      </text>
    </comment>
    <comment ref="E33" authorId="0" shapeId="0" xr:uid="{A1C63652-61D5-4492-B8F6-A3CD2D5C9AAB}">
      <text>
        <r>
          <rPr>
            <sz val="8"/>
            <color indexed="81"/>
            <rFont val="Tahoma"/>
            <family val="2"/>
          </rPr>
          <t>The Louvre/Blade Lock 
options are;
No
Yes
For Eco Aluminium External Privacy Screen;
N/A</t>
        </r>
      </text>
    </comment>
    <comment ref="F33" authorId="0" shapeId="0" xr:uid="{C8FE5D6F-627C-41BE-866D-8910AB41A3D3}">
      <text>
        <r>
          <rPr>
            <sz val="8"/>
            <color indexed="81"/>
            <rFont val="Tahoma"/>
            <family val="2"/>
          </rPr>
          <t>The Handle Lock 
options are;
Black
White
No
For Eco Aluminium External Privacy Screen;
N/A</t>
        </r>
      </text>
    </comment>
    <comment ref="J33" authorId="0" shapeId="0" xr:uid="{775E76E1-CAFF-4745-8682-2C1C45D6C470}">
      <text>
        <r>
          <rPr>
            <sz val="8"/>
            <color indexed="81"/>
            <rFont val="Tahoma"/>
            <family val="2"/>
          </rPr>
          <t>The Colour is dependent on
 the Extra Item.</t>
        </r>
      </text>
    </comment>
    <comment ref="B34" authorId="0" shapeId="0" xr:uid="{0CF173EB-3D61-491F-B428-F647C57BC7B9}">
      <text>
        <r>
          <rPr>
            <sz val="8"/>
            <color indexed="81"/>
            <rFont val="Tahoma"/>
            <family val="2"/>
          </rPr>
          <t>The Safety Lock 
options are;
No
Silver
For Eco Aluminium External Privacy Screen;
N/A</t>
        </r>
      </text>
    </comment>
    <comment ref="C34" authorId="0" shapeId="0" xr:uid="{BD2216BC-A6EF-40EB-83C7-8F5EFBF0462B}">
      <text>
        <r>
          <rPr>
            <sz val="8"/>
            <color indexed="81"/>
            <rFont val="Tahoma"/>
            <family val="2"/>
          </rPr>
          <t>The Safety Lock  
Location options are;
Bottom
Top
Bottom &amp; Top
N/A</t>
        </r>
      </text>
    </comment>
    <comment ref="D34" authorId="0" shapeId="0" xr:uid="{21B68FF7-DC6A-4D15-BD29-B4C78D27AFB7}">
      <text>
        <r>
          <rPr>
            <sz val="8"/>
            <color indexed="81"/>
            <rFont val="Tahoma"/>
            <family val="2"/>
          </rPr>
          <t>The Key Lock 
options are;
No
Silver
White</t>
        </r>
      </text>
    </comment>
    <comment ref="E34" authorId="0" shapeId="0" xr:uid="{56491FD5-2E5B-470B-8F16-3310094C5FD6}">
      <text>
        <r>
          <rPr>
            <sz val="8"/>
            <color indexed="81"/>
            <rFont val="Tahoma"/>
            <family val="2"/>
          </rPr>
          <t>The Louvre/Blade Lock 
options are;
No
Yes
For Eco Aluminium External Privacy Screen;
N/A</t>
        </r>
      </text>
    </comment>
    <comment ref="F34" authorId="0" shapeId="0" xr:uid="{EA36F4C7-DB79-4D77-A48F-55AFE7FD3F7A}">
      <text>
        <r>
          <rPr>
            <sz val="8"/>
            <color indexed="81"/>
            <rFont val="Tahoma"/>
            <family val="2"/>
          </rPr>
          <t>The Handle Lock 
options are;
Black
White
No
For Eco Aluminium External Privacy Screen;
N/A</t>
        </r>
      </text>
    </comment>
    <comment ref="J34" authorId="0" shapeId="0" xr:uid="{5D5A9B63-BD8D-49C4-AE2D-22D38E747B6E}">
      <text>
        <r>
          <rPr>
            <sz val="8"/>
            <color indexed="81"/>
            <rFont val="Tahoma"/>
            <family val="2"/>
          </rPr>
          <t>The Colour is dependent on
 the Extra Item.</t>
        </r>
      </text>
    </comment>
    <comment ref="B35" authorId="0" shapeId="0" xr:uid="{023C3DD6-75C8-4AED-B790-4349AC4F927A}">
      <text>
        <r>
          <rPr>
            <sz val="8"/>
            <color indexed="81"/>
            <rFont val="Tahoma"/>
            <family val="2"/>
          </rPr>
          <t>The Safety Lock 
options are;
No
Silver
For Eco Aluminium External Privacy Screen;
N/A</t>
        </r>
      </text>
    </comment>
    <comment ref="C35" authorId="0" shapeId="0" xr:uid="{0DB9F6D2-581A-4BBA-8F4C-44E280F2005A}">
      <text>
        <r>
          <rPr>
            <sz val="8"/>
            <color indexed="81"/>
            <rFont val="Tahoma"/>
            <family val="2"/>
          </rPr>
          <t>The Safety Lock  
Location options are;
Bottom
Top
Bottom &amp; Top
N/A</t>
        </r>
      </text>
    </comment>
    <comment ref="D35" authorId="0" shapeId="0" xr:uid="{74C264C1-1AA7-476A-9306-39072165747C}">
      <text>
        <r>
          <rPr>
            <sz val="8"/>
            <color indexed="81"/>
            <rFont val="Tahoma"/>
            <family val="2"/>
          </rPr>
          <t>The Key Lock 
options are;
No
Silver
White</t>
        </r>
      </text>
    </comment>
    <comment ref="E35" authorId="0" shapeId="0" xr:uid="{F14A197E-5F0E-4201-AEB8-B25C06425B33}">
      <text>
        <r>
          <rPr>
            <sz val="8"/>
            <color indexed="81"/>
            <rFont val="Tahoma"/>
            <family val="2"/>
          </rPr>
          <t>The Louvre/Blade Lock 
options are;
No
Yes
For Eco Aluminium External Privacy Screen;
N/A</t>
        </r>
      </text>
    </comment>
    <comment ref="F35" authorId="0" shapeId="0" xr:uid="{93653E5B-386B-42F7-A715-D5704BFA0760}">
      <text>
        <r>
          <rPr>
            <sz val="8"/>
            <color indexed="81"/>
            <rFont val="Tahoma"/>
            <family val="2"/>
          </rPr>
          <t>The Handle Lock 
options are;
Black
White
No
For Eco Aluminium External Privacy Screen;
N/A</t>
        </r>
      </text>
    </comment>
    <comment ref="J35" authorId="0" shapeId="0" xr:uid="{819E4B92-B7E8-446C-9730-AF8B849CAC3E}">
      <text>
        <r>
          <rPr>
            <sz val="8"/>
            <color indexed="81"/>
            <rFont val="Tahoma"/>
            <family val="2"/>
          </rPr>
          <t>The Colour is dependent on
 the Extra Item.</t>
        </r>
      </text>
    </comment>
    <comment ref="B36" authorId="0" shapeId="0" xr:uid="{B348E478-851F-437E-BBAE-4DCFBA7F6EF5}">
      <text>
        <r>
          <rPr>
            <sz val="8"/>
            <color indexed="81"/>
            <rFont val="Tahoma"/>
            <family val="2"/>
          </rPr>
          <t>The Safety Lock 
options are;
No
Silver
For Eco Aluminium External Privacy Screen;
N/A</t>
        </r>
      </text>
    </comment>
    <comment ref="C36" authorId="0" shapeId="0" xr:uid="{B5CAEF5E-47DD-4376-8EAB-99FC0B8B17AF}">
      <text>
        <r>
          <rPr>
            <sz val="8"/>
            <color indexed="81"/>
            <rFont val="Tahoma"/>
            <family val="2"/>
          </rPr>
          <t>The Safety Lock  
Location options are;
Bottom
Top
Bottom &amp; Top
N/A</t>
        </r>
      </text>
    </comment>
    <comment ref="D36" authorId="0" shapeId="0" xr:uid="{BC1733F1-0045-47FC-A9CF-2A0928CE1FF0}">
      <text>
        <r>
          <rPr>
            <sz val="8"/>
            <color indexed="81"/>
            <rFont val="Tahoma"/>
            <family val="2"/>
          </rPr>
          <t>The Key Lock 
options are;
No
Silver
White</t>
        </r>
      </text>
    </comment>
    <comment ref="E36" authorId="0" shapeId="0" xr:uid="{5A3E782E-BDEC-4872-9138-8F33B647CC8A}">
      <text>
        <r>
          <rPr>
            <sz val="8"/>
            <color indexed="81"/>
            <rFont val="Tahoma"/>
            <family val="2"/>
          </rPr>
          <t>The Louvre/Blade Lock 
options are;
No
Yes
For Eco Aluminium External Privacy Screen;
N/A</t>
        </r>
      </text>
    </comment>
    <comment ref="F36" authorId="0" shapeId="0" xr:uid="{6194EBAF-7FCF-4146-BE5B-32CD754236F9}">
      <text>
        <r>
          <rPr>
            <sz val="8"/>
            <color indexed="81"/>
            <rFont val="Tahoma"/>
            <family val="2"/>
          </rPr>
          <t>The Handle Lock 
options are;
Black
White
No
For Eco Aluminium External Privacy Screen;
N/A</t>
        </r>
      </text>
    </comment>
    <comment ref="J36" authorId="0" shapeId="0" xr:uid="{B66E8D6E-8697-4931-9656-DC61FF127E8D}">
      <text>
        <r>
          <rPr>
            <sz val="8"/>
            <color indexed="81"/>
            <rFont val="Tahoma"/>
            <family val="2"/>
          </rPr>
          <t>The Colour is dependent on
 the Extra Item.</t>
        </r>
      </text>
    </comment>
    <comment ref="B37" authorId="0" shapeId="0" xr:uid="{E3247398-423E-4622-81FF-DB8AA1B9C4A6}">
      <text>
        <r>
          <rPr>
            <sz val="8"/>
            <color indexed="81"/>
            <rFont val="Tahoma"/>
            <family val="2"/>
          </rPr>
          <t>The Safety Lock 
options are;
No
Silver
For Eco Aluminium External Privacy Screen;
N/A</t>
        </r>
      </text>
    </comment>
    <comment ref="C37" authorId="0" shapeId="0" xr:uid="{4552A435-B380-4C89-BE56-D0DF1543C23E}">
      <text>
        <r>
          <rPr>
            <sz val="8"/>
            <color indexed="81"/>
            <rFont val="Tahoma"/>
            <family val="2"/>
          </rPr>
          <t>The Safety Lock  
Location options are;
Bottom
Top
Bottom &amp; Top
N/A</t>
        </r>
      </text>
    </comment>
    <comment ref="D37" authorId="0" shapeId="0" xr:uid="{74AF59C9-5996-490B-B88F-3DD246406E25}">
      <text>
        <r>
          <rPr>
            <sz val="8"/>
            <color indexed="81"/>
            <rFont val="Tahoma"/>
            <family val="2"/>
          </rPr>
          <t>The Key Lock 
options are;
No
Silver
White</t>
        </r>
      </text>
    </comment>
    <comment ref="E37" authorId="0" shapeId="0" xr:uid="{A4C24DCA-5E87-4C60-93A0-0BACDC505DF1}">
      <text>
        <r>
          <rPr>
            <sz val="8"/>
            <color indexed="81"/>
            <rFont val="Tahoma"/>
            <family val="2"/>
          </rPr>
          <t>The Louvre/Blade Lock 
options are;
No
Yes
For Eco Aluminium External Privacy Screen;
N/A</t>
        </r>
      </text>
    </comment>
    <comment ref="F37" authorId="0" shapeId="0" xr:uid="{AC518AC4-B3BE-4A9B-BAFD-2F51CAC3952D}">
      <text>
        <r>
          <rPr>
            <sz val="8"/>
            <color indexed="81"/>
            <rFont val="Tahoma"/>
            <family val="2"/>
          </rPr>
          <t>The Handle Lock 
options are;
Black
White
No
For Eco Aluminium External Privacy Screen;
N/A</t>
        </r>
      </text>
    </comment>
    <comment ref="J37" authorId="0" shapeId="0" xr:uid="{611FE533-1A36-497E-905C-D78FBDAECB6D}">
      <text>
        <r>
          <rPr>
            <sz val="8"/>
            <color indexed="81"/>
            <rFont val="Tahoma"/>
            <family val="2"/>
          </rPr>
          <t>The Colour is dependent on
 the Extra Item.</t>
        </r>
      </text>
    </comment>
    <comment ref="B38" authorId="0" shapeId="0" xr:uid="{97F6EF86-EDC1-496D-A566-91AF3E7E17DF}">
      <text>
        <r>
          <rPr>
            <sz val="8"/>
            <color indexed="81"/>
            <rFont val="Tahoma"/>
            <family val="2"/>
          </rPr>
          <t>The Safety Lock 
options are;
No
Silver
For Eco Aluminium External Privacy Screen;
N/A</t>
        </r>
      </text>
    </comment>
    <comment ref="C38" authorId="0" shapeId="0" xr:uid="{34C90935-4975-45C4-AEF9-6AF44CCEBCAA}">
      <text>
        <r>
          <rPr>
            <sz val="8"/>
            <color indexed="81"/>
            <rFont val="Tahoma"/>
            <family val="2"/>
          </rPr>
          <t>The Safety Lock  
Location options are;
Bottom
Top
Bottom &amp; Top
N/A</t>
        </r>
      </text>
    </comment>
    <comment ref="D38" authorId="0" shapeId="0" xr:uid="{8C0171E2-9238-4F49-AD4A-634F81E14C05}">
      <text>
        <r>
          <rPr>
            <sz val="8"/>
            <color indexed="81"/>
            <rFont val="Tahoma"/>
            <family val="2"/>
          </rPr>
          <t>The Key Lock 
options are;
No
Silver
White</t>
        </r>
      </text>
    </comment>
    <comment ref="E38" authorId="0" shapeId="0" xr:uid="{E664456C-2253-4449-B2F0-61F3992D7D4E}">
      <text>
        <r>
          <rPr>
            <sz val="8"/>
            <color indexed="81"/>
            <rFont val="Tahoma"/>
            <family val="2"/>
          </rPr>
          <t>The Louvre/Blade Lock 
options are;
No
Yes
For Eco Aluminium External Privacy Screen;
N/A</t>
        </r>
      </text>
    </comment>
    <comment ref="F38" authorId="0" shapeId="0" xr:uid="{C9DFA2CE-150E-49BB-A5B2-20E5F06ED1D2}">
      <text>
        <r>
          <rPr>
            <sz val="8"/>
            <color indexed="81"/>
            <rFont val="Tahoma"/>
            <family val="2"/>
          </rPr>
          <t>The Handle Lock 
options are;
Black
White
No
For Eco Aluminium External Privacy Screen;
N/A</t>
        </r>
      </text>
    </comment>
    <comment ref="J38" authorId="0" shapeId="0" xr:uid="{058638DE-AE3D-4C82-81DB-FC0DD2259305}">
      <text>
        <r>
          <rPr>
            <sz val="8"/>
            <color indexed="81"/>
            <rFont val="Tahoma"/>
            <family val="2"/>
          </rPr>
          <t>The Colour is dependent on
 the Extra Item.</t>
        </r>
      </text>
    </comment>
    <comment ref="B39" authorId="0" shapeId="0" xr:uid="{B3F2EC2C-C9B5-44D4-9ABD-37160DA4846F}">
      <text>
        <r>
          <rPr>
            <sz val="8"/>
            <color indexed="81"/>
            <rFont val="Tahoma"/>
            <family val="2"/>
          </rPr>
          <t>The Safety Lock 
options are;
No
Silver
For Eco Aluminium External Privacy Screen;
N/A</t>
        </r>
      </text>
    </comment>
    <comment ref="C39" authorId="0" shapeId="0" xr:uid="{5F1343EB-0629-4157-8260-D93CF66E35BB}">
      <text>
        <r>
          <rPr>
            <sz val="8"/>
            <color indexed="81"/>
            <rFont val="Tahoma"/>
            <family val="2"/>
          </rPr>
          <t>The Safety Lock  
Location options are;
Bottom
Top
Bottom &amp; Top
N/A</t>
        </r>
      </text>
    </comment>
    <comment ref="D39" authorId="0" shapeId="0" xr:uid="{DAF87DB9-E71C-41B1-BECA-EC3D9A15D3FC}">
      <text>
        <r>
          <rPr>
            <sz val="8"/>
            <color indexed="81"/>
            <rFont val="Tahoma"/>
            <family val="2"/>
          </rPr>
          <t>The Key Lock 
options are;
No
Silver
White</t>
        </r>
      </text>
    </comment>
    <comment ref="E39" authorId="0" shapeId="0" xr:uid="{5A696024-F9E2-4E1C-920A-E4668B524C58}">
      <text>
        <r>
          <rPr>
            <sz val="8"/>
            <color indexed="81"/>
            <rFont val="Tahoma"/>
            <family val="2"/>
          </rPr>
          <t>The Louvre/Blade Lock 
options are;
No
Yes
For Eco Aluminium External Privacy Screen;
N/A</t>
        </r>
      </text>
    </comment>
    <comment ref="F39" authorId="0" shapeId="0" xr:uid="{A47C12A5-4AA6-4542-8C92-B768045E062F}">
      <text>
        <r>
          <rPr>
            <sz val="8"/>
            <color indexed="81"/>
            <rFont val="Tahoma"/>
            <family val="2"/>
          </rPr>
          <t>The Handle Lock 
options are;
Black
White
No
For Eco Aluminium External Privacy Screen;
N/A</t>
        </r>
      </text>
    </comment>
    <comment ref="J39" authorId="0" shapeId="0" xr:uid="{D1C46391-8998-4842-BD6F-5C4591F5214B}">
      <text>
        <r>
          <rPr>
            <sz val="8"/>
            <color indexed="81"/>
            <rFont val="Tahoma"/>
            <family val="2"/>
          </rPr>
          <t>The Colour is dependent on
 the Extra Item.</t>
        </r>
      </text>
    </comment>
    <comment ref="B40" authorId="0" shapeId="0" xr:uid="{E6F4A438-CC26-4184-9159-4B88F59DB1F3}">
      <text>
        <r>
          <rPr>
            <sz val="8"/>
            <color indexed="81"/>
            <rFont val="Tahoma"/>
            <family val="2"/>
          </rPr>
          <t>The Safety Lock 
options are;
No
Silver
For Eco Aluminium External Privacy Screen;
N/A</t>
        </r>
      </text>
    </comment>
    <comment ref="C40" authorId="0" shapeId="0" xr:uid="{CA6DA23D-B1FC-43BB-9E62-D811F488E01A}">
      <text>
        <r>
          <rPr>
            <sz val="8"/>
            <color indexed="81"/>
            <rFont val="Tahoma"/>
            <family val="2"/>
          </rPr>
          <t>The Safety Lock  
Location options are;
Bottom
Top
Bottom &amp; Top
N/A</t>
        </r>
      </text>
    </comment>
    <comment ref="D40" authorId="0" shapeId="0" xr:uid="{0AE40276-03C9-40DC-8542-E789DEB68411}">
      <text>
        <r>
          <rPr>
            <sz val="8"/>
            <color indexed="81"/>
            <rFont val="Tahoma"/>
            <family val="2"/>
          </rPr>
          <t>The Key Lock 
options are;
No
Silver
White</t>
        </r>
      </text>
    </comment>
    <comment ref="E40" authorId="0" shapeId="0" xr:uid="{749D1645-2792-4CB2-AA62-63FE7F02B792}">
      <text>
        <r>
          <rPr>
            <sz val="8"/>
            <color indexed="81"/>
            <rFont val="Tahoma"/>
            <family val="2"/>
          </rPr>
          <t>The Louvre/Blade Lock 
options are;
No
Yes
For Eco Aluminium External Privacy Screen;
N/A</t>
        </r>
      </text>
    </comment>
    <comment ref="F40" authorId="0" shapeId="0" xr:uid="{A4059DEC-69BC-45BF-9E88-346876C7BD69}">
      <text>
        <r>
          <rPr>
            <sz val="8"/>
            <color indexed="81"/>
            <rFont val="Tahoma"/>
            <family val="2"/>
          </rPr>
          <t>The Handle Lock 
options are;
Black
White
No
For Eco Aluminium External Privacy Screen;
N/A</t>
        </r>
      </text>
    </comment>
    <comment ref="J40" authorId="0" shapeId="0" xr:uid="{053351AD-63B5-4408-AAF9-B2DDFE787E6C}">
      <text>
        <r>
          <rPr>
            <sz val="8"/>
            <color indexed="81"/>
            <rFont val="Tahoma"/>
            <family val="2"/>
          </rPr>
          <t>The Colour is dependent on
 the Extra Item.</t>
        </r>
      </text>
    </comment>
    <comment ref="B41" authorId="0" shapeId="0" xr:uid="{0EFF7447-4F11-4CC7-ADE6-4DDA8B49FCE2}">
      <text>
        <r>
          <rPr>
            <sz val="8"/>
            <color indexed="81"/>
            <rFont val="Tahoma"/>
            <family val="2"/>
          </rPr>
          <t>The Safety Lock 
options are;
No
Silver
For Eco Aluminium External Privacy Screen;
N/A</t>
        </r>
      </text>
    </comment>
    <comment ref="C41" authorId="0" shapeId="0" xr:uid="{BFD1CEB8-B9EA-47BB-A7A7-91A1EF1A254A}">
      <text>
        <r>
          <rPr>
            <sz val="8"/>
            <color indexed="81"/>
            <rFont val="Tahoma"/>
            <family val="2"/>
          </rPr>
          <t>The Safety Lock  
Location options are;
Bottom
Top
Bottom &amp; Top
N/A</t>
        </r>
      </text>
    </comment>
    <comment ref="D41" authorId="0" shapeId="0" xr:uid="{43A464E5-01AC-406F-957B-3453F658C0C8}">
      <text>
        <r>
          <rPr>
            <sz val="8"/>
            <color indexed="81"/>
            <rFont val="Tahoma"/>
            <family val="2"/>
          </rPr>
          <t>The Key Lock 
options are;
No
Silver
White</t>
        </r>
      </text>
    </comment>
    <comment ref="E41" authorId="0" shapeId="0" xr:uid="{369B466C-8AE4-4DC7-845E-B1103E4B01F3}">
      <text>
        <r>
          <rPr>
            <sz val="8"/>
            <color indexed="81"/>
            <rFont val="Tahoma"/>
            <family val="2"/>
          </rPr>
          <t>The Louvre/Blade Lock 
options are;
No
Yes
For Eco Aluminium External Privacy Screen;
N/A</t>
        </r>
      </text>
    </comment>
    <comment ref="F41" authorId="0" shapeId="0" xr:uid="{EBB84078-4F8E-486A-9224-6E47B0151637}">
      <text>
        <r>
          <rPr>
            <sz val="8"/>
            <color indexed="81"/>
            <rFont val="Tahoma"/>
            <family val="2"/>
          </rPr>
          <t>The Handle Lock 
options are;
Black
White
No
For Eco Aluminium External Privacy Screen;
N/A</t>
        </r>
      </text>
    </comment>
    <comment ref="J41" authorId="0" shapeId="0" xr:uid="{34166F19-D870-4A4B-92F0-E90632ADF058}">
      <text>
        <r>
          <rPr>
            <sz val="8"/>
            <color indexed="81"/>
            <rFont val="Tahoma"/>
            <family val="2"/>
          </rPr>
          <t>The Colour is dependent on
 the Extra Item.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Q1" authorId="0" shapeId="0" xr:uid="{00000000-0006-0000-0300-000001000000}">
      <text>
        <r>
          <rPr>
            <sz val="9"/>
            <color indexed="81"/>
            <rFont val="Tahoma"/>
            <family val="2"/>
          </rPr>
          <t>Please enter the number of Pages 
in this Order.
e.g.  Page: 1 Of 2</t>
        </r>
      </text>
    </comment>
    <comment ref="E8" authorId="0" shapeId="0" xr:uid="{00000000-0006-0000-0300-000002000000}">
      <text>
        <r>
          <rPr>
            <sz val="9"/>
            <color indexed="81"/>
            <rFont val="Tahoma"/>
            <family val="2"/>
          </rPr>
          <t>These values are 
calculated automatically 
by Specification.</t>
        </r>
      </text>
    </comment>
    <comment ref="C9" authorId="0" shapeId="0" xr:uid="{00000000-0006-0000-0300-000003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9" authorId="0" shapeId="0" xr:uid="{00000000-0006-0000-0300-000004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0" authorId="0" shapeId="0" xr:uid="{00000000-0006-0000-0300-000005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0" authorId="0" shapeId="0" xr:uid="{00000000-0006-0000-0300-000006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1" authorId="0" shapeId="0" xr:uid="{00000000-0006-0000-0300-000007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1" authorId="0" shapeId="0" xr:uid="{00000000-0006-0000-0300-000008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2" authorId="0" shapeId="0" xr:uid="{00000000-0006-0000-0300-000009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2" authorId="0" shapeId="0" xr:uid="{00000000-0006-0000-0300-00000A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3" authorId="0" shapeId="0" xr:uid="{00000000-0006-0000-0300-00000B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3" authorId="0" shapeId="0" xr:uid="{00000000-0006-0000-0300-00000C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4" authorId="0" shapeId="0" xr:uid="{00000000-0006-0000-0300-00000D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4" authorId="0" shapeId="0" xr:uid="{00000000-0006-0000-0300-00000E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5" authorId="0" shapeId="0" xr:uid="{00000000-0006-0000-0300-00000F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5" authorId="0" shapeId="0" xr:uid="{00000000-0006-0000-0300-000010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6" authorId="0" shapeId="0" xr:uid="{00000000-0006-0000-0300-000011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6" authorId="0" shapeId="0" xr:uid="{00000000-0006-0000-0300-000012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7" authorId="0" shapeId="0" xr:uid="{00000000-0006-0000-0300-000013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7" authorId="0" shapeId="0" xr:uid="{00000000-0006-0000-0300-000014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8" authorId="0" shapeId="0" xr:uid="{00000000-0006-0000-0300-000015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8" authorId="0" shapeId="0" xr:uid="{00000000-0006-0000-0300-000016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19" authorId="0" shapeId="0" xr:uid="{00000000-0006-0000-0300-000017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19" authorId="0" shapeId="0" xr:uid="{00000000-0006-0000-0300-000018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 ref="C20" authorId="0" shapeId="0" xr:uid="{00000000-0006-0000-0300-000019000000}">
      <text>
        <r>
          <rPr>
            <sz val="9"/>
            <color indexed="81"/>
            <rFont val="Tahoma"/>
            <family val="2"/>
          </rPr>
          <t xml:space="preserve">Make Size Panel Width.
</t>
        </r>
        <r>
          <rPr>
            <i/>
            <sz val="9"/>
            <color indexed="81"/>
            <rFont val="Tahoma"/>
            <family val="2"/>
          </rPr>
          <t>No Deductions Made.</t>
        </r>
        <r>
          <rPr>
            <sz val="9"/>
            <color indexed="81"/>
            <rFont val="Tahoma"/>
            <family val="2"/>
          </rPr>
          <t xml:space="preserve">
Minimum Panel Width is 180mm.
Maximum Panel Width is 1400mm.</t>
        </r>
      </text>
    </comment>
    <comment ref="D20" authorId="0" shapeId="0" xr:uid="{00000000-0006-0000-0300-00001A000000}">
      <text>
        <r>
          <rPr>
            <sz val="9"/>
            <color indexed="81"/>
            <rFont val="Tahoma"/>
            <family val="2"/>
          </rPr>
          <t xml:space="preserve">Make Size Panel Height.
</t>
        </r>
        <r>
          <rPr>
            <i/>
            <sz val="9"/>
            <color indexed="81"/>
            <rFont val="Tahoma"/>
            <family val="2"/>
          </rPr>
          <t>No Deductions Made.</t>
        </r>
        <r>
          <rPr>
            <sz val="9"/>
            <color indexed="81"/>
            <rFont val="Tahoma"/>
            <family val="2"/>
          </rPr>
          <t xml:space="preserve">
Minimum Panel Height is 321mm.
Maximum Panel Height is 2700mm.</t>
        </r>
      </text>
    </comment>
  </commentList>
</comments>
</file>

<file path=xl/sharedStrings.xml><?xml version="1.0" encoding="utf-8"?>
<sst xmlns="http://schemas.openxmlformats.org/spreadsheetml/2006/main" count="1019" uniqueCount="558">
  <si>
    <t>m2</t>
  </si>
  <si>
    <t>Blade Size</t>
  </si>
  <si>
    <t>Layout Code</t>
  </si>
  <si>
    <t>Item #</t>
  </si>
  <si>
    <t>Hinge Colour</t>
  </si>
  <si>
    <t>CUSTOMER NAME:</t>
  </si>
  <si>
    <t>DATE:</t>
  </si>
  <si>
    <t>Colour</t>
  </si>
  <si>
    <t>Mid Rail
Height</t>
  </si>
  <si>
    <t>Frame Type</t>
  </si>
  <si>
    <t>STORE NAME:</t>
  </si>
  <si>
    <t>M2</t>
  </si>
  <si>
    <t>DELIVERY ADDRESS:</t>
  </si>
  <si>
    <t>Mounting
Method</t>
  </si>
  <si>
    <t>Gross Open Width</t>
  </si>
  <si>
    <t>Gross Open Height</t>
  </si>
  <si>
    <t>1st Post</t>
  </si>
  <si>
    <t>2nd
Post</t>
  </si>
  <si>
    <t>3rd
Post</t>
  </si>
  <si>
    <t>Yes</t>
  </si>
  <si>
    <t>4T</t>
  </si>
  <si>
    <t>1 Of 1</t>
  </si>
  <si>
    <t>Top</t>
  </si>
  <si>
    <t>IN</t>
  </si>
  <si>
    <t>MS</t>
  </si>
  <si>
    <t>OUT</t>
  </si>
  <si>
    <t>N/A</t>
  </si>
  <si>
    <t>L Frame</t>
  </si>
  <si>
    <t>Sliding System</t>
  </si>
  <si>
    <t>U Channel</t>
  </si>
  <si>
    <t>No</t>
  </si>
  <si>
    <t>1H</t>
  </si>
  <si>
    <t>1T</t>
  </si>
  <si>
    <t>2H</t>
  </si>
  <si>
    <t>2T</t>
  </si>
  <si>
    <t>3H</t>
  </si>
  <si>
    <t>3T</t>
  </si>
  <si>
    <t>4H</t>
  </si>
  <si>
    <t>IN_2</t>
  </si>
  <si>
    <t>IN_3</t>
  </si>
  <si>
    <t>OUT_2</t>
  </si>
  <si>
    <t>MS_2</t>
  </si>
  <si>
    <t>OUT_3</t>
  </si>
  <si>
    <t>MS_3</t>
  </si>
  <si>
    <t>Fixed</t>
  </si>
  <si>
    <t>Sliding</t>
  </si>
  <si>
    <t>Hinged</t>
  </si>
  <si>
    <t>IN_1</t>
  </si>
  <si>
    <t>OUT_1</t>
  </si>
  <si>
    <t>MS_1</t>
  </si>
  <si>
    <t>Bottom Wheel Connector</t>
  </si>
  <si>
    <t>Bottom Wheel</t>
  </si>
  <si>
    <t>Wheel</t>
  </si>
  <si>
    <t>Top Pivot</t>
  </si>
  <si>
    <t>Bottom Pivot</t>
  </si>
  <si>
    <t>Floor Bracket</t>
  </si>
  <si>
    <t>Bottom Guide</t>
  </si>
  <si>
    <t>Magnet Sets</t>
  </si>
  <si>
    <t>Spring Pins</t>
  </si>
  <si>
    <t>Flush Bolt Lock</t>
  </si>
  <si>
    <t>Hardware</t>
  </si>
  <si>
    <t>Item</t>
  </si>
  <si>
    <t>Quantity</t>
  </si>
  <si>
    <t>Extra H - Angle 4 20mm x 12mm</t>
  </si>
  <si>
    <t>Extra G - Angle 3 25mm x 20mm</t>
  </si>
  <si>
    <t>Extra F - Angle 2 40mm x 20mm</t>
  </si>
  <si>
    <t>Extra E - Angle 1 40mm x 40mm</t>
  </si>
  <si>
    <t>White Birch</t>
  </si>
  <si>
    <t>H Frame 65mm x 53.3mm</t>
  </si>
  <si>
    <t>Precious Silver</t>
  </si>
  <si>
    <t>U Channel 53.6mm x 30mm</t>
  </si>
  <si>
    <t>Pearl White</t>
  </si>
  <si>
    <t>Black</t>
  </si>
  <si>
    <t>Line_Item_Number</t>
  </si>
  <si>
    <t>mm</t>
  </si>
  <si>
    <t>Bottom Blade Hole To End</t>
  </si>
  <si>
    <t>Top Blade Hole To End</t>
  </si>
  <si>
    <t>Top Gap Between Blade &amp; U Channel</t>
  </si>
  <si>
    <t>Actual Gap Bottom (Between U Channel &amp; Blade)</t>
  </si>
  <si>
    <t>Total</t>
  </si>
  <si>
    <t>Bottom Gap Between Blade &amp; U Channel</t>
  </si>
  <si>
    <t>Actual Gap Top (Between U Channel &amp; Blade)</t>
  </si>
  <si>
    <t>Additional Bottom Gap</t>
  </si>
  <si>
    <t>Top &amp; Bottom Gap &amp; Channel Allowances Sub-Total</t>
  </si>
  <si>
    <t>Bottom Addition</t>
  </si>
  <si>
    <t>Additional Top Gap</t>
  </si>
  <si>
    <t>Top Gap</t>
  </si>
  <si>
    <t>Top Addition</t>
  </si>
  <si>
    <t>Standard Top Gap</t>
  </si>
  <si>
    <t>Bottom Gap</t>
  </si>
  <si>
    <t>Difference</t>
  </si>
  <si>
    <t>Standard Bottom Gap</t>
  </si>
  <si>
    <t xml:space="preserve">Top U Channel </t>
  </si>
  <si>
    <t>%</t>
  </si>
  <si>
    <t>Gap Split Bottom</t>
  </si>
  <si>
    <t>Bottom U Channel</t>
  </si>
  <si>
    <t>Gap Split Top</t>
  </si>
  <si>
    <t>Bottom Hole Of Bottom Blade To Bottom Hole Of Top Blade</t>
  </si>
  <si>
    <t>Top Allowance (Bottom Hole Of Top Blade To Top Hole Of Bottom Blade)</t>
  </si>
  <si>
    <t>Qty</t>
  </si>
  <si>
    <t>Number Of Blades</t>
  </si>
  <si>
    <t>Pitch (Blade Bottom Hole To Blade Top Hole)</t>
  </si>
  <si>
    <t>Perfect Shutter Height</t>
  </si>
  <si>
    <t>Check</t>
  </si>
  <si>
    <t>Actual</t>
  </si>
  <si>
    <t>Sub-Total</t>
  </si>
  <si>
    <t>Measurement</t>
  </si>
  <si>
    <t>Calculations Check</t>
  </si>
  <si>
    <t>Allowances</t>
  </si>
  <si>
    <t>Blade Number</t>
  </si>
  <si>
    <t>Actual Panel Height</t>
  </si>
  <si>
    <t>Unit</t>
  </si>
  <si>
    <t>Line 11</t>
  </si>
  <si>
    <t>Line 10</t>
  </si>
  <si>
    <t>Line 9</t>
  </si>
  <si>
    <t>Line 8</t>
  </si>
  <si>
    <t>Line 7</t>
  </si>
  <si>
    <t>Line 6</t>
  </si>
  <si>
    <t>Line 5</t>
  </si>
  <si>
    <t>Line 4</t>
  </si>
  <si>
    <t>Line 3</t>
  </si>
  <si>
    <t>Line 2</t>
  </si>
  <si>
    <t>Line 1</t>
  </si>
  <si>
    <t>Notes</t>
  </si>
  <si>
    <t>Length</t>
  </si>
  <si>
    <t>Location</t>
  </si>
  <si>
    <t>H Frame
65mm x 53.3mm
Quantity</t>
  </si>
  <si>
    <t>H Frame
65mm x 53.3mm
Length</t>
  </si>
  <si>
    <t>U Channel 
53.6mm x 30mm
Quantity</t>
  </si>
  <si>
    <t>U Channel 
53.6mm x 30mm
Length</t>
  </si>
  <si>
    <t>Mounting Brackets
Quantity</t>
  </si>
  <si>
    <t>Panel 
Quantity</t>
  </si>
  <si>
    <t>Blade Quantity</t>
  </si>
  <si>
    <t>Panel 
Height</t>
  </si>
  <si>
    <t>Panel 
Width</t>
  </si>
  <si>
    <t>Required For Joining Panels</t>
  </si>
  <si>
    <t>Specification Values</t>
  </si>
  <si>
    <t>CUSTOMER / ACCOUNT NAME:</t>
  </si>
  <si>
    <t>SUPPLIER:</t>
  </si>
  <si>
    <t>Pacific Wholesale Distributors. Tel. +61 2 9680 7999 (Reception)</t>
  </si>
  <si>
    <t>PROMOTION NO.:</t>
  </si>
  <si>
    <t>PRODUCT SUMMARY PAGE</t>
  </si>
  <si>
    <t>PRODUCT - INTERNAL</t>
  </si>
  <si>
    <t>QTY ORDERED</t>
  </si>
  <si>
    <t>TAB COLOUR</t>
  </si>
  <si>
    <t>Red</t>
  </si>
  <si>
    <r>
      <t xml:space="preserve">PACIFIC SALES COORDINATOR </t>
    </r>
    <r>
      <rPr>
        <b/>
        <i/>
        <sz val="10"/>
        <rFont val="Arial"/>
        <family val="2"/>
      </rPr>
      <t>(PWD Internal Use)</t>
    </r>
  </si>
  <si>
    <t>Orange</t>
  </si>
  <si>
    <t>PACIFIC SALES COORDINATOR</t>
  </si>
  <si>
    <t>PWD ORDER NO.:</t>
  </si>
  <si>
    <t>SALES ORDER NO.:</t>
  </si>
  <si>
    <t xml:space="preserve">MS, 
In Or Out </t>
  </si>
  <si>
    <r>
      <rPr>
        <b/>
        <i/>
        <sz val="12"/>
        <rFont val="Arial"/>
        <family val="2"/>
      </rPr>
      <t>Before sending the order:</t>
    </r>
    <r>
      <rPr>
        <b/>
        <sz val="12"/>
        <rFont val="Arial"/>
        <family val="2"/>
      </rPr>
      <t xml:space="preserve">
1. Please check the Quantity's below are correct. 
2. When complete, save in this tab and email to the Pacific Wholesale Distributors email address.</t>
    </r>
  </si>
  <si>
    <t>Panels</t>
  </si>
  <si>
    <t>WORKSHEET/WORK ORDER #:</t>
  </si>
  <si>
    <t>Panel Quantity</t>
  </si>
  <si>
    <t>Mandatory Fields</t>
  </si>
  <si>
    <t>T/H Post
Quantity</t>
  </si>
  <si>
    <t>Bottom</t>
  </si>
  <si>
    <t>Aluminium Screen</t>
  </si>
  <si>
    <r>
      <t>Phone: +</t>
    </r>
    <r>
      <rPr>
        <sz val="12"/>
        <rFont val="Calibri"/>
        <family val="2"/>
      </rPr>
      <t xml:space="preserve">61 2 8850 9301 </t>
    </r>
    <r>
      <rPr>
        <b/>
        <sz val="12"/>
        <rFont val="Calibri"/>
        <family val="2"/>
      </rPr>
      <t xml:space="preserve">     Fax: +</t>
    </r>
    <r>
      <rPr>
        <sz val="12"/>
        <rFont val="Calibri"/>
        <family val="2"/>
      </rPr>
      <t>61 2 9680 7488</t>
    </r>
  </si>
  <si>
    <t>Bi Fold System</t>
  </si>
  <si>
    <t>Bi Fold</t>
  </si>
  <si>
    <t>AluminiumColours</t>
  </si>
  <si>
    <t>MountingMethodLayoutCodeOption</t>
  </si>
  <si>
    <t>L</t>
  </si>
  <si>
    <t>LL</t>
  </si>
  <si>
    <t>BB</t>
  </si>
  <si>
    <t>BBFF</t>
  </si>
  <si>
    <t>LLLL</t>
  </si>
  <si>
    <t>BBFFFFBB</t>
  </si>
  <si>
    <t>LLLLLL</t>
  </si>
  <si>
    <t>BBMMFF</t>
  </si>
  <si>
    <t>LLLLLLLL</t>
  </si>
  <si>
    <t>BF</t>
  </si>
  <si>
    <t>LLLLLLRR</t>
  </si>
  <si>
    <t>BFB</t>
  </si>
  <si>
    <t>LLLLRR</t>
  </si>
  <si>
    <t>BFFB</t>
  </si>
  <si>
    <t>LLLLRRRR</t>
  </si>
  <si>
    <t>BMF</t>
  </si>
  <si>
    <t>LLRR</t>
  </si>
  <si>
    <t>LCLCL</t>
  </si>
  <si>
    <t>BMFFMB</t>
  </si>
  <si>
    <t>LLRRRR</t>
  </si>
  <si>
    <t>LCLR</t>
  </si>
  <si>
    <t>BMMF</t>
  </si>
  <si>
    <t>LLRRRRRR</t>
  </si>
  <si>
    <t>LCLRCR</t>
  </si>
  <si>
    <t>F</t>
  </si>
  <si>
    <t>RR</t>
  </si>
  <si>
    <t xml:space="preserve">LCLRTLRCR </t>
  </si>
  <si>
    <t>FB</t>
  </si>
  <si>
    <t>RRRR</t>
  </si>
  <si>
    <t>LCLTLTR</t>
  </si>
  <si>
    <t>FBBF</t>
  </si>
  <si>
    <t>RRRRRR</t>
  </si>
  <si>
    <t xml:space="preserve">LCLTR </t>
  </si>
  <si>
    <t>FBF</t>
  </si>
  <si>
    <t>LCLTRCR</t>
  </si>
  <si>
    <t>FBFB</t>
  </si>
  <si>
    <t>LCR</t>
  </si>
  <si>
    <t>FF</t>
  </si>
  <si>
    <t>LCRCR</t>
  </si>
  <si>
    <t>FFBB</t>
  </si>
  <si>
    <t>LCRTR</t>
  </si>
  <si>
    <t>FFBBBBFF</t>
  </si>
  <si>
    <t>FFF</t>
  </si>
  <si>
    <t>FFMMBB</t>
  </si>
  <si>
    <t>FMB</t>
  </si>
  <si>
    <t>FMBBMF</t>
  </si>
  <si>
    <t>FMMB</t>
  </si>
  <si>
    <t>LRCL</t>
  </si>
  <si>
    <t>LRCLR</t>
  </si>
  <si>
    <t>LRCLRCLR</t>
  </si>
  <si>
    <t>LRCLRTLRCLR</t>
  </si>
  <si>
    <t>LRCLTLTRCLR</t>
  </si>
  <si>
    <t>LRCR</t>
  </si>
  <si>
    <t>LTL</t>
  </si>
  <si>
    <t>LTLTL</t>
  </si>
  <si>
    <t>LTLTLCR</t>
  </si>
  <si>
    <t>LTLTR</t>
  </si>
  <si>
    <t>LTR</t>
  </si>
  <si>
    <t xml:space="preserve">LTRCL </t>
  </si>
  <si>
    <t>LTRCLTR</t>
  </si>
  <si>
    <t>LTRTR</t>
  </si>
  <si>
    <t>R</t>
  </si>
  <si>
    <t>RCL</t>
  </si>
  <si>
    <t>RCLCR</t>
  </si>
  <si>
    <t>RCLR</t>
  </si>
  <si>
    <t>RCRCL</t>
  </si>
  <si>
    <t>RCRCR</t>
  </si>
  <si>
    <t>RTL</t>
  </si>
  <si>
    <t>RTLTL</t>
  </si>
  <si>
    <t>RTR</t>
  </si>
  <si>
    <t>RTRTL</t>
  </si>
  <si>
    <t>RTRTR</t>
  </si>
  <si>
    <t>AluminiumHingedLayoutCodes</t>
  </si>
  <si>
    <t>AluminiumSlidingLayoutCodes</t>
  </si>
  <si>
    <t>AluminiumBiFoldLayoutCodes</t>
  </si>
  <si>
    <t>AluminiumFixedLayoutCodes</t>
  </si>
  <si>
    <t>AluminiumNALayoutCodes</t>
  </si>
  <si>
    <t>Layout Code Dependency</t>
  </si>
  <si>
    <t>Stainless Steel</t>
  </si>
  <si>
    <t>HingeColourMS</t>
  </si>
  <si>
    <t>HingeColourIN</t>
  </si>
  <si>
    <t>HingeColourOUT</t>
  </si>
  <si>
    <t>T Post Count</t>
  </si>
  <si>
    <t>LLCRR</t>
  </si>
  <si>
    <t>LLCLL</t>
  </si>
  <si>
    <t>RRCRR</t>
  </si>
  <si>
    <t>RRCLL</t>
  </si>
  <si>
    <t>LLCLRCRR</t>
  </si>
  <si>
    <t>LRCLLRRCLR</t>
  </si>
  <si>
    <t>Layout Code Count</t>
  </si>
  <si>
    <t>Layout Code Check Count</t>
  </si>
  <si>
    <t>Error Layout Code</t>
  </si>
  <si>
    <t>FrameCheck</t>
  </si>
  <si>
    <t>TEXT =COUNTIF(G9,"MS")</t>
  </si>
  <si>
    <t>Right Frame Highlight</t>
  </si>
  <si>
    <t>Top Frame Check</t>
  </si>
  <si>
    <t>Bottom Frame Check</t>
  </si>
  <si>
    <t>Left Frame Entry Check</t>
  </si>
  <si>
    <t>Top &amp; Bottom</t>
  </si>
  <si>
    <t>LockHinged</t>
  </si>
  <si>
    <t>LockSliding</t>
  </si>
  <si>
    <t>LockBiFold</t>
  </si>
  <si>
    <t>LockFixed</t>
  </si>
  <si>
    <t>LockNA</t>
  </si>
  <si>
    <t>Lock Dependency</t>
  </si>
  <si>
    <t>Lock &amp; Panel Height Check</t>
  </si>
  <si>
    <t>HingeColourHinged</t>
  </si>
  <si>
    <t>HingeColourSliding</t>
  </si>
  <si>
    <t>HingeColourBiFold</t>
  </si>
  <si>
    <t>HingeColourFixed</t>
  </si>
  <si>
    <t>HingeColourNA</t>
  </si>
  <si>
    <t>Make Size Panel Only - 
No Deductions Made</t>
  </si>
  <si>
    <t>All Even Panels</t>
  </si>
  <si>
    <t>Critical Midrail</t>
  </si>
  <si>
    <t>Left Panel Open First</t>
  </si>
  <si>
    <t>Maximum Blades Possible</t>
  </si>
  <si>
    <t>Smallest Possible Top &amp; Bottom Rails</t>
  </si>
  <si>
    <t>Split Tiltrod In Half</t>
  </si>
  <si>
    <t>Split Tiltrod In Half Above Midrail</t>
  </si>
  <si>
    <t>Split Tiltrod In Half Below Midrail</t>
  </si>
  <si>
    <t>Panels Fixed With Magnets &amp; Catches</t>
  </si>
  <si>
    <t>Flush Bolts On Back Of Panels</t>
  </si>
  <si>
    <t>Flush Bolts On Front Of Panels</t>
  </si>
  <si>
    <t>SpecialComments2</t>
  </si>
  <si>
    <t>SpecialComments1</t>
  </si>
  <si>
    <t>Extra's Required</t>
  </si>
  <si>
    <t>Additional Hardware</t>
  </si>
  <si>
    <t>General Notes</t>
  </si>
  <si>
    <t>Standard Special Comments # 1</t>
  </si>
  <si>
    <t>Standard Special Comments # 2</t>
  </si>
  <si>
    <t>Line Item Notes</t>
  </si>
  <si>
    <r>
      <t xml:space="preserve">Approximate Gap Between
Top &amp; Bottom
Channel &amp; Blades </t>
    </r>
    <r>
      <rPr>
        <i/>
        <sz val="12"/>
        <rFont val="Tahoma"/>
        <family val="2"/>
      </rPr>
      <t>(mm)</t>
    </r>
  </si>
  <si>
    <t>Standard</t>
  </si>
  <si>
    <t>AluminiumScreenExtraColourUChannel536mmx30mm</t>
  </si>
  <si>
    <t>AluminiumScreenExtraColourHFrame65mmx533mm</t>
  </si>
  <si>
    <t>AluminiumScreenExtraColourExtraEAngle140mm40mm</t>
  </si>
  <si>
    <t>AluminiumScreenExtraColourExtraFAngle240mmx20mm</t>
  </si>
  <si>
    <t>AluminiumScreenExtraColourExtraGAngle325mmx20mm</t>
  </si>
  <si>
    <t>AluminiumScreenExtraColourExtraHAngle420mmx12mm</t>
  </si>
  <si>
    <t>AluminiumScreenExtraColourStainlessSteelHinge</t>
  </si>
  <si>
    <t>Stainless Steel Hinge</t>
  </si>
  <si>
    <t>Mounting Bracket</t>
  </si>
  <si>
    <t>AluminiumScreenExtraColourMountingBracket</t>
  </si>
  <si>
    <t>Extra Colour</t>
  </si>
  <si>
    <t xml:space="preserve">Page:  </t>
  </si>
  <si>
    <t>Mandatory Fields If IN Or OUT Ordered - Not Valid If Make Size (MS) Panel Ordered</t>
  </si>
  <si>
    <t>Aluminium External Shutter</t>
  </si>
  <si>
    <t>Mandatory</t>
  </si>
  <si>
    <t>This is designed to begin at the left and work towards the right as the options will change based on the selections.</t>
  </si>
  <si>
    <t>Material &amp; 
Product</t>
  </si>
  <si>
    <t>Stainless Steel Hinge
Quantity</t>
  </si>
  <si>
    <t>Item 
#</t>
  </si>
  <si>
    <t>Panel Size Type Maximum Check</t>
  </si>
  <si>
    <t>Size Calculation</t>
  </si>
  <si>
    <t>FrameBiFold</t>
  </si>
  <si>
    <t>FrameFixed</t>
  </si>
  <si>
    <t>FrameHinged</t>
  </si>
  <si>
    <t>FrameNA</t>
  </si>
  <si>
    <t>FrameSliding</t>
  </si>
  <si>
    <t>FrameType</t>
  </si>
  <si>
    <t>Check T Post &amp; Layout Code</t>
  </si>
  <si>
    <t>Check 1st T Post</t>
  </si>
  <si>
    <t>Check 2nd T Post</t>
  </si>
  <si>
    <t>Check 3rd T Post</t>
  </si>
  <si>
    <t>1st T Post Highlight</t>
  </si>
  <si>
    <t>2nd T Post Highlight</t>
  </si>
  <si>
    <t>3rd T Post Highlight</t>
  </si>
  <si>
    <t>Size</t>
  </si>
  <si>
    <t>Error</t>
  </si>
  <si>
    <t>Check T Post &amp; T Post Entries</t>
  </si>
  <si>
    <t>T/H Post Highlight</t>
  </si>
  <si>
    <t>Highlight</t>
  </si>
  <si>
    <t>Room
Location</t>
  </si>
  <si>
    <t>SHUTTER ORDERS GO TO:</t>
  </si>
  <si>
    <t>Version</t>
  </si>
  <si>
    <t>MidRail Highlight</t>
  </si>
  <si>
    <t>Beth Anderson</t>
  </si>
  <si>
    <t>This Section Can Be Used To Enter Your Store Names &amp; Delivery Addresses.
Please Enter &amp; Update The Details In The Sections Provided &amp; This Will Automatically Populate Into The Summary Section &amp; Then The Individual Order Forms.</t>
  </si>
  <si>
    <t>#</t>
  </si>
  <si>
    <t>Store Name</t>
  </si>
  <si>
    <t>Delivery Address</t>
  </si>
  <si>
    <t>Handle Lock (Drilled Only, Not Supplied)</t>
  </si>
  <si>
    <t>WORKSHEET # / PO # :</t>
  </si>
  <si>
    <t>WORKSHEET # / PO #:</t>
  </si>
  <si>
    <t>Beth Boord</t>
  </si>
  <si>
    <t>Katrina Sosa</t>
  </si>
  <si>
    <t>Hana Ormiston</t>
  </si>
  <si>
    <t>Erica Clay</t>
  </si>
  <si>
    <t>Window Type</t>
  </si>
  <si>
    <t>shuttersales@pacificwholesale.com.au</t>
  </si>
  <si>
    <t>Bailey Fryc</t>
  </si>
  <si>
    <r>
      <t xml:space="preserve">Phone: </t>
    </r>
    <r>
      <rPr>
        <sz val="12"/>
        <rFont val="Calibri"/>
        <family val="2"/>
      </rPr>
      <t>+61 2 9680 7999</t>
    </r>
  </si>
  <si>
    <r>
      <rPr>
        <b/>
        <sz val="12"/>
        <rFont val="Arial"/>
        <family val="2"/>
      </rPr>
      <t>Tel.</t>
    </r>
    <r>
      <rPr>
        <sz val="12"/>
        <rFont val="Arial"/>
        <family val="2"/>
      </rPr>
      <t xml:space="preserve"> +61 2 8850 9301</t>
    </r>
  </si>
  <si>
    <t>Double Hinged</t>
  </si>
  <si>
    <t>Pivot Hinged</t>
  </si>
  <si>
    <t>Track Bi Fold</t>
  </si>
  <si>
    <t>ExternalMoutingMethodIN</t>
  </si>
  <si>
    <t>ExternalMoutingMethodMS</t>
  </si>
  <si>
    <t>ExternalMoutingMethodOUT</t>
  </si>
  <si>
    <t>EcoExternalAluminiumColour</t>
  </si>
  <si>
    <t>Shaped Raked</t>
  </si>
  <si>
    <t>Shaped Triangle</t>
  </si>
  <si>
    <t>ExternalWindowType</t>
  </si>
  <si>
    <t>ExternalShapedMountingMethodIn</t>
  </si>
  <si>
    <t>ExternalShapedMountingMethodOut</t>
  </si>
  <si>
    <t>Match InOutMS</t>
  </si>
  <si>
    <t>MatchWindowType</t>
  </si>
  <si>
    <t>Index</t>
  </si>
  <si>
    <t>Flush Bolt</t>
  </si>
  <si>
    <t>Flush Bolt Location</t>
  </si>
  <si>
    <t>Security Lock</t>
  </si>
  <si>
    <t>Key Lock</t>
  </si>
  <si>
    <t>Extra Items</t>
  </si>
  <si>
    <t>Tiltrod Type</t>
  </si>
  <si>
    <t>HingeYesNo</t>
  </si>
  <si>
    <t>StainlessSteelHingeOnly</t>
  </si>
  <si>
    <t>HingeColourYes</t>
  </si>
  <si>
    <t>HingeColourNo</t>
  </si>
  <si>
    <t>White</t>
  </si>
  <si>
    <t>Hinge Colour Check</t>
  </si>
  <si>
    <t xml:space="preserve">Z Frame Flat </t>
  </si>
  <si>
    <t xml:space="preserve">Z Frame Beaded </t>
  </si>
  <si>
    <t xml:space="preserve">L Frame </t>
  </si>
  <si>
    <t>HingedDoubleHingedFrames</t>
  </si>
  <si>
    <t>FixedFrames</t>
  </si>
  <si>
    <t>SlidingFrames</t>
  </si>
  <si>
    <t>BiFoldFrames</t>
  </si>
  <si>
    <t>PivotHingedFrames</t>
  </si>
  <si>
    <t>Sliding Frames</t>
  </si>
  <si>
    <t>Bi Fold Frames</t>
  </si>
  <si>
    <t>Panel Only</t>
  </si>
  <si>
    <t>FrameTypeSelect</t>
  </si>
  <si>
    <t>HingeSelect</t>
  </si>
  <si>
    <t>FrameSelect</t>
  </si>
  <si>
    <t>THPost</t>
  </si>
  <si>
    <t>FZFrameLeftRight</t>
  </si>
  <si>
    <t>Angle</t>
  </si>
  <si>
    <t>UChannelLeftRight</t>
  </si>
  <si>
    <t>BiFoldFramesLeftRight</t>
  </si>
  <si>
    <t>PanelOnly</t>
  </si>
  <si>
    <t>SlidingFramesLeftRight</t>
  </si>
  <si>
    <t>Side Board</t>
  </si>
  <si>
    <t>FramesLeftRight Select</t>
  </si>
  <si>
    <t>LeftRight</t>
  </si>
  <si>
    <t>TopBottomYes</t>
  </si>
  <si>
    <t>BottomFrame</t>
  </si>
  <si>
    <t>TopFrame</t>
  </si>
  <si>
    <t>SlidingTopFrame</t>
  </si>
  <si>
    <t>SliidingBottomFrame</t>
  </si>
  <si>
    <t>Bottom Select</t>
  </si>
  <si>
    <t>Top Select</t>
  </si>
  <si>
    <t>SecurityLockYes</t>
  </si>
  <si>
    <t>SecurityLockNo</t>
  </si>
  <si>
    <t>Bottom &amp; Top</t>
  </si>
  <si>
    <t>25mm x 25mm Angle</t>
  </si>
  <si>
    <t>25mm x 10mm Angle</t>
  </si>
  <si>
    <t xml:space="preserve">50mm x 50mm Angle </t>
  </si>
  <si>
    <t>50mm x 20mm Angle</t>
  </si>
  <si>
    <t xml:space="preserve">50mm x 50mm Post </t>
  </si>
  <si>
    <t>Hidden Tilt Rod</t>
  </si>
  <si>
    <t>63mm Blade</t>
  </si>
  <si>
    <t>89mm Blade</t>
  </si>
  <si>
    <t>114mm Blade</t>
  </si>
  <si>
    <t>Z Frame Beaded</t>
  </si>
  <si>
    <t xml:space="preserve">H Section </t>
  </si>
  <si>
    <t>Headboard 190mm</t>
  </si>
  <si>
    <t>Headboard 150mm</t>
  </si>
  <si>
    <t>Headboard 115mm</t>
  </si>
  <si>
    <t>Pivot Hinge</t>
  </si>
  <si>
    <t>Non Mortise Hinge</t>
  </si>
  <si>
    <t>Wheel Carrier</t>
  </si>
  <si>
    <t>Top Pivot Plate</t>
  </si>
  <si>
    <t>Bottom Guide Foot</t>
  </si>
  <si>
    <t xml:space="preserve">Bottom Guide </t>
  </si>
  <si>
    <t>Top Hanger</t>
  </si>
  <si>
    <t>Stand Out Bracket</t>
  </si>
  <si>
    <t>Top U Channel</t>
  </si>
  <si>
    <t xml:space="preserve">Bottom Slider Wheel </t>
  </si>
  <si>
    <t>Bottom Pivot Plate</t>
  </si>
  <si>
    <t>AluminiumExtras</t>
  </si>
  <si>
    <t>AluminiumExtraHardwares</t>
  </si>
  <si>
    <t>Magnet Set</t>
  </si>
  <si>
    <t>Spring Pin</t>
  </si>
  <si>
    <t>AluminiumSpecialComments</t>
  </si>
  <si>
    <t>Eco Aluminium External Shutters</t>
  </si>
  <si>
    <t>FlushBolt</t>
  </si>
  <si>
    <t>Silver</t>
  </si>
  <si>
    <t>FlushBoltYes</t>
  </si>
  <si>
    <t>FlushBoltNA</t>
  </si>
  <si>
    <t>FlushBoltHinged</t>
  </si>
  <si>
    <t>FlushBoltBiFoldSlinding</t>
  </si>
  <si>
    <t>Flush Bolt Yes No</t>
  </si>
  <si>
    <t>FlushBolt Location 2</t>
  </si>
  <si>
    <t>FlushBoltLocationNA</t>
  </si>
  <si>
    <t>Additional Items, Extra's, Hardware &amp; Comments</t>
  </si>
  <si>
    <t>Left Frame</t>
  </si>
  <si>
    <t>Right Frame</t>
  </si>
  <si>
    <t>Top Frame</t>
  </si>
  <si>
    <t>Bottom Frame</t>
  </si>
  <si>
    <t>LD-RR</t>
  </si>
  <si>
    <t>L-DRR</t>
  </si>
  <si>
    <t>LLD-R</t>
  </si>
  <si>
    <t>LL-DR</t>
  </si>
  <si>
    <t>LLD-RR</t>
  </si>
  <si>
    <t>LL-DRR</t>
  </si>
  <si>
    <t>AluminiumDoubleHingedLayoutCodes</t>
  </si>
  <si>
    <t>LD-R</t>
  </si>
  <si>
    <t>L-DR</t>
  </si>
  <si>
    <t>LD-RTL</t>
  </si>
  <si>
    <t>L-DRTL</t>
  </si>
  <si>
    <t>LD-RTLD-R</t>
  </si>
  <si>
    <t>L-DRTL-DR</t>
  </si>
  <si>
    <t>L-DRTLD-R</t>
  </si>
  <si>
    <t>LD-RTLD-RTL</t>
  </si>
  <si>
    <t>LD-RTLD-RTLD-R</t>
  </si>
  <si>
    <t>L-DRTL-DRTL-DR</t>
  </si>
  <si>
    <t>LD-RTLD-RTR</t>
  </si>
  <si>
    <t>L-DRTL-DRTR</t>
  </si>
  <si>
    <t>LD-RTR</t>
  </si>
  <si>
    <t>L-DRTR</t>
  </si>
  <si>
    <t>LTLD-R</t>
  </si>
  <si>
    <t>LTL-DR</t>
  </si>
  <si>
    <t>LTLD-RTLD-R</t>
  </si>
  <si>
    <t>LTL-DRTL-DR</t>
  </si>
  <si>
    <t>LTLD-RTLD-RTR</t>
  </si>
  <si>
    <t>LTL-DRTL-DRTR</t>
  </si>
  <si>
    <t>LTLD-RTR</t>
  </si>
  <si>
    <t>LTL-DRTR</t>
  </si>
  <si>
    <t>LTLD-RTRTLTLD-RTR</t>
  </si>
  <si>
    <t>LTL-DRTRTLTL-DRTR</t>
  </si>
  <si>
    <t xml:space="preserve">Black Textured </t>
  </si>
  <si>
    <t>Golden Oak</t>
  </si>
  <si>
    <t>Light Cedar</t>
  </si>
  <si>
    <t>Pearl</t>
  </si>
  <si>
    <t>Walnut</t>
  </si>
  <si>
    <t>AluminiumPivotHingedLayoutCodes</t>
  </si>
  <si>
    <t>Eco Aluminium External Lite</t>
  </si>
  <si>
    <t>Eco Aluminium External Standard</t>
  </si>
  <si>
    <t>AlumimiumExternalLiteColour</t>
  </si>
  <si>
    <t>Vivid White</t>
  </si>
  <si>
    <t xml:space="preserve">Standard Eco Custom Dulux Colour </t>
  </si>
  <si>
    <t xml:space="preserve">Standard Black Textured </t>
  </si>
  <si>
    <t>Standard Golden Oak</t>
  </si>
  <si>
    <t>Standard Light Cedar</t>
  </si>
  <si>
    <t>Standard Pearl</t>
  </si>
  <si>
    <t>Standard Silver</t>
  </si>
  <si>
    <t>Standard Walnut</t>
  </si>
  <si>
    <t>Standard White</t>
  </si>
  <si>
    <t>Lite Vivid White</t>
  </si>
  <si>
    <t>EcoExternalAluminiumColourAll</t>
  </si>
  <si>
    <t>50mm x 50mm Mount Bracket</t>
  </si>
  <si>
    <t>AluminiumExtrasLimitedColours</t>
  </si>
  <si>
    <t>Extra Colour Select</t>
  </si>
  <si>
    <t>Panel Qty</t>
  </si>
  <si>
    <t>RTLD-R</t>
  </si>
  <si>
    <t>RTL-DR</t>
  </si>
  <si>
    <t>RTLD-RTL</t>
  </si>
  <si>
    <t>RTL-DRTL</t>
  </si>
  <si>
    <t>Lookup T Post</t>
  </si>
  <si>
    <t>Look T Post</t>
  </si>
  <si>
    <t>Eco Aluminium External Privacy Screen</t>
  </si>
  <si>
    <t>AluminiumProductInOut</t>
  </si>
  <si>
    <t>AluminiumProductAll</t>
  </si>
  <si>
    <t>Produc Select</t>
  </si>
  <si>
    <t>Side U Channel</t>
  </si>
  <si>
    <t>TiltrodBoth</t>
  </si>
  <si>
    <t>Hidden Back</t>
  </si>
  <si>
    <t>Hidden Front</t>
  </si>
  <si>
    <t>TiltPrivacy</t>
  </si>
  <si>
    <t>Security Lock Yes No</t>
  </si>
  <si>
    <t>SecurityLock</t>
  </si>
  <si>
    <t>SecurityLockNA</t>
  </si>
  <si>
    <t>LourveLock</t>
  </si>
  <si>
    <t>KeyLock</t>
  </si>
  <si>
    <t>LourveLockSelect</t>
  </si>
  <si>
    <t>Shaped</t>
  </si>
  <si>
    <t>NoShapes</t>
  </si>
  <si>
    <t>Top Slide Channel</t>
  </si>
  <si>
    <t>Bottom Slide Channel</t>
  </si>
  <si>
    <t>Eco Custom Dulux Colour</t>
  </si>
  <si>
    <t>89mm</t>
  </si>
  <si>
    <t>114mm</t>
  </si>
  <si>
    <t>63mm</t>
  </si>
  <si>
    <t>MatchBlade</t>
  </si>
  <si>
    <t xml:space="preserve"> 63mm114mmProductInMS</t>
  </si>
  <si>
    <t xml:space="preserve"> 63mm114mmProductOut</t>
  </si>
  <si>
    <t>Safety Lock</t>
  </si>
  <si>
    <t>Safety Lock Location</t>
  </si>
  <si>
    <t>Louvre/Blade Lock</t>
  </si>
  <si>
    <t>Handle Lock</t>
  </si>
  <si>
    <t>HandleLockYes</t>
  </si>
  <si>
    <t>HandleLockSelect</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</si>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</sst>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dd/mm/yyyy;@"/>
  </numFmts>
  <fonts count="55" x14ac:knownFonts="1">
    <font>
      <sz val="12"/>
      <name val="Arial"/>
    </font>
    <font>
      <sz val="11"/>
      <color theme="1"/>
      <name val="Calibri"/>
      <family val="2"/>
      <scheme val="minor"/>
    </font>
    <font>
      <sz val="12"/>
      <name val="Arial"/>
      <family val="2"/>
    </font>
    <font>
      <sz val="12"/>
      <name val="Tahoma"/>
      <family val="2"/>
    </font>
    <font>
      <sz val="9"/>
      <name val="Tahoma"/>
      <family val="2"/>
    </font>
    <font>
      <b/>
      <sz val="12"/>
      <name val="Tahoma"/>
      <family val="2"/>
    </font>
    <font>
      <sz val="10"/>
      <name val="Tahoma"/>
      <family val="2"/>
    </font>
    <font>
      <b/>
      <sz val="11"/>
      <name val="Tahoma"/>
      <family val="2"/>
    </font>
    <font>
      <sz val="11"/>
      <name val="Tahoma"/>
      <family val="2"/>
    </font>
    <font>
      <b/>
      <sz val="16"/>
      <name val="Tahoma"/>
      <family val="2"/>
    </font>
    <font>
      <sz val="12"/>
      <name val="Calibri"/>
      <family val="2"/>
    </font>
    <font>
      <sz val="14"/>
      <name val="Tahoma"/>
      <family val="2"/>
    </font>
    <font>
      <i/>
      <sz val="12"/>
      <name val="Tahoma"/>
      <family val="2"/>
    </font>
    <font>
      <b/>
      <sz val="16"/>
      <name val="Calibri"/>
      <family val="2"/>
      <scheme val="minor"/>
    </font>
    <font>
      <b/>
      <sz val="14"/>
      <name val="Calibri"/>
      <family val="2"/>
      <scheme val="minor"/>
    </font>
    <font>
      <b/>
      <sz val="12"/>
      <name val="Calibri"/>
      <family val="2"/>
      <scheme val="minor"/>
    </font>
    <font>
      <sz val="12"/>
      <name val="Calibri"/>
      <family val="2"/>
      <scheme val="minor"/>
    </font>
    <font>
      <b/>
      <i/>
      <sz val="18"/>
      <name val="Calibri"/>
      <family val="2"/>
      <scheme val="minor"/>
    </font>
    <font>
      <b/>
      <sz val="18"/>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00B0F0"/>
      <name val="Calibri"/>
      <family val="2"/>
      <scheme val="minor"/>
    </font>
    <font>
      <sz val="11"/>
      <name val="Arial"/>
      <family val="2"/>
    </font>
    <font>
      <b/>
      <sz val="12"/>
      <name val="Calibri"/>
      <family val="2"/>
    </font>
    <font>
      <sz val="10"/>
      <name val="Arial"/>
      <family val="2"/>
    </font>
    <font>
      <b/>
      <sz val="12"/>
      <name val="Arial"/>
      <family val="2"/>
    </font>
    <font>
      <b/>
      <i/>
      <sz val="12"/>
      <name val="Arial"/>
      <family val="2"/>
    </font>
    <font>
      <b/>
      <sz val="14"/>
      <name val="Arial"/>
      <family val="2"/>
    </font>
    <font>
      <b/>
      <sz val="18"/>
      <name val="Arial"/>
      <family val="2"/>
    </font>
    <font>
      <sz val="18"/>
      <name val="Arial"/>
      <family val="2"/>
    </font>
    <font>
      <u/>
      <sz val="10"/>
      <color indexed="12"/>
      <name val="Arial"/>
      <family val="2"/>
    </font>
    <font>
      <b/>
      <sz val="10"/>
      <name val="Arial"/>
      <family val="2"/>
    </font>
    <font>
      <sz val="14"/>
      <name val="Arial"/>
      <family val="2"/>
    </font>
    <font>
      <b/>
      <i/>
      <sz val="10"/>
      <name val="Arial"/>
      <family val="2"/>
    </font>
    <font>
      <sz val="9"/>
      <color indexed="81"/>
      <name val="Tahoma"/>
      <family val="2"/>
    </font>
    <font>
      <b/>
      <sz val="12"/>
      <color rgb="FFFF0000"/>
      <name val="Arial"/>
      <family val="2"/>
    </font>
    <font>
      <b/>
      <i/>
      <sz val="12"/>
      <name val="Tahoma"/>
      <family val="2"/>
    </font>
    <font>
      <i/>
      <sz val="9"/>
      <color indexed="81"/>
      <name val="Tahoma"/>
      <family val="2"/>
    </font>
    <font>
      <b/>
      <sz val="20"/>
      <name val="Calibri"/>
      <family val="2"/>
      <scheme val="minor"/>
    </font>
    <font>
      <b/>
      <sz val="11"/>
      <color rgb="FFFF0000"/>
      <name val="Calibri"/>
      <family val="2"/>
      <scheme val="minor"/>
    </font>
    <font>
      <sz val="12"/>
      <color rgb="FFFF0000"/>
      <name val="Calibri"/>
      <family val="2"/>
      <scheme val="minor"/>
    </font>
    <font>
      <b/>
      <sz val="12"/>
      <color rgb="FFFF0000"/>
      <name val="Calibri"/>
      <family val="2"/>
      <scheme val="minor"/>
    </font>
    <font>
      <sz val="12"/>
      <color theme="0"/>
      <name val="Tahoma"/>
      <family val="2"/>
    </font>
    <font>
      <sz val="12"/>
      <color rgb="FFFF0000"/>
      <name val="Tahoma"/>
      <family val="2"/>
    </font>
    <font>
      <b/>
      <sz val="14"/>
      <name val="Tahoma"/>
      <family val="2"/>
    </font>
    <font>
      <b/>
      <i/>
      <sz val="11"/>
      <color rgb="FFFF0000"/>
      <name val="Calibri"/>
      <family val="2"/>
      <scheme val="minor"/>
    </font>
    <font>
      <i/>
      <sz val="11"/>
      <name val="Tahoma"/>
      <family val="2"/>
    </font>
    <font>
      <b/>
      <sz val="18"/>
      <name val="Tahoma"/>
      <family val="2"/>
    </font>
    <font>
      <b/>
      <sz val="20"/>
      <name val="Arial"/>
      <family val="2"/>
    </font>
    <font>
      <sz val="8"/>
      <color indexed="81"/>
      <name val="Tahoma"/>
      <family val="2"/>
    </font>
    <font>
      <i/>
      <sz val="8"/>
      <color indexed="81"/>
      <name val="Tahoma"/>
      <family val="2"/>
    </font>
    <font>
      <b/>
      <i/>
      <sz val="11"/>
      <name val="Calibri"/>
      <family val="2"/>
      <scheme val="minor"/>
    </font>
    <font>
      <b/>
      <sz val="20"/>
      <name val="Tahoma"/>
      <family val="2"/>
    </font>
    <font>
      <b/>
      <sz val="24"/>
      <name val="Calibri"/>
      <family val="2"/>
      <scheme val="minor"/>
    </font>
  </fonts>
  <fills count="29">
    <fill>
      <patternFill patternType="none"/>
    </fill>
    <fill>
      <patternFill patternType="gray125"/>
    </fill>
    <fill>
      <patternFill patternType="solid">
        <fgColor indexed="13"/>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rgb="FF0070C0"/>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3" tint="0.79998168889431442"/>
        <bgColor indexed="64"/>
      </patternFill>
    </fill>
    <fill>
      <patternFill patternType="solid">
        <fgColor theme="2" tint="-9.9948118533890809E-2"/>
        <bgColor indexed="64"/>
      </patternFill>
    </fill>
    <fill>
      <patternFill patternType="solid">
        <fgColor indexed="31"/>
        <bgColor indexed="64"/>
      </patternFill>
    </fill>
    <fill>
      <patternFill patternType="solid">
        <fgColor theme="9" tint="0.79998168889431442"/>
        <bgColor indexed="64"/>
      </patternFill>
    </fill>
    <fill>
      <patternFill patternType="solid">
        <fgColor theme="7" tint="-0.499984740745262"/>
        <bgColor indexed="64"/>
      </patternFill>
    </fill>
    <fill>
      <patternFill patternType="solid">
        <fgColor theme="6" tint="0.79998168889431442"/>
        <bgColor indexed="64"/>
      </patternFill>
    </fill>
  </fills>
  <borders count="128">
    <border>
      <left/>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style="medium">
        <color indexed="64"/>
      </top>
      <bottom style="double">
        <color indexed="64"/>
      </bottom>
      <diagonal/>
    </border>
    <border>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top/>
      <bottom style="thin">
        <color indexed="64"/>
      </bottom>
      <diagonal/>
    </border>
    <border>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style="medium">
        <color indexed="64"/>
      </left>
      <right/>
      <top style="medium">
        <color indexed="64"/>
      </top>
      <bottom style="double">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auto="1"/>
      </left>
      <right style="thin">
        <color auto="1"/>
      </right>
      <top style="thick">
        <color auto="1"/>
      </top>
      <bottom style="thin">
        <color auto="1"/>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double">
        <color indexed="64"/>
      </top>
      <bottom style="hair">
        <color indexed="64"/>
      </bottom>
      <diagonal/>
    </border>
    <border>
      <left style="medium">
        <color indexed="64"/>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hair">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hair">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style="double">
        <color indexed="64"/>
      </top>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0" fontId="31" fillId="0" borderId="0" applyNumberFormat="0" applyFill="0" applyBorder="0" applyAlignment="0" applyProtection="0">
      <alignment vertical="top"/>
      <protection locked="0"/>
    </xf>
  </cellStyleXfs>
  <cellXfs count="491">
    <xf numFmtId="0" fontId="0" fillId="0" borderId="0" xfId="0"/>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right" vertical="center"/>
      <protection locked="0"/>
    </xf>
    <xf numFmtId="0" fontId="14"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16" fillId="0" borderId="0" xfId="0" applyFont="1" applyAlignment="1" applyProtection="1">
      <alignment vertical="center"/>
      <protection locked="0"/>
    </xf>
    <xf numFmtId="164" fontId="4" fillId="0" borderId="0" xfId="0" applyNumberFormat="1" applyFont="1" applyAlignment="1" applyProtection="1">
      <alignment vertical="center"/>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7" fillId="0" borderId="23"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3" fillId="0" borderId="26"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1" xfId="0" applyFont="1" applyBorder="1" applyAlignment="1" applyProtection="1">
      <alignment vertical="center"/>
      <protection locked="0"/>
    </xf>
    <xf numFmtId="0" fontId="7" fillId="0" borderId="32"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2" fillId="0" borderId="0" xfId="0" applyFont="1"/>
    <xf numFmtId="0" fontId="3" fillId="0" borderId="4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1" fillId="0" borderId="0" xfId="2"/>
    <xf numFmtId="0" fontId="19" fillId="0" borderId="0" xfId="2" applyFont="1" applyAlignment="1">
      <alignment horizontal="center"/>
    </xf>
    <xf numFmtId="0" fontId="1" fillId="0" borderId="0" xfId="2" applyAlignment="1">
      <alignment horizontal="center"/>
    </xf>
    <xf numFmtId="0" fontId="20" fillId="0" borderId="0" xfId="2" applyFont="1"/>
    <xf numFmtId="0" fontId="19" fillId="6" borderId="46" xfId="2" applyFont="1" applyFill="1" applyBorder="1" applyAlignment="1">
      <alignment horizontal="center"/>
    </xf>
    <xf numFmtId="0" fontId="1" fillId="7" borderId="46" xfId="2" applyFill="1" applyBorder="1"/>
    <xf numFmtId="0" fontId="19" fillId="7" borderId="46" xfId="2" applyFont="1" applyFill="1" applyBorder="1" applyAlignment="1">
      <alignment horizontal="center"/>
    </xf>
    <xf numFmtId="0" fontId="1" fillId="0" borderId="0" xfId="2" applyAlignment="1">
      <alignment horizontal="right"/>
    </xf>
    <xf numFmtId="0" fontId="20" fillId="0" borderId="0" xfId="2" applyFont="1" applyAlignment="1">
      <alignment horizontal="right"/>
    </xf>
    <xf numFmtId="0" fontId="1" fillId="6" borderId="46" xfId="2" applyFill="1" applyBorder="1"/>
    <xf numFmtId="2" fontId="20" fillId="0" borderId="0" xfId="2" applyNumberFormat="1" applyFont="1" applyAlignment="1">
      <alignment horizontal="right"/>
    </xf>
    <xf numFmtId="0" fontId="19" fillId="8" borderId="46" xfId="2" applyFont="1" applyFill="1" applyBorder="1" applyAlignment="1">
      <alignment horizontal="center"/>
    </xf>
    <xf numFmtId="2" fontId="21" fillId="8" borderId="46" xfId="2" applyNumberFormat="1" applyFont="1" applyFill="1" applyBorder="1" applyAlignment="1">
      <alignment horizontal="center"/>
    </xf>
    <xf numFmtId="0" fontId="21" fillId="8" borderId="46" xfId="2" applyFont="1" applyFill="1" applyBorder="1" applyAlignment="1">
      <alignment horizontal="center"/>
    </xf>
    <xf numFmtId="2" fontId="21" fillId="8" borderId="46" xfId="1" applyNumberFormat="1" applyFont="1" applyFill="1" applyBorder="1" applyAlignment="1">
      <alignment horizontal="center"/>
    </xf>
    <xf numFmtId="0" fontId="20" fillId="0" borderId="0" xfId="2" applyFont="1" applyAlignment="1">
      <alignment horizontal="center"/>
    </xf>
    <xf numFmtId="0" fontId="19" fillId="9" borderId="46" xfId="2" applyFont="1" applyFill="1" applyBorder="1" applyAlignment="1">
      <alignment horizontal="center" vertical="center"/>
    </xf>
    <xf numFmtId="1" fontId="19" fillId="0" borderId="46" xfId="2" applyNumberFormat="1" applyFont="1" applyBorder="1" applyAlignment="1">
      <alignment horizontal="center"/>
    </xf>
    <xf numFmtId="0" fontId="19" fillId="0" borderId="46" xfId="2" applyFont="1" applyBorder="1" applyAlignment="1">
      <alignment horizontal="right"/>
    </xf>
    <xf numFmtId="1" fontId="19" fillId="0" borderId="46" xfId="2" applyNumberFormat="1" applyFont="1" applyBorder="1" applyAlignment="1">
      <alignment horizontal="right"/>
    </xf>
    <xf numFmtId="1" fontId="21" fillId="0" borderId="46" xfId="2" applyNumberFormat="1" applyFont="1" applyBorder="1" applyAlignment="1">
      <alignment horizontal="right"/>
    </xf>
    <xf numFmtId="0" fontId="21" fillId="0" borderId="46" xfId="2" applyFont="1" applyBorder="1"/>
    <xf numFmtId="0" fontId="1" fillId="0" borderId="46" xfId="2" applyBorder="1" applyAlignment="1">
      <alignment horizontal="right"/>
    </xf>
    <xf numFmtId="1" fontId="1" fillId="0" borderId="46" xfId="2" applyNumberFormat="1" applyBorder="1" applyAlignment="1">
      <alignment horizontal="right"/>
    </xf>
    <xf numFmtId="1" fontId="20" fillId="0" borderId="46" xfId="2" applyNumberFormat="1" applyFont="1" applyBorder="1" applyAlignment="1">
      <alignment horizontal="right"/>
    </xf>
    <xf numFmtId="0" fontId="20" fillId="0" borderId="46" xfId="2" applyFont="1" applyBorder="1"/>
    <xf numFmtId="0" fontId="19" fillId="9" borderId="46" xfId="2" applyFont="1" applyFill="1" applyBorder="1" applyAlignment="1">
      <alignment horizontal="center" vertical="center" wrapText="1"/>
    </xf>
    <xf numFmtId="2" fontId="19" fillId="8" borderId="46" xfId="2" applyNumberFormat="1" applyFont="1" applyFill="1" applyBorder="1" applyAlignment="1">
      <alignment horizontal="center"/>
    </xf>
    <xf numFmtId="1" fontId="20" fillId="0" borderId="46" xfId="1" applyNumberFormat="1" applyFont="1" applyBorder="1" applyAlignment="1">
      <alignment horizontal="right"/>
    </xf>
    <xf numFmtId="0" fontId="21" fillId="9" borderId="46" xfId="2" applyFont="1" applyFill="1" applyBorder="1" applyAlignment="1">
      <alignment horizontal="center" vertical="center"/>
    </xf>
    <xf numFmtId="9" fontId="21" fillId="8" borderId="46" xfId="2" applyNumberFormat="1" applyFont="1" applyFill="1" applyBorder="1" applyAlignment="1">
      <alignment horizontal="center"/>
    </xf>
    <xf numFmtId="0" fontId="21" fillId="9" borderId="46" xfId="2" applyFont="1" applyFill="1" applyBorder="1" applyAlignment="1">
      <alignment horizontal="center" vertical="center" wrapText="1"/>
    </xf>
    <xf numFmtId="0" fontId="22" fillId="0" borderId="0" xfId="2" applyFont="1" applyAlignment="1" applyProtection="1">
      <alignment horizontal="center"/>
      <protection locked="0"/>
    </xf>
    <xf numFmtId="1" fontId="20" fillId="0" borderId="46" xfId="2" applyNumberFormat="1" applyFont="1" applyBorder="1"/>
    <xf numFmtId="0" fontId="21" fillId="10" borderId="46" xfId="2" applyFont="1" applyFill="1" applyBorder="1" applyAlignment="1" applyProtection="1">
      <alignment horizontal="center" vertical="center"/>
      <protection locked="0"/>
    </xf>
    <xf numFmtId="0" fontId="21" fillId="10" borderId="46" xfId="2" applyFont="1" applyFill="1" applyBorder="1" applyAlignment="1">
      <alignment horizontal="center" vertical="center"/>
    </xf>
    <xf numFmtId="0" fontId="19" fillId="11" borderId="46" xfId="2" applyFont="1" applyFill="1" applyBorder="1" applyAlignment="1">
      <alignment horizontal="center" vertical="center" wrapText="1"/>
    </xf>
    <xf numFmtId="0" fontId="19" fillId="11" borderId="46" xfId="2" applyFont="1" applyFill="1" applyBorder="1" applyAlignment="1">
      <alignment horizontal="center" vertical="center"/>
    </xf>
    <xf numFmtId="0" fontId="19" fillId="12" borderId="46" xfId="2" applyFont="1" applyFill="1" applyBorder="1" applyAlignment="1">
      <alignment horizontal="center" vertical="center"/>
    </xf>
    <xf numFmtId="0" fontId="21" fillId="12" borderId="46" xfId="2" applyFont="1" applyFill="1" applyBorder="1" applyAlignment="1" applyProtection="1">
      <alignment horizontal="center" vertical="center"/>
      <protection locked="0"/>
    </xf>
    <xf numFmtId="0" fontId="21" fillId="12" borderId="46" xfId="2" applyFont="1" applyFill="1" applyBorder="1" applyAlignment="1">
      <alignment horizontal="center" vertical="center"/>
    </xf>
    <xf numFmtId="0" fontId="19" fillId="0" borderId="46" xfId="2" applyFont="1" applyBorder="1" applyAlignment="1">
      <alignment horizontal="center" vertical="center"/>
    </xf>
    <xf numFmtId="0" fontId="21" fillId="0" borderId="46" xfId="2" applyFont="1" applyBorder="1" applyAlignment="1">
      <alignment horizontal="center" vertical="center"/>
    </xf>
    <xf numFmtId="0" fontId="3" fillId="0" borderId="43" xfId="0" applyFont="1" applyBorder="1" applyAlignment="1" applyProtection="1">
      <alignment vertical="center"/>
      <protection locked="0"/>
    </xf>
    <xf numFmtId="0" fontId="8" fillId="0" borderId="30" xfId="0" applyFont="1" applyBorder="1" applyAlignment="1" applyProtection="1">
      <alignment horizontal="center" vertical="center"/>
      <protection locked="0"/>
    </xf>
    <xf numFmtId="0" fontId="3" fillId="0" borderId="27" xfId="0" applyFont="1" applyBorder="1" applyAlignment="1" applyProtection="1">
      <alignment vertical="center"/>
      <protection locked="0"/>
    </xf>
    <xf numFmtId="0" fontId="8" fillId="0" borderId="25"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shrinkToFit="1"/>
      <protection locked="0"/>
    </xf>
    <xf numFmtId="0" fontId="23" fillId="0" borderId="55"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protection locked="0"/>
    </xf>
    <xf numFmtId="1" fontId="3" fillId="7" borderId="56" xfId="0" applyNumberFormat="1" applyFont="1" applyFill="1" applyBorder="1" applyAlignment="1">
      <alignment horizontal="center" vertical="center"/>
    </xf>
    <xf numFmtId="0" fontId="3" fillId="7" borderId="56" xfId="0" applyFont="1" applyFill="1" applyBorder="1" applyAlignment="1">
      <alignment horizontal="center" vertical="center"/>
    </xf>
    <xf numFmtId="0" fontId="8" fillId="0" borderId="2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shrinkToFit="1"/>
      <protection locked="0"/>
    </xf>
    <xf numFmtId="0" fontId="23"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1" fontId="3" fillId="7" borderId="57" xfId="0" applyNumberFormat="1" applyFont="1" applyFill="1" applyBorder="1" applyAlignment="1">
      <alignment horizontal="center" vertical="center"/>
    </xf>
    <xf numFmtId="0" fontId="3" fillId="7" borderId="57" xfId="0" applyFont="1" applyFill="1" applyBorder="1" applyAlignment="1">
      <alignment horizontal="center" vertical="center"/>
    </xf>
    <xf numFmtId="0" fontId="8" fillId="0" borderId="3"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1" fontId="3" fillId="7" borderId="24" xfId="0" applyNumberFormat="1" applyFont="1" applyFill="1" applyBorder="1" applyAlignment="1">
      <alignment horizontal="center" vertical="center"/>
    </xf>
    <xf numFmtId="0" fontId="3" fillId="7" borderId="24" xfId="0" applyFont="1" applyFill="1" applyBorder="1" applyAlignment="1">
      <alignment horizontal="center" vertical="center"/>
    </xf>
    <xf numFmtId="0" fontId="3" fillId="13" borderId="37" xfId="0" applyFont="1" applyFill="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5" fillId="0" borderId="0" xfId="2" applyFont="1" applyProtection="1">
      <protection locked="0"/>
    </xf>
    <xf numFmtId="0" fontId="32" fillId="0" borderId="0" xfId="2" applyFont="1" applyAlignment="1" applyProtection="1">
      <alignment vertical="center"/>
      <protection locked="0"/>
    </xf>
    <xf numFmtId="0" fontId="32" fillId="15" borderId="46" xfId="2" applyFont="1" applyFill="1" applyBorder="1" applyAlignment="1" applyProtection="1">
      <alignment horizontal="center"/>
      <protection locked="0"/>
    </xf>
    <xf numFmtId="0" fontId="33" fillId="0" borderId="46" xfId="2" applyFont="1" applyBorder="1" applyAlignment="1">
      <alignment horizontal="center"/>
    </xf>
    <xf numFmtId="0" fontId="8" fillId="0" borderId="33" xfId="0" applyFont="1" applyBorder="1" applyAlignment="1" applyProtection="1">
      <alignment horizontal="center" vertical="center" shrinkToFit="1"/>
      <protection locked="0"/>
    </xf>
    <xf numFmtId="0" fontId="15" fillId="0" borderId="46" xfId="0" applyFont="1" applyBorder="1" applyAlignment="1" applyProtection="1">
      <alignment horizontal="center" vertical="center"/>
      <protection locked="0"/>
    </xf>
    <xf numFmtId="0" fontId="0" fillId="0" borderId="46" xfId="0" applyBorder="1" applyAlignment="1">
      <alignment horizontal="center"/>
    </xf>
    <xf numFmtId="0" fontId="32" fillId="18" borderId="46" xfId="0" applyFont="1" applyFill="1" applyBorder="1" applyAlignment="1">
      <alignment horizontal="center" vertical="center"/>
    </xf>
    <xf numFmtId="0" fontId="19" fillId="19" borderId="46" xfId="0" applyFont="1" applyFill="1" applyBorder="1" applyAlignment="1">
      <alignment horizontal="center"/>
    </xf>
    <xf numFmtId="0" fontId="19" fillId="20" borderId="46" xfId="0" applyFont="1" applyFill="1" applyBorder="1" applyAlignment="1">
      <alignment horizontal="center"/>
    </xf>
    <xf numFmtId="0" fontId="32" fillId="8" borderId="46" xfId="0" applyFont="1" applyFill="1" applyBorder="1" applyAlignment="1">
      <alignment horizontal="center"/>
    </xf>
    <xf numFmtId="0" fontId="0" fillId="18" borderId="46" xfId="0" applyFill="1" applyBorder="1" applyAlignment="1">
      <alignment horizontal="center"/>
    </xf>
    <xf numFmtId="0" fontId="0" fillId="19" borderId="46" xfId="0" applyFill="1" applyBorder="1" applyAlignment="1">
      <alignment horizontal="center"/>
    </xf>
    <xf numFmtId="0" fontId="0" fillId="8" borderId="46" xfId="0" applyFill="1" applyBorder="1" applyAlignment="1">
      <alignment horizontal="center"/>
    </xf>
    <xf numFmtId="0" fontId="0" fillId="11" borderId="0" xfId="0" applyFill="1" applyAlignment="1">
      <alignment horizontal="center"/>
    </xf>
    <xf numFmtId="0" fontId="0" fillId="0" borderId="0" xfId="0" applyAlignment="1">
      <alignment horizontal="center"/>
    </xf>
    <xf numFmtId="0" fontId="3" fillId="21" borderId="19" xfId="0" applyFont="1" applyFill="1" applyBorder="1" applyAlignment="1" applyProtection="1">
      <alignment horizontal="center" vertical="center" wrapText="1"/>
      <protection locked="0"/>
    </xf>
    <xf numFmtId="0" fontId="3" fillId="21" borderId="34" xfId="0" applyFont="1" applyFill="1" applyBorder="1" applyAlignment="1" applyProtection="1">
      <alignment horizontal="center" vertical="center" wrapText="1"/>
      <protection locked="0"/>
    </xf>
    <xf numFmtId="0" fontId="16" fillId="0" borderId="46" xfId="0" applyFont="1" applyBorder="1" applyAlignment="1" applyProtection="1">
      <alignment horizontal="center" vertical="center"/>
      <protection locked="0"/>
    </xf>
    <xf numFmtId="0" fontId="41" fillId="0" borderId="46" xfId="0" applyFont="1" applyBorder="1" applyAlignment="1" applyProtection="1">
      <alignment horizontal="center" vertical="center"/>
      <protection locked="0"/>
    </xf>
    <xf numFmtId="0" fontId="42" fillId="0" borderId="46" xfId="0" applyFont="1" applyBorder="1" applyAlignment="1" applyProtection="1">
      <alignment horizontal="center" vertical="center"/>
      <protection locked="0"/>
    </xf>
    <xf numFmtId="0" fontId="43" fillId="0" borderId="0" xfId="0" applyFont="1" applyAlignment="1" applyProtection="1">
      <alignment vertical="center"/>
      <protection locked="0"/>
    </xf>
    <xf numFmtId="0" fontId="40" fillId="0" borderId="46" xfId="0" applyFont="1" applyBorder="1" applyAlignment="1" applyProtection="1">
      <alignment horizontal="center" vertical="center" wrapText="1"/>
      <protection locked="0"/>
    </xf>
    <xf numFmtId="0" fontId="15" fillId="0" borderId="46" xfId="0" applyFont="1" applyBorder="1" applyAlignment="1" applyProtection="1">
      <alignment horizontal="left" vertical="center"/>
      <protection locked="0"/>
    </xf>
    <xf numFmtId="0" fontId="3" fillId="0" borderId="21" xfId="0" applyFont="1" applyBorder="1" applyAlignment="1" applyProtection="1">
      <alignment horizontal="center" vertical="center" wrapText="1"/>
      <protection locked="0"/>
    </xf>
    <xf numFmtId="0" fontId="40" fillId="12" borderId="61" xfId="0" applyFont="1" applyFill="1" applyBorder="1" applyAlignment="1" applyProtection="1">
      <alignment horizontal="center" vertical="center" wrapText="1"/>
      <protection locked="0"/>
    </xf>
    <xf numFmtId="0" fontId="40" fillId="12" borderId="46" xfId="0" applyFont="1" applyFill="1" applyBorder="1" applyAlignment="1" applyProtection="1">
      <alignment horizontal="center" vertical="center" wrapText="1"/>
      <protection locked="0"/>
    </xf>
    <xf numFmtId="0" fontId="44" fillId="12" borderId="46" xfId="0" applyFont="1" applyFill="1" applyBorder="1" applyAlignment="1" applyProtection="1">
      <alignment horizontal="center" vertical="center"/>
      <protection locked="0"/>
    </xf>
    <xf numFmtId="0" fontId="2" fillId="0" borderId="0" xfId="0" applyFont="1" applyAlignment="1">
      <alignment horizontal="center"/>
    </xf>
    <xf numFmtId="0" fontId="3" fillId="0" borderId="46" xfId="0" applyFont="1" applyBorder="1" applyAlignment="1" applyProtection="1">
      <alignment horizontal="center" vertical="center"/>
      <protection locked="0"/>
    </xf>
    <xf numFmtId="0" fontId="2" fillId="18" borderId="46" xfId="0" applyFont="1" applyFill="1" applyBorder="1" applyAlignment="1">
      <alignment horizontal="center"/>
    </xf>
    <xf numFmtId="0" fontId="2" fillId="19" borderId="46" xfId="0" applyFont="1" applyFill="1" applyBorder="1" applyAlignment="1">
      <alignment horizontal="center"/>
    </xf>
    <xf numFmtId="0" fontId="2" fillId="20" borderId="46" xfId="0" applyFont="1" applyFill="1" applyBorder="1" applyAlignment="1">
      <alignment horizontal="center"/>
    </xf>
    <xf numFmtId="0" fontId="2" fillId="8" borderId="46" xfId="0" applyFont="1" applyFill="1" applyBorder="1" applyAlignment="1">
      <alignment horizontal="center"/>
    </xf>
    <xf numFmtId="0" fontId="2" fillId="11" borderId="0" xfId="0" applyFont="1" applyFill="1" applyAlignment="1">
      <alignment horizontal="center"/>
    </xf>
    <xf numFmtId="0" fontId="3" fillId="19" borderId="19" xfId="0" applyFont="1" applyFill="1" applyBorder="1" applyAlignment="1" applyProtection="1">
      <alignment horizontal="center" vertical="center" wrapText="1"/>
      <protection locked="0"/>
    </xf>
    <xf numFmtId="0" fontId="3" fillId="22" borderId="19" xfId="0" applyFont="1" applyFill="1" applyBorder="1" applyAlignment="1" applyProtection="1">
      <alignment horizontal="center" vertical="center" wrapText="1"/>
      <protection locked="0"/>
    </xf>
    <xf numFmtId="0" fontId="3" fillId="22" borderId="21" xfId="0" applyFont="1" applyFill="1" applyBorder="1" applyAlignment="1" applyProtection="1">
      <alignment horizontal="center" vertical="center" wrapText="1"/>
      <protection locked="0"/>
    </xf>
    <xf numFmtId="0" fontId="3" fillId="21" borderId="34" xfId="0" applyFont="1" applyFill="1" applyBorder="1" applyAlignment="1" applyProtection="1">
      <alignment horizontal="center" vertical="center"/>
      <protection locked="0"/>
    </xf>
    <xf numFmtId="164" fontId="8" fillId="3" borderId="36" xfId="0" applyNumberFormat="1" applyFont="1" applyFill="1" applyBorder="1" applyAlignment="1">
      <alignment horizontal="center" vertical="center"/>
    </xf>
    <xf numFmtId="164" fontId="8" fillId="3" borderId="58" xfId="0" applyNumberFormat="1" applyFont="1" applyFill="1" applyBorder="1" applyAlignment="1">
      <alignment horizontal="center" vertical="center"/>
    </xf>
    <xf numFmtId="49" fontId="3" fillId="0" borderId="0" xfId="0" applyNumberFormat="1" applyFont="1" applyAlignment="1" applyProtection="1">
      <alignment vertical="center"/>
      <protection locked="0"/>
    </xf>
    <xf numFmtId="164" fontId="3" fillId="3" borderId="59" xfId="0" applyNumberFormat="1" applyFont="1" applyFill="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protection locked="0"/>
    </xf>
    <xf numFmtId="0" fontId="3" fillId="0" borderId="65" xfId="0" applyFont="1" applyBorder="1" applyAlignment="1" applyProtection="1">
      <alignment horizontal="center" vertical="center" wrapText="1"/>
      <protection locked="0"/>
    </xf>
    <xf numFmtId="0" fontId="3" fillId="0" borderId="7" xfId="0" applyFont="1" applyBorder="1" applyAlignment="1" applyProtection="1">
      <alignment vertical="center"/>
      <protection locked="0"/>
    </xf>
    <xf numFmtId="0" fontId="15" fillId="0" borderId="0" xfId="0" applyFont="1" applyAlignment="1" applyProtection="1">
      <alignment vertical="center"/>
      <protection locked="0"/>
    </xf>
    <xf numFmtId="0" fontId="39" fillId="0" borderId="67" xfId="0" applyFont="1" applyBorder="1" applyAlignment="1" applyProtection="1">
      <alignment vertical="center"/>
      <protection locked="0"/>
    </xf>
    <xf numFmtId="0" fontId="16" fillId="0" borderId="67" xfId="0" applyFont="1" applyBorder="1" applyAlignment="1" applyProtection="1">
      <alignment vertical="center"/>
      <protection locked="0"/>
    </xf>
    <xf numFmtId="0" fontId="16" fillId="0" borderId="67" xfId="0" applyFont="1" applyBorder="1" applyAlignment="1" applyProtection="1">
      <alignment vertical="center" shrinkToFit="1"/>
      <protection locked="0"/>
    </xf>
    <xf numFmtId="14" fontId="16" fillId="0" borderId="67" xfId="0" applyNumberFormat="1" applyFont="1" applyBorder="1" applyAlignment="1" applyProtection="1">
      <alignment vertical="center"/>
      <protection locked="0"/>
    </xf>
    <xf numFmtId="0" fontId="13" fillId="0" borderId="69" xfId="0" applyFont="1" applyBorder="1" applyAlignment="1" applyProtection="1">
      <alignment vertical="center"/>
      <protection locked="0"/>
    </xf>
    <xf numFmtId="0" fontId="13" fillId="0" borderId="70" xfId="0" applyFont="1" applyBorder="1" applyAlignment="1" applyProtection="1">
      <alignment vertical="center"/>
      <protection locked="0"/>
    </xf>
    <xf numFmtId="0" fontId="17" fillId="0" borderId="70" xfId="0" applyFont="1" applyBorder="1" applyAlignment="1" applyProtection="1">
      <alignment horizontal="left" vertical="center"/>
      <protection locked="0"/>
    </xf>
    <xf numFmtId="0" fontId="16" fillId="0" borderId="70" xfId="0" applyFont="1" applyBorder="1" applyAlignment="1" applyProtection="1">
      <alignment vertical="center"/>
      <protection locked="0"/>
    </xf>
    <xf numFmtId="0" fontId="13" fillId="0" borderId="67"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0" fontId="15" fillId="0" borderId="71" xfId="0" applyFont="1" applyBorder="1" applyAlignment="1" applyProtection="1">
      <alignment vertical="center"/>
      <protection locked="0"/>
    </xf>
    <xf numFmtId="0" fontId="15" fillId="0" borderId="44" xfId="0" applyFont="1" applyBorder="1" applyAlignment="1" applyProtection="1">
      <alignment horizontal="left" vertical="center"/>
      <protection locked="0"/>
    </xf>
    <xf numFmtId="0" fontId="15" fillId="0" borderId="44" xfId="0" applyFont="1" applyBorder="1" applyAlignment="1" applyProtection="1">
      <alignment vertical="center"/>
      <protection locked="0"/>
    </xf>
    <xf numFmtId="0" fontId="16" fillId="0" borderId="44" xfId="0" applyFont="1" applyBorder="1" applyAlignment="1" applyProtection="1">
      <alignment vertical="center"/>
      <protection locked="0"/>
    </xf>
    <xf numFmtId="0" fontId="16" fillId="0" borderId="40" xfId="0" applyFont="1" applyBorder="1" applyAlignment="1" applyProtection="1">
      <alignment vertical="center"/>
      <protection locked="0"/>
    </xf>
    <xf numFmtId="0" fontId="3" fillId="0" borderId="44" xfId="0" applyFont="1" applyBorder="1" applyAlignment="1" applyProtection="1">
      <alignment vertical="center"/>
      <protection locked="0"/>
    </xf>
    <xf numFmtId="14" fontId="15" fillId="0" borderId="44" xfId="0" applyNumberFormat="1" applyFont="1" applyBorder="1" applyAlignment="1" applyProtection="1">
      <alignment vertical="center"/>
      <protection locked="0"/>
    </xf>
    <xf numFmtId="164" fontId="3" fillId="0" borderId="0" xfId="0" applyNumberFormat="1" applyFont="1" applyAlignment="1" applyProtection="1">
      <alignment vertical="center"/>
      <protection locked="0"/>
    </xf>
    <xf numFmtId="164" fontId="37" fillId="2" borderId="46" xfId="0" applyNumberFormat="1" applyFont="1" applyFill="1" applyBorder="1" applyAlignment="1">
      <alignment horizontal="center" vertical="center"/>
    </xf>
    <xf numFmtId="0" fontId="14" fillId="0" borderId="0" xfId="0" applyFont="1" applyAlignment="1" applyProtection="1">
      <alignment horizontal="right" vertical="center" shrinkToFit="1"/>
      <protection locked="0"/>
    </xf>
    <xf numFmtId="0" fontId="16" fillId="0" borderId="72" xfId="0" applyFont="1" applyBorder="1" applyAlignment="1" applyProtection="1">
      <alignment vertical="center"/>
      <protection locked="0"/>
    </xf>
    <xf numFmtId="0" fontId="16" fillId="0" borderId="68" xfId="0" applyFont="1" applyBorder="1" applyAlignment="1" applyProtection="1">
      <alignment vertical="center"/>
      <protection locked="0"/>
    </xf>
    <xf numFmtId="14" fontId="15" fillId="0" borderId="46" xfId="0" applyNumberFormat="1" applyFont="1" applyBorder="1" applyAlignment="1" applyProtection="1">
      <alignment horizontal="left" vertical="center"/>
      <protection locked="0"/>
    </xf>
    <xf numFmtId="0" fontId="15" fillId="0" borderId="67" xfId="0" applyFont="1" applyBorder="1" applyAlignment="1" applyProtection="1">
      <alignment vertical="center"/>
      <protection locked="0"/>
    </xf>
    <xf numFmtId="0" fontId="3" fillId="0" borderId="72" xfId="0" applyFont="1" applyBorder="1" applyAlignment="1" applyProtection="1">
      <alignment vertical="center"/>
      <protection locked="0"/>
    </xf>
    <xf numFmtId="0" fontId="3" fillId="0" borderId="78" xfId="0" applyFont="1" applyBorder="1" applyAlignment="1" applyProtection="1">
      <alignment vertical="center"/>
      <protection locked="0"/>
    </xf>
    <xf numFmtId="0" fontId="3" fillId="0" borderId="60" xfId="0" applyFont="1" applyBorder="1" applyAlignment="1" applyProtection="1">
      <alignment vertical="center"/>
      <protection locked="0"/>
    </xf>
    <xf numFmtId="0" fontId="12" fillId="19" borderId="73" xfId="0" applyFont="1" applyFill="1" applyBorder="1" applyAlignment="1" applyProtection="1">
      <alignment horizontal="center" vertical="center"/>
      <protection locked="0"/>
    </xf>
    <xf numFmtId="0" fontId="5" fillId="2" borderId="47" xfId="0" applyFont="1" applyFill="1" applyBorder="1" applyAlignment="1" applyProtection="1">
      <alignment horizontal="center" vertical="center" shrinkToFit="1"/>
      <protection locked="0"/>
    </xf>
    <xf numFmtId="0" fontId="5" fillId="9" borderId="47" xfId="0" applyFont="1" applyFill="1" applyBorder="1" applyAlignment="1" applyProtection="1">
      <alignment horizontal="center" vertical="center" shrinkToFit="1"/>
      <protection locked="0"/>
    </xf>
    <xf numFmtId="0" fontId="12" fillId="21" borderId="79" xfId="0" applyFont="1" applyFill="1" applyBorder="1" applyAlignment="1" applyProtection="1">
      <alignment vertical="center"/>
      <protection locked="0"/>
    </xf>
    <xf numFmtId="0" fontId="12" fillId="21" borderId="70" xfId="0" applyFont="1" applyFill="1" applyBorder="1" applyAlignment="1" applyProtection="1">
      <alignment vertical="center"/>
      <protection locked="0"/>
    </xf>
    <xf numFmtId="0" fontId="37" fillId="9" borderId="46" xfId="0" applyFont="1" applyFill="1" applyBorder="1" applyAlignment="1">
      <alignment horizontal="center" vertical="center"/>
    </xf>
    <xf numFmtId="1" fontId="37" fillId="9" borderId="46" xfId="0" applyNumberFormat="1" applyFont="1" applyFill="1" applyBorder="1" applyAlignment="1">
      <alignment horizontal="center" vertical="center"/>
    </xf>
    <xf numFmtId="0" fontId="25" fillId="8" borderId="46" xfId="2" applyFont="1" applyFill="1" applyBorder="1" applyAlignment="1" applyProtection="1">
      <alignment horizontal="center"/>
      <protection locked="0"/>
    </xf>
    <xf numFmtId="0" fontId="25" fillId="5" borderId="46" xfId="2" applyFont="1" applyFill="1" applyBorder="1" applyAlignment="1" applyProtection="1">
      <alignment horizontal="center"/>
      <protection locked="0"/>
    </xf>
    <xf numFmtId="0" fontId="21" fillId="25" borderId="61" xfId="0" applyFont="1" applyFill="1" applyBorder="1" applyAlignment="1">
      <alignment horizontal="center" vertical="center" wrapText="1"/>
    </xf>
    <xf numFmtId="0" fontId="3" fillId="0" borderId="46" xfId="0" applyFont="1" applyBorder="1" applyAlignment="1">
      <alignment horizontal="center" vertical="center"/>
    </xf>
    <xf numFmtId="0" fontId="5" fillId="0" borderId="46"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21" fillId="0" borderId="46" xfId="0" applyFont="1" applyBorder="1" applyAlignment="1" applyProtection="1">
      <alignment horizontal="center" vertical="center" wrapText="1"/>
      <protection locked="0"/>
    </xf>
    <xf numFmtId="0" fontId="21" fillId="25" borderId="46" xfId="0" applyFont="1" applyFill="1" applyBorder="1" applyAlignment="1">
      <alignment horizontal="center" vertical="center" wrapText="1"/>
    </xf>
    <xf numFmtId="0" fontId="15" fillId="0" borderId="46" xfId="0" applyFont="1" applyBorder="1" applyAlignment="1" applyProtection="1">
      <alignment horizontal="center" vertical="center" wrapText="1"/>
      <protection locked="0"/>
    </xf>
    <xf numFmtId="0" fontId="2" fillId="0" borderId="46" xfId="0" applyFont="1" applyBorder="1" applyAlignment="1" applyProtection="1">
      <alignment vertical="center"/>
      <protection locked="0"/>
    </xf>
    <xf numFmtId="0" fontId="15"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20" fillId="17" borderId="46" xfId="0" applyFont="1" applyFill="1" applyBorder="1" applyAlignment="1">
      <alignment horizontal="center" vertical="center"/>
    </xf>
    <xf numFmtId="0" fontId="21" fillId="17" borderId="48" xfId="0" applyFont="1" applyFill="1" applyBorder="1" applyAlignment="1">
      <alignment horizontal="center" vertical="center"/>
    </xf>
    <xf numFmtId="0" fontId="20" fillId="26" borderId="46" xfId="0" applyFont="1" applyFill="1" applyBorder="1" applyAlignment="1">
      <alignment horizontal="center" vertical="center"/>
    </xf>
    <xf numFmtId="0" fontId="21" fillId="26" borderId="46" xfId="0" applyFont="1" applyFill="1" applyBorder="1" applyAlignment="1">
      <alignment horizontal="center" vertical="center"/>
    </xf>
    <xf numFmtId="0" fontId="20" fillId="17" borderId="46" xfId="0" applyFont="1" applyFill="1" applyBorder="1" applyAlignment="1">
      <alignment horizontal="center"/>
    </xf>
    <xf numFmtId="0" fontId="20" fillId="17" borderId="48" xfId="0" applyFont="1" applyFill="1" applyBorder="1"/>
    <xf numFmtId="0" fontId="20" fillId="26" borderId="46" xfId="0" applyFont="1" applyFill="1" applyBorder="1" applyAlignment="1">
      <alignment horizontal="center"/>
    </xf>
    <xf numFmtId="0" fontId="20" fillId="26" borderId="46" xfId="0" applyFont="1" applyFill="1" applyBorder="1" applyAlignment="1">
      <alignment wrapText="1"/>
    </xf>
    <xf numFmtId="0" fontId="34" fillId="0" borderId="46" xfId="0" applyFont="1" applyBorder="1" applyAlignment="1" applyProtection="1">
      <alignment horizontal="center"/>
      <protection locked="0"/>
    </xf>
    <xf numFmtId="14" fontId="15" fillId="0" borderId="0" xfId="0" applyNumberFormat="1" applyFont="1" applyAlignment="1" applyProtection="1">
      <alignment vertical="center"/>
      <protection locked="0"/>
    </xf>
    <xf numFmtId="0" fontId="3" fillId="0" borderId="46" xfId="0" applyFont="1" applyBorder="1" applyAlignment="1" applyProtection="1">
      <alignment vertical="center"/>
      <protection locked="0"/>
    </xf>
    <xf numFmtId="0" fontId="0" fillId="12" borderId="46" xfId="0" applyFill="1" applyBorder="1"/>
    <xf numFmtId="0" fontId="3" fillId="0" borderId="0" xfId="0" applyFont="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3" fillId="3" borderId="80" xfId="0" applyFont="1" applyFill="1" applyBorder="1" applyAlignment="1" applyProtection="1">
      <alignment horizontal="center" vertical="center" wrapText="1"/>
      <protection locked="0"/>
    </xf>
    <xf numFmtId="0" fontId="3" fillId="17" borderId="81" xfId="0" applyFont="1" applyFill="1" applyBorder="1" applyAlignment="1" applyProtection="1">
      <alignment horizontal="center" vertical="center" wrapText="1"/>
      <protection locked="0"/>
    </xf>
    <xf numFmtId="0" fontId="3" fillId="17" borderId="81" xfId="0" applyFont="1" applyFill="1" applyBorder="1" applyAlignment="1" applyProtection="1">
      <alignment horizontal="center" vertical="center"/>
      <protection locked="0"/>
    </xf>
    <xf numFmtId="0" fontId="3" fillId="3" borderId="81" xfId="0" applyFont="1" applyFill="1" applyBorder="1" applyAlignment="1" applyProtection="1">
      <alignment horizontal="center" vertical="center" wrapText="1"/>
      <protection locked="0"/>
    </xf>
    <xf numFmtId="0" fontId="2" fillId="21" borderId="81" xfId="0" applyFont="1" applyFill="1" applyBorder="1" applyAlignment="1" applyProtection="1">
      <alignment horizontal="center" vertical="center" wrapText="1"/>
      <protection locked="0"/>
    </xf>
    <xf numFmtId="0" fontId="3" fillId="21" borderId="81" xfId="0" applyFont="1" applyFill="1" applyBorder="1" applyAlignment="1" applyProtection="1">
      <alignment horizontal="center" vertical="center" wrapText="1"/>
      <protection locked="0"/>
    </xf>
    <xf numFmtId="164" fontId="3" fillId="3" borderId="82" xfId="0" applyNumberFormat="1" applyFont="1" applyFill="1" applyBorder="1" applyAlignment="1" applyProtection="1">
      <alignment horizontal="center" vertical="center"/>
      <protection locked="0"/>
    </xf>
    <xf numFmtId="0" fontId="3" fillId="23" borderId="85" xfId="0" applyFont="1" applyFill="1" applyBorder="1" applyAlignment="1" applyProtection="1">
      <alignment horizontal="center" vertical="center" wrapText="1"/>
      <protection locked="0"/>
    </xf>
    <xf numFmtId="0" fontId="3" fillId="28" borderId="85" xfId="0" applyFont="1" applyFill="1" applyBorder="1" applyAlignment="1" applyProtection="1">
      <alignment horizontal="center" vertical="center" wrapText="1"/>
      <protection locked="0"/>
    </xf>
    <xf numFmtId="0" fontId="0" fillId="12" borderId="0" xfId="0" applyFill="1"/>
    <xf numFmtId="0" fontId="2" fillId="12" borderId="0" xfId="0" applyFont="1" applyFill="1"/>
    <xf numFmtId="0" fontId="0" fillId="12" borderId="0" xfId="0" applyFill="1" applyAlignment="1">
      <alignment horizontal="center"/>
    </xf>
    <xf numFmtId="0" fontId="2" fillId="12" borderId="0" xfId="0" applyFont="1" applyFill="1" applyAlignment="1">
      <alignment horizontal="center"/>
    </xf>
    <xf numFmtId="0" fontId="7" fillId="0" borderId="96" xfId="0" applyFont="1" applyBorder="1" applyAlignment="1" applyProtection="1">
      <alignment horizontal="center" vertical="center"/>
      <protection locked="0"/>
    </xf>
    <xf numFmtId="164" fontId="4" fillId="0" borderId="67" xfId="0" applyNumberFormat="1" applyFont="1" applyBorder="1" applyAlignment="1" applyProtection="1">
      <alignment vertical="center"/>
      <protection locked="0"/>
    </xf>
    <xf numFmtId="0" fontId="5" fillId="6" borderId="67" xfId="0" applyFont="1" applyFill="1" applyBorder="1" applyAlignment="1" applyProtection="1">
      <alignment horizontal="center" vertical="center" shrinkToFit="1"/>
      <protection locked="0"/>
    </xf>
    <xf numFmtId="0" fontId="5" fillId="6" borderId="67"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shrinkToFit="1"/>
      <protection locked="0"/>
    </xf>
    <xf numFmtId="0" fontId="5" fillId="9" borderId="46" xfId="0" applyFont="1" applyFill="1" applyBorder="1" applyAlignment="1" applyProtection="1">
      <alignment horizontal="center" vertical="center"/>
      <protection locked="0"/>
    </xf>
    <xf numFmtId="0" fontId="3" fillId="3" borderId="102" xfId="0" applyFont="1" applyFill="1" applyBorder="1" applyAlignment="1" applyProtection="1">
      <alignment horizontal="center" vertical="center" wrapText="1"/>
      <protection locked="0"/>
    </xf>
    <xf numFmtId="0" fontId="52" fillId="0" borderId="46" xfId="0" applyFont="1" applyBorder="1" applyAlignment="1" applyProtection="1">
      <alignment horizontal="center" vertical="center"/>
      <protection locked="0"/>
    </xf>
    <xf numFmtId="49" fontId="52" fillId="0" borderId="73" xfId="0" applyNumberFormat="1" applyFont="1" applyBorder="1" applyAlignment="1" applyProtection="1">
      <alignment horizontal="center" vertical="center"/>
      <protection locked="0"/>
    </xf>
    <xf numFmtId="0" fontId="52" fillId="0" borderId="71"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5" fillId="0" borderId="0" xfId="0" applyFont="1" applyAlignment="1" applyProtection="1">
      <alignment horizontal="right" vertical="center" shrinkToFit="1"/>
      <protection locked="0"/>
    </xf>
    <xf numFmtId="0" fontId="3" fillId="0" borderId="46"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10" xfId="0" applyFont="1" applyBorder="1" applyAlignment="1" applyProtection="1">
      <alignment horizontal="center" vertical="center"/>
      <protection locked="0"/>
    </xf>
    <xf numFmtId="0" fontId="11" fillId="0" borderId="24" xfId="0" applyFont="1" applyBorder="1" applyAlignment="1" applyProtection="1">
      <alignment horizontal="center" vertical="center" wrapText="1" shrinkToFit="1"/>
      <protection locked="0"/>
    </xf>
    <xf numFmtId="0" fontId="11" fillId="0" borderId="103" xfId="0" applyFont="1" applyBorder="1" applyAlignment="1" applyProtection="1">
      <alignment horizontal="center" vertical="center" wrapText="1" shrinkToFit="1"/>
      <protection locked="0"/>
    </xf>
    <xf numFmtId="0" fontId="33" fillId="0" borderId="109" xfId="0" applyFont="1" applyBorder="1" applyAlignment="1" applyProtection="1">
      <alignment horizontal="center" vertical="center" wrapText="1"/>
      <protection locked="0"/>
    </xf>
    <xf numFmtId="0" fontId="11" fillId="0" borderId="103" xfId="0" applyFont="1" applyBorder="1" applyAlignment="1" applyProtection="1">
      <alignment horizontal="center" vertical="center" wrapText="1"/>
      <protection locked="0"/>
    </xf>
    <xf numFmtId="0" fontId="11" fillId="0" borderId="103"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wrapText="1"/>
      <protection locked="0"/>
    </xf>
    <xf numFmtId="0" fontId="11" fillId="0" borderId="57" xfId="0" applyFont="1" applyBorder="1" applyAlignment="1" applyProtection="1">
      <alignment horizontal="center" vertical="center" wrapText="1"/>
      <protection locked="0"/>
    </xf>
    <xf numFmtId="164" fontId="11" fillId="3" borderId="104" xfId="0" applyNumberFormat="1" applyFont="1" applyFill="1" applyBorder="1" applyAlignment="1">
      <alignment horizontal="center" vertical="center"/>
    </xf>
    <xf numFmtId="0" fontId="11" fillId="0" borderId="10"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26" xfId="0" applyFont="1" applyBorder="1" applyAlignment="1" applyProtection="1">
      <alignment horizontal="center" vertical="center" wrapText="1" shrinkToFit="1"/>
      <protection locked="0"/>
    </xf>
    <xf numFmtId="0" fontId="33" fillId="0" borderId="26"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protection locked="0"/>
    </xf>
    <xf numFmtId="0" fontId="11" fillId="0" borderId="108" xfId="0" applyFont="1" applyBorder="1" applyAlignment="1" applyProtection="1">
      <alignment horizontal="center" vertical="center" wrapText="1"/>
      <protection locked="0"/>
    </xf>
    <xf numFmtId="164" fontId="11" fillId="3" borderId="105" xfId="0" applyNumberFormat="1" applyFont="1" applyFill="1" applyBorder="1" applyAlignment="1">
      <alignment horizontal="center" vertical="center"/>
    </xf>
    <xf numFmtId="0" fontId="11" fillId="0" borderId="88"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0" borderId="31" xfId="0" applyFont="1" applyBorder="1" applyAlignment="1" applyProtection="1">
      <alignment horizontal="center" vertical="center" wrapText="1" shrinkToFit="1"/>
      <protection locked="0"/>
    </xf>
    <xf numFmtId="0" fontId="33" fillId="0" borderId="31"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shrinkToFit="1"/>
      <protection locked="0"/>
    </xf>
    <xf numFmtId="0" fontId="11" fillId="0" borderId="41" xfId="0" applyFont="1" applyBorder="1" applyAlignment="1" applyProtection="1">
      <alignment horizontal="center" vertical="center" wrapText="1"/>
      <protection locked="0"/>
    </xf>
    <xf numFmtId="0" fontId="11" fillId="0" borderId="89" xfId="0" applyFont="1" applyBorder="1" applyAlignment="1" applyProtection="1">
      <alignment horizontal="center" vertical="center" wrapText="1"/>
      <protection locked="0"/>
    </xf>
    <xf numFmtId="164" fontId="11" fillId="3" borderId="106" xfId="0" applyNumberFormat="1" applyFont="1" applyFill="1" applyBorder="1" applyAlignment="1">
      <alignment horizontal="center" vertical="center"/>
    </xf>
    <xf numFmtId="0" fontId="11" fillId="0" borderId="53" xfId="0" applyFont="1" applyBorder="1" applyAlignment="1" applyProtection="1">
      <alignment horizontal="center" vertical="center"/>
      <protection locked="0"/>
    </xf>
    <xf numFmtId="0" fontId="11" fillId="0" borderId="87"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94" xfId="0" applyFont="1" applyBorder="1" applyAlignment="1" applyProtection="1">
      <alignment horizontal="center" vertical="center"/>
      <protection locked="0"/>
    </xf>
    <xf numFmtId="0" fontId="11" fillId="0" borderId="11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9" xfId="0" applyFont="1" applyBorder="1" applyAlignment="1" applyProtection="1">
      <alignment horizontal="center" vertical="center"/>
      <protection locked="0"/>
    </xf>
    <xf numFmtId="0" fontId="11" fillId="0" borderId="97" xfId="0" applyFont="1" applyBorder="1" applyAlignment="1" applyProtection="1">
      <alignment horizontal="center" vertical="center"/>
      <protection locked="0"/>
    </xf>
    <xf numFmtId="0" fontId="11" fillId="0" borderId="95"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shrinkToFit="1"/>
      <protection locked="0"/>
    </xf>
    <xf numFmtId="0" fontId="52" fillId="9" borderId="46" xfId="0" applyFont="1" applyFill="1" applyBorder="1" applyAlignment="1">
      <alignment horizontal="center" vertical="center" wrapText="1"/>
    </xf>
    <xf numFmtId="0" fontId="34" fillId="0" borderId="48" xfId="0" applyFont="1" applyBorder="1" applyAlignment="1">
      <alignment horizontal="center"/>
    </xf>
    <xf numFmtId="0" fontId="34" fillId="0" borderId="40" xfId="0" applyFont="1" applyBorder="1" applyAlignment="1">
      <alignment horizontal="center"/>
    </xf>
    <xf numFmtId="0" fontId="34" fillId="0" borderId="47" xfId="0" applyFont="1" applyBorder="1" applyAlignment="1">
      <alignment horizontal="center"/>
    </xf>
    <xf numFmtId="0" fontId="0" fillId="27" borderId="0" xfId="0" applyFill="1" applyProtection="1">
      <protection locked="0"/>
    </xf>
    <xf numFmtId="0" fontId="26" fillId="2" borderId="48" xfId="2" applyFont="1" applyFill="1" applyBorder="1" applyAlignment="1" applyProtection="1">
      <alignment horizontal="left" vertical="center" wrapText="1"/>
      <protection locked="0"/>
    </xf>
    <xf numFmtId="0" fontId="26" fillId="2" borderId="40" xfId="2" applyFont="1" applyFill="1" applyBorder="1" applyAlignment="1" applyProtection="1">
      <alignment horizontal="left" vertical="center" wrapText="1"/>
      <protection locked="0"/>
    </xf>
    <xf numFmtId="0" fontId="26" fillId="2" borderId="47" xfId="2" applyFont="1" applyFill="1" applyBorder="1" applyAlignment="1" applyProtection="1">
      <alignment horizontal="left" vertical="center" wrapText="1"/>
      <protection locked="0"/>
    </xf>
    <xf numFmtId="0" fontId="28" fillId="0" borderId="48" xfId="2" applyFont="1" applyBorder="1" applyAlignment="1" applyProtection="1">
      <alignment vertical="center"/>
      <protection locked="0"/>
    </xf>
    <xf numFmtId="0" fontId="28" fillId="0" borderId="40" xfId="2" applyFont="1" applyBorder="1" applyAlignment="1" applyProtection="1">
      <alignment vertical="center"/>
      <protection locked="0"/>
    </xf>
    <xf numFmtId="0" fontId="28" fillId="0" borderId="47" xfId="2" applyFont="1" applyBorder="1" applyAlignment="1" applyProtection="1">
      <alignment vertical="center"/>
      <protection locked="0"/>
    </xf>
    <xf numFmtId="0" fontId="29" fillId="0" borderId="46" xfId="2" applyFont="1" applyBorder="1" applyProtection="1">
      <protection locked="0"/>
    </xf>
    <xf numFmtId="0" fontId="28" fillId="0" borderId="46" xfId="2" applyFont="1" applyBorder="1" applyAlignment="1" applyProtection="1">
      <alignment vertical="center"/>
      <protection locked="0"/>
    </xf>
    <xf numFmtId="0" fontId="25" fillId="0" borderId="46" xfId="2" applyFont="1" applyBorder="1" applyProtection="1">
      <protection locked="0"/>
    </xf>
    <xf numFmtId="0" fontId="26" fillId="0" borderId="46" xfId="2" applyFont="1" applyBorder="1" applyAlignment="1" applyProtection="1">
      <alignment horizontal="left" vertical="center" wrapText="1"/>
      <protection locked="0"/>
    </xf>
    <xf numFmtId="0" fontId="25" fillId="0" borderId="46" xfId="2" applyFont="1" applyBorder="1" applyAlignment="1" applyProtection="1">
      <alignment horizontal="left" vertical="center" wrapText="1"/>
      <protection locked="0"/>
    </xf>
    <xf numFmtId="0" fontId="30" fillId="0" borderId="46" xfId="2" applyFont="1" applyBorder="1" applyProtection="1">
      <protection locked="0"/>
    </xf>
    <xf numFmtId="0" fontId="30" fillId="0" borderId="46" xfId="2" applyFont="1" applyBorder="1" applyAlignment="1" applyProtection="1">
      <alignment horizontal="left"/>
      <protection locked="0"/>
    </xf>
    <xf numFmtId="165" fontId="30" fillId="0" borderId="46" xfId="2" applyNumberFormat="1" applyFont="1" applyBorder="1" applyAlignment="1" applyProtection="1">
      <alignment horizontal="left"/>
      <protection locked="0"/>
    </xf>
    <xf numFmtId="0" fontId="25" fillId="0" borderId="46" xfId="2" applyFont="1" applyBorder="1" applyAlignment="1" applyProtection="1">
      <alignment vertical="center"/>
      <protection locked="0"/>
    </xf>
    <xf numFmtId="0" fontId="30" fillId="14" borderId="48" xfId="2" applyFont="1" applyFill="1" applyBorder="1" applyAlignment="1" applyProtection="1">
      <alignment horizontal="left"/>
      <protection locked="0"/>
    </xf>
    <xf numFmtId="0" fontId="30" fillId="14" borderId="40" xfId="2" applyFont="1" applyFill="1" applyBorder="1" applyAlignment="1" applyProtection="1">
      <alignment horizontal="left"/>
      <protection locked="0"/>
    </xf>
    <xf numFmtId="0" fontId="25" fillId="14" borderId="47" xfId="2" applyFont="1" applyFill="1" applyBorder="1" applyAlignment="1" applyProtection="1">
      <alignment horizontal="left"/>
      <protection locked="0"/>
    </xf>
    <xf numFmtId="0" fontId="26" fillId="0" borderId="46" xfId="0" applyFont="1" applyBorder="1" applyAlignment="1">
      <alignment horizontal="left" vertical="center"/>
    </xf>
    <xf numFmtId="0" fontId="31" fillId="0" borderId="46" xfId="3" applyBorder="1" applyAlignment="1">
      <alignment horizontal="left" vertical="center"/>
      <protection locked="0"/>
    </xf>
    <xf numFmtId="0" fontId="2" fillId="0" borderId="46" xfId="0" applyFont="1" applyBorder="1" applyAlignment="1" applyProtection="1">
      <alignment horizontal="left" vertical="center"/>
      <protection locked="0"/>
    </xf>
    <xf numFmtId="0" fontId="33" fillId="0" borderId="46" xfId="2" applyFont="1" applyBorder="1" applyProtection="1">
      <protection locked="0"/>
    </xf>
    <xf numFmtId="0" fontId="33" fillId="0" borderId="46" xfId="2" applyFont="1" applyBorder="1" applyAlignment="1" applyProtection="1">
      <alignment horizontal="center"/>
      <protection locked="0"/>
    </xf>
    <xf numFmtId="0" fontId="32" fillId="15" borderId="46" xfId="2" applyFont="1" applyFill="1" applyBorder="1" applyAlignment="1" applyProtection="1">
      <alignment horizontal="center"/>
      <protection locked="0"/>
    </xf>
    <xf numFmtId="0" fontId="32" fillId="16" borderId="48" xfId="2" applyFont="1" applyFill="1" applyBorder="1" applyAlignment="1">
      <alignment horizontal="center"/>
    </xf>
    <xf numFmtId="0" fontId="32" fillId="16" borderId="40" xfId="2" applyFont="1" applyFill="1" applyBorder="1" applyAlignment="1">
      <alignment horizontal="center"/>
    </xf>
    <xf numFmtId="0" fontId="32" fillId="16" borderId="47" xfId="2" applyFont="1" applyFill="1" applyBorder="1" applyAlignment="1">
      <alignment horizontal="center"/>
    </xf>
    <xf numFmtId="0" fontId="11" fillId="0" borderId="10" xfId="0" applyFont="1" applyBorder="1" applyAlignment="1" applyProtection="1">
      <alignment horizontal="center" vertical="center"/>
      <protection locked="0"/>
    </xf>
    <xf numFmtId="0" fontId="11" fillId="0" borderId="121"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11" fillId="0" borderId="126" xfId="0" applyFont="1" applyBorder="1" applyAlignment="1" applyProtection="1">
      <alignment horizontal="center" vertical="center"/>
      <protection locked="0"/>
    </xf>
    <xf numFmtId="0" fontId="11" fillId="0" borderId="120" xfId="0" applyFont="1" applyBorder="1" applyAlignment="1" applyProtection="1">
      <alignment horizontal="center" vertical="center"/>
      <protection locked="0"/>
    </xf>
    <xf numFmtId="0" fontId="3" fillId="24" borderId="115" xfId="0" applyFont="1" applyFill="1" applyBorder="1" applyAlignment="1" applyProtection="1">
      <alignment horizontal="center" vertical="center" wrapText="1"/>
      <protection locked="0"/>
    </xf>
    <xf numFmtId="0" fontId="3" fillId="24" borderId="116" xfId="0" applyFont="1" applyFill="1" applyBorder="1" applyAlignment="1" applyProtection="1">
      <alignment horizontal="center" vertical="center" wrapText="1"/>
      <protection locked="0"/>
    </xf>
    <xf numFmtId="0" fontId="3" fillId="24" borderId="117" xfId="0" applyFont="1" applyFill="1" applyBorder="1" applyAlignment="1" applyProtection="1">
      <alignment horizontal="center" vertical="center" wrapText="1"/>
      <protection locked="0"/>
    </xf>
    <xf numFmtId="0" fontId="3" fillId="24" borderId="118" xfId="0" applyFont="1" applyFill="1" applyBorder="1" applyAlignment="1" applyProtection="1">
      <alignment horizontal="center" vertical="center" wrapText="1"/>
      <protection locked="0"/>
    </xf>
    <xf numFmtId="0" fontId="11" fillId="0" borderId="111" xfId="0" applyFont="1" applyBorder="1" applyAlignment="1" applyProtection="1">
      <alignment horizontal="center" vertical="center"/>
      <protection locked="0"/>
    </xf>
    <xf numFmtId="0" fontId="11" fillId="0" borderId="123" xfId="0" applyFont="1" applyBorder="1" applyAlignment="1" applyProtection="1">
      <alignment horizontal="center" vertical="center"/>
      <protection locked="0"/>
    </xf>
    <xf numFmtId="0" fontId="3" fillId="23" borderId="122" xfId="0" applyFont="1" applyFill="1" applyBorder="1" applyAlignment="1" applyProtection="1">
      <alignment horizontal="center" vertical="center" wrapText="1"/>
      <protection locked="0"/>
    </xf>
    <xf numFmtId="0" fontId="3" fillId="23" borderId="124" xfId="0" applyFont="1" applyFill="1" applyBorder="1" applyAlignment="1" applyProtection="1">
      <alignment horizontal="center" vertical="center" wrapText="1"/>
      <protection locked="0"/>
    </xf>
    <xf numFmtId="0" fontId="3" fillId="23" borderId="98" xfId="0" applyFont="1" applyFill="1" applyBorder="1" applyAlignment="1" applyProtection="1">
      <alignment horizontal="center" vertical="center" wrapText="1"/>
      <protection locked="0"/>
    </xf>
    <xf numFmtId="0" fontId="3" fillId="23" borderId="125" xfId="0" applyFont="1" applyFill="1" applyBorder="1" applyAlignment="1" applyProtection="1">
      <alignment horizontal="center" vertical="center" wrapText="1"/>
      <protection locked="0"/>
    </xf>
    <xf numFmtId="0" fontId="3" fillId="23" borderId="99" xfId="0" applyFont="1" applyFill="1" applyBorder="1" applyAlignment="1" applyProtection="1">
      <alignment horizontal="center" vertical="center" wrapText="1"/>
      <protection locked="0"/>
    </xf>
    <xf numFmtId="0" fontId="11" fillId="0" borderId="37" xfId="0" applyFont="1" applyBorder="1" applyAlignment="1" applyProtection="1">
      <alignment horizontal="center" vertical="center"/>
      <protection locked="0"/>
    </xf>
    <xf numFmtId="0" fontId="11" fillId="0" borderId="119" xfId="0" applyFont="1" applyBorder="1" applyAlignment="1" applyProtection="1">
      <alignment horizontal="center" vertical="center"/>
      <protection locked="0"/>
    </xf>
    <xf numFmtId="0" fontId="11" fillId="0" borderId="127" xfId="0" applyFont="1" applyBorder="1" applyAlignment="1" applyProtection="1">
      <alignment horizontal="center" vertical="center"/>
      <protection locked="0"/>
    </xf>
    <xf numFmtId="0" fontId="11" fillId="0" borderId="91"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89" xfId="0" applyFont="1" applyBorder="1" applyAlignment="1" applyProtection="1">
      <alignment horizontal="center" vertical="center"/>
      <protection locked="0"/>
    </xf>
    <xf numFmtId="0" fontId="11" fillId="0" borderId="92"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15" fillId="0" borderId="48" xfId="0" applyFont="1" applyBorder="1" applyAlignment="1" applyProtection="1">
      <alignment horizontal="left" vertical="center"/>
      <protection locked="0"/>
    </xf>
    <xf numFmtId="0" fontId="15" fillId="0" borderId="47" xfId="0" applyFont="1" applyBorder="1" applyAlignment="1" applyProtection="1">
      <alignment horizontal="left" vertical="center"/>
      <protection locked="0"/>
    </xf>
    <xf numFmtId="0" fontId="15" fillId="0" borderId="46" xfId="0" applyFont="1" applyBorder="1" applyAlignment="1" applyProtection="1">
      <alignment horizontal="center" vertical="center"/>
      <protection locked="0"/>
    </xf>
    <xf numFmtId="0" fontId="53" fillId="11" borderId="70" xfId="0" applyFont="1" applyFill="1" applyBorder="1" applyAlignment="1" applyProtection="1">
      <alignment horizontal="center" vertical="center"/>
      <protection locked="0"/>
    </xf>
    <xf numFmtId="0" fontId="53" fillId="11" borderId="72" xfId="0" applyFont="1" applyFill="1" applyBorder="1" applyAlignment="1" applyProtection="1">
      <alignment horizontal="center" vertical="center"/>
      <protection locked="0"/>
    </xf>
    <xf numFmtId="0" fontId="53" fillId="11" borderId="0" xfId="0" applyFont="1" applyFill="1" applyAlignment="1" applyProtection="1">
      <alignment horizontal="center" vertical="center"/>
      <protection locked="0"/>
    </xf>
    <xf numFmtId="0" fontId="53" fillId="11" borderId="68" xfId="0" applyFont="1" applyFill="1" applyBorder="1" applyAlignment="1" applyProtection="1">
      <alignment horizontal="center" vertical="center"/>
      <protection locked="0"/>
    </xf>
    <xf numFmtId="0" fontId="53" fillId="11" borderId="44" xfId="0" applyFont="1" applyFill="1" applyBorder="1" applyAlignment="1" applyProtection="1">
      <alignment horizontal="center" vertical="center"/>
      <protection locked="0"/>
    </xf>
    <xf numFmtId="0" fontId="53" fillId="11" borderId="107" xfId="0" applyFont="1" applyFill="1" applyBorder="1" applyAlignment="1" applyProtection="1">
      <alignment horizontal="center" vertical="center"/>
      <protection locked="0"/>
    </xf>
    <xf numFmtId="14" fontId="15" fillId="0" borderId="48" xfId="0" applyNumberFormat="1" applyFont="1" applyBorder="1" applyAlignment="1" applyProtection="1">
      <alignment horizontal="left" vertical="center"/>
      <protection locked="0"/>
    </xf>
    <xf numFmtId="14" fontId="15" fillId="0" borderId="47" xfId="0" applyNumberFormat="1" applyFont="1" applyBorder="1" applyAlignment="1" applyProtection="1">
      <alignment horizontal="left" vertical="center"/>
      <protection locked="0"/>
    </xf>
    <xf numFmtId="0" fontId="54" fillId="0" borderId="48" xfId="0" applyFont="1" applyBorder="1" applyAlignment="1" applyProtection="1">
      <alignment horizontal="center" vertical="center"/>
      <protection locked="0"/>
    </xf>
    <xf numFmtId="0" fontId="54" fillId="0" borderId="40" xfId="0" applyFont="1" applyBorder="1" applyAlignment="1" applyProtection="1">
      <alignment horizontal="center" vertical="center"/>
      <protection locked="0"/>
    </xf>
    <xf numFmtId="0" fontId="54" fillId="0" borderId="47" xfId="0" applyFont="1" applyBorder="1" applyAlignment="1" applyProtection="1">
      <alignment horizontal="center" vertical="center"/>
      <protection locked="0"/>
    </xf>
    <xf numFmtId="0" fontId="46" fillId="0" borderId="69" xfId="0" applyFont="1" applyBorder="1" applyAlignment="1" applyProtection="1">
      <alignment horizontal="center" vertical="center"/>
      <protection locked="0"/>
    </xf>
    <xf numFmtId="0" fontId="46" fillId="0" borderId="70" xfId="0" applyFont="1" applyBorder="1" applyAlignment="1" applyProtection="1">
      <alignment horizontal="center" vertical="center"/>
      <protection locked="0"/>
    </xf>
    <xf numFmtId="0" fontId="3" fillId="3" borderId="98" xfId="0" applyFont="1" applyFill="1" applyBorder="1" applyAlignment="1" applyProtection="1">
      <alignment horizontal="center" vertical="center" wrapText="1"/>
      <protection locked="0"/>
    </xf>
    <xf numFmtId="0" fontId="3" fillId="3" borderId="99" xfId="0" applyFont="1" applyFill="1" applyBorder="1" applyAlignment="1" applyProtection="1">
      <alignment horizontal="center" vertical="center" wrapText="1"/>
      <protection locked="0"/>
    </xf>
    <xf numFmtId="0" fontId="3" fillId="3" borderId="83" xfId="0" applyFont="1" applyFill="1" applyBorder="1" applyAlignment="1" applyProtection="1">
      <alignment horizontal="center" vertical="center" wrapText="1"/>
      <protection locked="0"/>
    </xf>
    <xf numFmtId="0" fontId="3" fillId="3" borderId="85" xfId="0" applyFont="1" applyFill="1" applyBorder="1" applyAlignment="1" applyProtection="1">
      <alignment horizontal="center" vertical="center" wrapText="1"/>
      <protection locked="0"/>
    </xf>
    <xf numFmtId="0" fontId="12" fillId="19" borderId="15" xfId="0" applyFont="1" applyFill="1" applyBorder="1" applyAlignment="1" applyProtection="1">
      <alignment horizontal="center" vertical="center"/>
      <protection locked="0"/>
    </xf>
    <xf numFmtId="0" fontId="12" fillId="19" borderId="60" xfId="0" applyFont="1" applyFill="1" applyBorder="1" applyAlignment="1" applyProtection="1">
      <alignment horizontal="center" vertical="center"/>
      <protection locked="0"/>
    </xf>
    <xf numFmtId="0" fontId="3" fillId="28" borderId="83" xfId="0" applyFont="1" applyFill="1" applyBorder="1" applyAlignment="1" applyProtection="1">
      <alignment horizontal="center" vertical="center" wrapText="1"/>
      <protection locked="0"/>
    </xf>
    <xf numFmtId="0" fontId="11" fillId="0" borderId="112" xfId="0" applyFont="1" applyBorder="1" applyAlignment="1" applyProtection="1">
      <alignment horizontal="center" vertical="center"/>
      <protection locked="0"/>
    </xf>
    <xf numFmtId="0" fontId="11" fillId="0" borderId="113" xfId="0" applyFont="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90" xfId="0" applyFont="1" applyBorder="1" applyAlignment="1" applyProtection="1">
      <alignment horizontal="center" vertical="center"/>
      <protection locked="0"/>
    </xf>
    <xf numFmtId="0" fontId="3" fillId="28" borderId="85" xfId="0" applyFont="1" applyFill="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0" fontId="5" fillId="0" borderId="84" xfId="0" applyFont="1" applyBorder="1" applyAlignment="1" applyProtection="1">
      <alignment horizontal="center" vertical="center" wrapText="1"/>
      <protection locked="0"/>
    </xf>
    <xf numFmtId="0" fontId="5" fillId="0" borderId="85" xfId="0" applyFont="1" applyBorder="1" applyAlignment="1" applyProtection="1">
      <alignment horizontal="center" vertical="center" wrapText="1"/>
      <protection locked="0"/>
    </xf>
    <xf numFmtId="0" fontId="5" fillId="0" borderId="86" xfId="0" applyFont="1" applyBorder="1" applyAlignment="1" applyProtection="1">
      <alignment horizontal="center" vertical="center" wrapText="1"/>
      <protection locked="0"/>
    </xf>
    <xf numFmtId="0" fontId="3" fillId="24" borderId="83" xfId="0" applyFont="1" applyFill="1" applyBorder="1" applyAlignment="1" applyProtection="1">
      <alignment horizontal="center" vertical="center" wrapText="1"/>
      <protection locked="0"/>
    </xf>
    <xf numFmtId="0" fontId="3" fillId="24" borderId="85" xfId="0" applyFont="1" applyFill="1" applyBorder="1" applyAlignment="1" applyProtection="1">
      <alignment horizontal="center" vertical="center" wrapText="1"/>
      <protection locked="0"/>
    </xf>
    <xf numFmtId="0" fontId="48" fillId="4" borderId="14" xfId="0" applyFont="1" applyFill="1" applyBorder="1" applyAlignment="1" applyProtection="1">
      <alignment horizontal="center" vertical="center" wrapText="1"/>
      <protection locked="0"/>
    </xf>
    <xf numFmtId="0" fontId="30" fillId="0" borderId="7" xfId="0" applyFont="1" applyBorder="1" applyAlignment="1" applyProtection="1">
      <alignment horizontal="center"/>
      <protection locked="0"/>
    </xf>
    <xf numFmtId="0" fontId="30" fillId="0" borderId="7" xfId="0" applyFont="1" applyBorder="1" applyProtection="1">
      <protection locked="0"/>
    </xf>
    <xf numFmtId="0" fontId="30" fillId="0" borderId="0" xfId="0" applyFont="1" applyProtection="1">
      <protection locked="0"/>
    </xf>
    <xf numFmtId="0" fontId="30" fillId="0" borderId="13" xfId="0" applyFont="1" applyBorder="1" applyProtection="1">
      <protection locked="0"/>
    </xf>
    <xf numFmtId="0" fontId="12" fillId="17" borderId="73" xfId="0" applyFont="1" applyFill="1" applyBorder="1" applyAlignment="1" applyProtection="1">
      <alignment horizontal="center" vertical="center"/>
      <protection locked="0"/>
    </xf>
    <xf numFmtId="0" fontId="8" fillId="0" borderId="100" xfId="0" applyFont="1" applyBorder="1" applyAlignment="1" applyProtection="1">
      <alignment horizontal="center" vertical="center" wrapText="1"/>
      <protection locked="0"/>
    </xf>
    <xf numFmtId="0" fontId="8" fillId="0" borderId="101"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protection locked="0"/>
    </xf>
    <xf numFmtId="0" fontId="11" fillId="0" borderId="87" xfId="0" applyFont="1" applyBorder="1" applyAlignment="1" applyProtection="1">
      <alignment horizontal="center" vertical="center"/>
      <protection locked="0"/>
    </xf>
    <xf numFmtId="0" fontId="49" fillId="0" borderId="48" xfId="0" applyFont="1" applyBorder="1" applyAlignment="1" applyProtection="1">
      <alignment horizontal="left" vertical="center"/>
      <protection locked="0"/>
    </xf>
    <xf numFmtId="0" fontId="49" fillId="0" borderId="40" xfId="0" applyFont="1" applyBorder="1" applyAlignment="1" applyProtection="1">
      <alignment horizontal="left" vertical="center"/>
      <protection locked="0"/>
    </xf>
    <xf numFmtId="0" fontId="49" fillId="0" borderId="47"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7" xfId="0" applyFont="1" applyBorder="1" applyAlignment="1" applyProtection="1">
      <alignment horizontal="left" vertical="center"/>
      <protection locked="0"/>
    </xf>
    <xf numFmtId="0" fontId="2" fillId="0" borderId="48"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47" xfId="0" applyFont="1" applyBorder="1" applyAlignment="1" applyProtection="1">
      <alignment horizontal="left" vertical="center" shrinkToFit="1"/>
      <protection locked="0"/>
    </xf>
    <xf numFmtId="14" fontId="2" fillId="0" borderId="48" xfId="0" applyNumberFormat="1" applyFont="1" applyBorder="1" applyAlignment="1" applyProtection="1">
      <alignment horizontal="left" vertical="center"/>
      <protection locked="0"/>
    </xf>
    <xf numFmtId="14" fontId="2" fillId="0" borderId="40" xfId="0" applyNumberFormat="1" applyFont="1" applyBorder="1" applyAlignment="1" applyProtection="1">
      <alignment horizontal="left" vertical="center"/>
      <protection locked="0"/>
    </xf>
    <xf numFmtId="14" fontId="2" fillId="0" borderId="47" xfId="0" applyNumberFormat="1" applyFont="1" applyBorder="1" applyAlignment="1" applyProtection="1">
      <alignment horizontal="left" vertical="center"/>
      <protection locked="0"/>
    </xf>
    <xf numFmtId="0" fontId="9" fillId="8" borderId="0" xfId="0" applyFont="1" applyFill="1" applyAlignment="1" applyProtection="1">
      <alignment horizontal="center" vertical="center"/>
      <protection locked="0"/>
    </xf>
    <xf numFmtId="0" fontId="9" fillId="8" borderId="68" xfId="0" applyFont="1" applyFill="1" applyBorder="1" applyAlignment="1" applyProtection="1">
      <alignment horizontal="center" vertical="center"/>
      <protection locked="0"/>
    </xf>
    <xf numFmtId="0" fontId="49" fillId="0" borderId="46" xfId="0" applyFont="1" applyBorder="1" applyAlignment="1">
      <alignment horizontal="left" vertical="center"/>
    </xf>
    <xf numFmtId="0" fontId="3" fillId="0" borderId="37"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25"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50" xfId="0" applyFont="1" applyBorder="1" applyAlignment="1" applyProtection="1">
      <alignment horizontal="left" vertical="center"/>
      <protection locked="0"/>
    </xf>
    <xf numFmtId="0" fontId="18" fillId="0" borderId="46" xfId="0" applyFont="1" applyBorder="1" applyAlignment="1" applyProtection="1">
      <alignment horizontal="center" vertical="center"/>
      <protection locked="0"/>
    </xf>
    <xf numFmtId="0" fontId="47" fillId="21" borderId="75" xfId="0" applyFont="1" applyFill="1" applyBorder="1" applyAlignment="1" applyProtection="1">
      <alignment horizontal="center" vertical="center" wrapText="1" shrinkToFit="1"/>
      <protection locked="0"/>
    </xf>
    <xf numFmtId="0" fontId="47" fillId="21" borderId="76" xfId="0" applyFont="1" applyFill="1" applyBorder="1" applyAlignment="1" applyProtection="1">
      <alignment horizontal="center" vertical="center" wrapText="1" shrinkToFit="1"/>
      <protection locked="0"/>
    </xf>
    <xf numFmtId="0" fontId="47" fillId="21" borderId="77" xfId="0" applyFont="1" applyFill="1" applyBorder="1" applyAlignment="1" applyProtection="1">
      <alignment horizontal="center" vertical="center" wrapText="1" shrinkToFit="1"/>
      <protection locked="0"/>
    </xf>
    <xf numFmtId="0" fontId="47" fillId="21" borderId="66" xfId="0" applyFont="1" applyFill="1" applyBorder="1" applyAlignment="1" applyProtection="1">
      <alignment horizontal="center" vertical="center" wrapText="1" shrinkToFit="1"/>
      <protection locked="0"/>
    </xf>
    <xf numFmtId="0" fontId="46" fillId="0" borderId="48" xfId="0" applyFont="1" applyBorder="1" applyAlignment="1" applyProtection="1">
      <alignment horizontal="center" vertical="center"/>
      <protection locked="0"/>
    </xf>
    <xf numFmtId="0" fontId="46" fillId="0" borderId="40" xfId="0" applyFont="1" applyBorder="1" applyAlignment="1" applyProtection="1">
      <alignment horizontal="center" vertical="center"/>
      <protection locked="0"/>
    </xf>
    <xf numFmtId="0" fontId="46" fillId="0" borderId="47" xfId="0" applyFont="1" applyBorder="1" applyAlignment="1" applyProtection="1">
      <alignment horizontal="center" vertical="center"/>
      <protection locked="0"/>
    </xf>
    <xf numFmtId="0" fontId="12" fillId="21" borderId="69" xfId="0" applyFont="1" applyFill="1" applyBorder="1" applyAlignment="1" applyProtection="1">
      <alignment horizontal="center" vertical="center"/>
      <protection locked="0"/>
    </xf>
    <xf numFmtId="0" fontId="12" fillId="21" borderId="74"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12" fillId="19" borderId="73" xfId="0" applyFont="1" applyFill="1" applyBorder="1" applyAlignment="1" applyProtection="1">
      <alignment horizontal="center" vertical="center"/>
      <protection locked="0"/>
    </xf>
    <xf numFmtId="0" fontId="2" fillId="0" borderId="46" xfId="0" applyFont="1" applyBorder="1" applyAlignment="1">
      <alignment horizontal="left" vertical="center"/>
    </xf>
    <xf numFmtId="0" fontId="2" fillId="0" borderId="46" xfId="0" applyFont="1" applyBorder="1" applyAlignment="1">
      <alignment horizontal="left" vertical="center" shrinkToFit="1"/>
    </xf>
    <xf numFmtId="14" fontId="2" fillId="0" borderId="46" xfId="0" applyNumberFormat="1" applyFont="1" applyBorder="1" applyAlignment="1">
      <alignment horizontal="left" vertical="center"/>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2" fillId="21" borderId="70" xfId="0" applyFont="1" applyFill="1" applyBorder="1" applyAlignment="1" applyProtection="1">
      <alignment horizontal="center" vertical="center"/>
      <protection locked="0"/>
    </xf>
    <xf numFmtId="0" fontId="12" fillId="21" borderId="72" xfId="0" applyFont="1" applyFill="1" applyBorder="1" applyAlignment="1" applyProtection="1">
      <alignment horizontal="center" vertical="center"/>
      <protection locked="0"/>
    </xf>
    <xf numFmtId="0" fontId="12" fillId="21" borderId="7" xfId="0" applyFont="1" applyFill="1" applyBorder="1" applyAlignment="1" applyProtection="1">
      <alignment horizontal="center" vertical="center"/>
      <protection locked="0"/>
    </xf>
    <xf numFmtId="0" fontId="12" fillId="21" borderId="78" xfId="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15" fillId="0" borderId="46" xfId="0" applyFont="1" applyBorder="1" applyAlignment="1" applyProtection="1">
      <alignment horizontal="left" vertical="center"/>
      <protection locked="0"/>
    </xf>
    <xf numFmtId="0" fontId="0" fillId="0" borderId="46" xfId="0" applyBorder="1" applyAlignment="1" applyProtection="1">
      <alignment horizontal="left"/>
      <protection locked="0"/>
    </xf>
    <xf numFmtId="0" fontId="18" fillId="0" borderId="48"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3" fillId="0" borderId="64" xfId="0" applyFont="1" applyBorder="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45" fillId="0" borderId="17" xfId="0" applyFont="1" applyBorder="1" applyAlignment="1" applyProtection="1">
      <alignment horizontal="center" vertical="center"/>
      <protection locked="0"/>
    </xf>
    <xf numFmtId="0" fontId="45" fillId="0" borderId="11" xfId="0" applyFont="1" applyBorder="1" applyAlignment="1" applyProtection="1">
      <alignment horizontal="center" vertical="center"/>
      <protection locked="0"/>
    </xf>
    <xf numFmtId="0" fontId="45" fillId="0" borderId="39" xfId="0" applyFont="1" applyBorder="1" applyAlignment="1" applyProtection="1">
      <alignment horizontal="center" vertical="center"/>
      <protection locked="0"/>
    </xf>
    <xf numFmtId="0" fontId="11" fillId="23" borderId="17" xfId="0" applyFont="1" applyFill="1" applyBorder="1" applyAlignment="1" applyProtection="1">
      <alignment horizontal="center" vertical="center"/>
      <protection locked="0"/>
    </xf>
    <xf numFmtId="0" fontId="11" fillId="23" borderId="11"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48" fillId="4" borderId="17" xfId="0" applyFont="1" applyFill="1" applyBorder="1" applyAlignment="1" applyProtection="1">
      <alignment horizontal="center" vertical="center" wrapText="1"/>
      <protection locked="0"/>
    </xf>
    <xf numFmtId="0" fontId="30" fillId="0" borderId="11" xfId="0" applyFont="1" applyBorder="1" applyAlignment="1" applyProtection="1">
      <alignment horizontal="center"/>
      <protection locked="0"/>
    </xf>
    <xf numFmtId="0" fontId="30" fillId="0" borderId="11" xfId="0" applyFont="1" applyBorder="1" applyProtection="1">
      <protection locked="0"/>
    </xf>
    <xf numFmtId="0" fontId="30" fillId="0" borderId="12" xfId="0" applyFont="1" applyBorder="1" applyProtection="1">
      <protection locked="0"/>
    </xf>
    <xf numFmtId="0" fontId="3" fillId="0" borderId="30"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3" fillId="0" borderId="49" xfId="0" applyFont="1" applyBorder="1" applyAlignment="1" applyProtection="1">
      <alignment horizontal="left"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2" fillId="0" borderId="48" xfId="0" applyFont="1" applyBorder="1" applyAlignment="1">
      <alignment horizontal="left" vertical="center"/>
    </xf>
    <xf numFmtId="0" fontId="2" fillId="0" borderId="40" xfId="0" applyFont="1" applyBorder="1" applyAlignment="1">
      <alignment horizontal="left" vertical="center"/>
    </xf>
    <xf numFmtId="0" fontId="2" fillId="0" borderId="47" xfId="0" applyFont="1" applyBorder="1" applyAlignment="1">
      <alignment horizontal="left" vertical="center"/>
    </xf>
    <xf numFmtId="0" fontId="12" fillId="22" borderId="66" xfId="0" applyFont="1" applyFill="1" applyBorder="1" applyAlignment="1" applyProtection="1">
      <alignment horizontal="center" vertical="center"/>
      <protection locked="0"/>
    </xf>
    <xf numFmtId="0" fontId="12" fillId="22" borderId="15" xfId="0" applyFont="1" applyFill="1" applyBorder="1" applyAlignment="1" applyProtection="1">
      <alignment horizontal="center" vertical="center"/>
      <protection locked="0"/>
    </xf>
    <xf numFmtId="0" fontId="12" fillId="22" borderId="60"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19" fillId="11" borderId="48" xfId="2" applyFont="1" applyFill="1" applyBorder="1" applyAlignment="1">
      <alignment horizontal="center" vertical="center"/>
    </xf>
    <xf numFmtId="0" fontId="19" fillId="11" borderId="47" xfId="2" applyFont="1" applyFill="1" applyBorder="1" applyAlignment="1">
      <alignment horizontal="center" vertical="center"/>
    </xf>
  </cellXfs>
  <cellStyles count="4">
    <cellStyle name="Comma 2" xfId="1" xr:uid="{00000000-0005-0000-0000-000000000000}"/>
    <cellStyle name="Hyperlink" xfId="3" builtinId="8"/>
    <cellStyle name="Normal" xfId="0" builtinId="0"/>
    <cellStyle name="Normal 2" xfId="2" xr:uid="{00000000-0005-0000-0000-000003000000}"/>
  </cellStyles>
  <dxfs count="26">
    <dxf>
      <fill>
        <patternFill>
          <bgColor rgb="FF00B050"/>
        </patternFill>
      </fill>
    </dxf>
    <dxf>
      <fill>
        <patternFill>
          <bgColor rgb="FFFF0000"/>
        </patternFill>
      </fill>
    </dxf>
    <dxf>
      <font>
        <strike val="0"/>
        <color auto="1"/>
      </font>
      <fill>
        <patternFill>
          <bgColor rgb="FFFF0000"/>
        </patternFill>
      </fill>
    </dxf>
    <dxf>
      <font>
        <strike val="0"/>
        <color auto="1"/>
      </font>
      <fill>
        <patternFill>
          <bgColor rgb="FFFF0000"/>
        </patternFill>
      </fill>
    </dxf>
    <dxf>
      <fill>
        <patternFill>
          <bgColor rgb="FFFF0000"/>
        </patternFill>
      </fill>
    </dxf>
    <dxf>
      <font>
        <color rgb="FFFF0000"/>
      </font>
    </dxf>
    <dxf>
      <font>
        <color theme="0" tint="-0.2499465926084170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314325</xdr:colOff>
      <xdr:row>0</xdr:row>
      <xdr:rowOff>104775</xdr:rowOff>
    </xdr:from>
    <xdr:to>
      <xdr:col>7</xdr:col>
      <xdr:colOff>352425</xdr:colOff>
      <xdr:row>0</xdr:row>
      <xdr:rowOff>1000125</xdr:rowOff>
    </xdr:to>
    <xdr:pic>
      <xdr:nvPicPr>
        <xdr:cNvPr id="2" name="Picture 1" descr="CM Branding compressed.jpg">
          <a:extLst>
            <a:ext uri="{FF2B5EF4-FFF2-40B4-BE49-F238E27FC236}">
              <a16:creationId xmlns:a16="http://schemas.microsoft.com/office/drawing/2014/main" id="{085CA437-C3E5-4030-934D-15D3E916962C}"/>
            </a:ext>
          </a:extLst>
        </xdr:cNvPr>
        <xdr:cNvPicPr>
          <a:picLocks noChangeAspect="1"/>
        </xdr:cNvPicPr>
      </xdr:nvPicPr>
      <xdr:blipFill>
        <a:blip xmlns:r="http://schemas.openxmlformats.org/officeDocument/2006/relationships" r:embed="rId1" cstate="print"/>
        <a:srcRect/>
        <a:stretch>
          <a:fillRect/>
        </a:stretch>
      </xdr:blipFill>
      <xdr:spPr bwMode="auto">
        <a:xfrm>
          <a:off x="3981450" y="104775"/>
          <a:ext cx="3143250" cy="895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730194</xdr:colOff>
      <xdr:row>11</xdr:row>
      <xdr:rowOff>267494</xdr:rowOff>
    </xdr:from>
    <xdr:to>
      <xdr:col>5</xdr:col>
      <xdr:colOff>590903</xdr:colOff>
      <xdr:row>14</xdr:row>
      <xdr:rowOff>319881</xdr:rowOff>
    </xdr:to>
    <xdr:sp macro="" textlink="">
      <xdr:nvSpPr>
        <xdr:cNvPr id="1308" name="Text Box 284" hidden="1">
          <a:extLst>
            <a:ext uri="{FF2B5EF4-FFF2-40B4-BE49-F238E27FC236}">
              <a16:creationId xmlns:a16="http://schemas.microsoft.com/office/drawing/2014/main" id="{00000000-0008-0000-0100-00001C050000}"/>
            </a:ext>
          </a:extLst>
        </xdr:cNvPr>
        <xdr:cNvSpPr txBox="1">
          <a:spLocks noChangeArrowheads="1"/>
        </xdr:cNvSpPr>
      </xdr:nvSpPr>
      <xdr:spPr bwMode="auto">
        <a:xfrm>
          <a:off x="3933825" y="3857625"/>
          <a:ext cx="2114550" cy="10287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730194</xdr:colOff>
      <xdr:row>16</xdr:row>
      <xdr:rowOff>11981</xdr:rowOff>
    </xdr:from>
    <xdr:to>
      <xdr:col>5</xdr:col>
      <xdr:colOff>590903</xdr:colOff>
      <xdr:row>19</xdr:row>
      <xdr:rowOff>16745</xdr:rowOff>
    </xdr:to>
    <xdr:sp macro="" textlink="">
      <xdr:nvSpPr>
        <xdr:cNvPr id="1311" name="Text Box 287" hidden="1">
          <a:extLst>
            <a:ext uri="{FF2B5EF4-FFF2-40B4-BE49-F238E27FC236}">
              <a16:creationId xmlns:a16="http://schemas.microsoft.com/office/drawing/2014/main" id="{00000000-0008-0000-0100-00001F050000}"/>
            </a:ext>
          </a:extLst>
        </xdr:cNvPr>
        <xdr:cNvSpPr txBox="1">
          <a:spLocks noChangeArrowheads="1"/>
        </xdr:cNvSpPr>
      </xdr:nvSpPr>
      <xdr:spPr bwMode="auto">
        <a:xfrm>
          <a:off x="3933825" y="5238750"/>
          <a:ext cx="2114550" cy="9810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750773</xdr:colOff>
      <xdr:row>18</xdr:row>
      <xdr:rowOff>94531</xdr:rowOff>
    </xdr:from>
    <xdr:to>
      <xdr:col>5</xdr:col>
      <xdr:colOff>590903</xdr:colOff>
      <xdr:row>21</xdr:row>
      <xdr:rowOff>108200</xdr:rowOff>
    </xdr:to>
    <xdr:sp macro="" textlink="">
      <xdr:nvSpPr>
        <xdr:cNvPr id="1313" name="Text Box 289" hidden="1">
          <a:extLst>
            <a:ext uri="{FF2B5EF4-FFF2-40B4-BE49-F238E27FC236}">
              <a16:creationId xmlns:a16="http://schemas.microsoft.com/office/drawing/2014/main" id="{00000000-0008-0000-0100-000021050000}"/>
            </a:ext>
          </a:extLst>
        </xdr:cNvPr>
        <xdr:cNvSpPr txBox="1">
          <a:spLocks noChangeArrowheads="1"/>
        </xdr:cNvSpPr>
      </xdr:nvSpPr>
      <xdr:spPr bwMode="auto">
        <a:xfrm>
          <a:off x="3952875" y="5972175"/>
          <a:ext cx="2095500" cy="100012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750773</xdr:colOff>
      <xdr:row>19</xdr:row>
      <xdr:rowOff>150095</xdr:rowOff>
    </xdr:from>
    <xdr:to>
      <xdr:col>5</xdr:col>
      <xdr:colOff>590903</xdr:colOff>
      <xdr:row>22</xdr:row>
      <xdr:rowOff>173130</xdr:rowOff>
    </xdr:to>
    <xdr:sp macro="" textlink="">
      <xdr:nvSpPr>
        <xdr:cNvPr id="1314" name="Text Box 290" hidden="1">
          <a:extLst>
            <a:ext uri="{FF2B5EF4-FFF2-40B4-BE49-F238E27FC236}">
              <a16:creationId xmlns:a16="http://schemas.microsoft.com/office/drawing/2014/main" id="{00000000-0008-0000-0100-000022050000}"/>
            </a:ext>
          </a:extLst>
        </xdr:cNvPr>
        <xdr:cNvSpPr txBox="1">
          <a:spLocks noChangeArrowheads="1"/>
        </xdr:cNvSpPr>
      </xdr:nvSpPr>
      <xdr:spPr bwMode="auto">
        <a:xfrm>
          <a:off x="3952875" y="6353175"/>
          <a:ext cx="2095500" cy="10191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239463</xdr:colOff>
      <xdr:row>17</xdr:row>
      <xdr:rowOff>10395</xdr:rowOff>
    </xdr:from>
    <xdr:to>
      <xdr:col>4</xdr:col>
      <xdr:colOff>376953</xdr:colOff>
      <xdr:row>19</xdr:row>
      <xdr:rowOff>126283</xdr:rowOff>
    </xdr:to>
    <xdr:sp macro="" textlink="">
      <xdr:nvSpPr>
        <xdr:cNvPr id="1276" name="Text Box 252" hidden="1">
          <a:extLst>
            <a:ext uri="{FF2B5EF4-FFF2-40B4-BE49-F238E27FC236}">
              <a16:creationId xmlns:a16="http://schemas.microsoft.com/office/drawing/2014/main" id="{00000000-0008-0000-0100-0000FC040000}"/>
            </a:ext>
          </a:extLst>
        </xdr:cNvPr>
        <xdr:cNvSpPr txBox="1">
          <a:spLocks noChangeArrowheads="1"/>
        </xdr:cNvSpPr>
      </xdr:nvSpPr>
      <xdr:spPr bwMode="auto">
        <a:xfrm>
          <a:off x="2171700" y="5562600"/>
          <a:ext cx="2533650" cy="77152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239463</xdr:colOff>
      <xdr:row>17</xdr:row>
      <xdr:rowOff>153270</xdr:rowOff>
    </xdr:from>
    <xdr:to>
      <xdr:col>4</xdr:col>
      <xdr:colOff>376953</xdr:colOff>
      <xdr:row>21</xdr:row>
      <xdr:rowOff>315692</xdr:rowOff>
    </xdr:to>
    <xdr:sp macro="" textlink="">
      <xdr:nvSpPr>
        <xdr:cNvPr id="1277" name="Text Box 253" hidden="1">
          <a:extLst>
            <a:ext uri="{FF2B5EF4-FFF2-40B4-BE49-F238E27FC236}">
              <a16:creationId xmlns:a16="http://schemas.microsoft.com/office/drawing/2014/main" id="{00000000-0008-0000-0100-0000FD040000}"/>
            </a:ext>
          </a:extLst>
        </xdr:cNvPr>
        <xdr:cNvSpPr txBox="1">
          <a:spLocks noChangeArrowheads="1"/>
        </xdr:cNvSpPr>
      </xdr:nvSpPr>
      <xdr:spPr bwMode="auto">
        <a:xfrm>
          <a:off x="2171700" y="5705475"/>
          <a:ext cx="2533650" cy="1485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239463</xdr:colOff>
      <xdr:row>18</xdr:row>
      <xdr:rowOff>85006</xdr:rowOff>
    </xdr:from>
    <xdr:to>
      <xdr:col>4</xdr:col>
      <xdr:colOff>376953</xdr:colOff>
      <xdr:row>22</xdr:row>
      <xdr:rowOff>152023</xdr:rowOff>
    </xdr:to>
    <xdr:sp macro="" textlink="">
      <xdr:nvSpPr>
        <xdr:cNvPr id="1278" name="Text Box 254" hidden="1">
          <a:extLst>
            <a:ext uri="{FF2B5EF4-FFF2-40B4-BE49-F238E27FC236}">
              <a16:creationId xmlns:a16="http://schemas.microsoft.com/office/drawing/2014/main" id="{00000000-0008-0000-0100-0000FE040000}"/>
            </a:ext>
          </a:extLst>
        </xdr:cNvPr>
        <xdr:cNvSpPr txBox="1">
          <a:spLocks noChangeArrowheads="1"/>
        </xdr:cNvSpPr>
      </xdr:nvSpPr>
      <xdr:spPr bwMode="auto">
        <a:xfrm>
          <a:off x="2171700" y="5962650"/>
          <a:ext cx="2533650" cy="14001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7</xdr:col>
      <xdr:colOff>106705</xdr:colOff>
      <xdr:row>18</xdr:row>
      <xdr:rowOff>85006</xdr:rowOff>
    </xdr:from>
    <xdr:to>
      <xdr:col>7</xdr:col>
      <xdr:colOff>351180</xdr:colOff>
      <xdr:row>24</xdr:row>
      <xdr:rowOff>235819</xdr:rowOff>
    </xdr:to>
    <xdr:sp macro="" textlink="">
      <xdr:nvSpPr>
        <xdr:cNvPr id="1350" name="Text Box 326" hidden="1">
          <a:extLst>
            <a:ext uri="{FF2B5EF4-FFF2-40B4-BE49-F238E27FC236}">
              <a16:creationId xmlns:a16="http://schemas.microsoft.com/office/drawing/2014/main" id="{00000000-0008-0000-0100-000046050000}"/>
            </a:ext>
          </a:extLst>
        </xdr:cNvPr>
        <xdr:cNvSpPr txBox="1">
          <a:spLocks noChangeArrowheads="1"/>
        </xdr:cNvSpPr>
      </xdr:nvSpPr>
      <xdr:spPr bwMode="auto">
        <a:xfrm>
          <a:off x="7829550" y="5962650"/>
          <a:ext cx="238125" cy="22288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oneCell">
    <xdr:from>
      <xdr:col>0</xdr:col>
      <xdr:colOff>44823</xdr:colOff>
      <xdr:row>0</xdr:row>
      <xdr:rowOff>70436</xdr:rowOff>
    </xdr:from>
    <xdr:to>
      <xdr:col>3</xdr:col>
      <xdr:colOff>468587</xdr:colOff>
      <xdr:row>2</xdr:row>
      <xdr:rowOff>179293</xdr:rowOff>
    </xdr:to>
    <xdr:pic>
      <xdr:nvPicPr>
        <xdr:cNvPr id="3" name="Picture 2">
          <a:extLst>
            <a:ext uri="{FF2B5EF4-FFF2-40B4-BE49-F238E27FC236}">
              <a16:creationId xmlns:a16="http://schemas.microsoft.com/office/drawing/2014/main" id="{125B2482-9F92-79D0-8505-8A4F80B080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23" y="70436"/>
          <a:ext cx="3617440" cy="90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1008531</xdr:colOff>
      <xdr:row>0</xdr:row>
      <xdr:rowOff>56030</xdr:rowOff>
    </xdr:from>
    <xdr:to>
      <xdr:col>5</xdr:col>
      <xdr:colOff>302559</xdr:colOff>
      <xdr:row>2</xdr:row>
      <xdr:rowOff>254716</xdr:rowOff>
    </xdr:to>
    <xdr:pic>
      <xdr:nvPicPr>
        <xdr:cNvPr id="2" name="Picture 1">
          <a:extLst>
            <a:ext uri="{FF2B5EF4-FFF2-40B4-BE49-F238E27FC236}">
              <a16:creationId xmlns:a16="http://schemas.microsoft.com/office/drawing/2014/main" id="{81D8D6E1-3D37-440D-95B7-312AD2E77B66}"/>
            </a:ext>
          </a:extLst>
        </xdr:cNvPr>
        <xdr:cNvPicPr>
          <a:picLocks noChangeAspect="1"/>
        </xdr:cNvPicPr>
      </xdr:nvPicPr>
      <xdr:blipFill>
        <a:blip xmlns:r="http://schemas.openxmlformats.org/officeDocument/2006/relationships" r:embed="rId2"/>
        <a:stretch>
          <a:fillRect/>
        </a:stretch>
      </xdr:blipFill>
      <xdr:spPr>
        <a:xfrm>
          <a:off x="4202207" y="56030"/>
          <a:ext cx="1557617" cy="9943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948752</xdr:colOff>
      <xdr:row>10</xdr:row>
      <xdr:rowOff>303212</xdr:rowOff>
    </xdr:from>
    <xdr:to>
      <xdr:col>5</xdr:col>
      <xdr:colOff>469194</xdr:colOff>
      <xdr:row>14</xdr:row>
      <xdr:rowOff>30162</xdr:rowOff>
    </xdr:to>
    <xdr:sp macro="" textlink="">
      <xdr:nvSpPr>
        <xdr:cNvPr id="3" name="Text Box 284" hidden="1">
          <a:extLst>
            <a:ext uri="{FF2B5EF4-FFF2-40B4-BE49-F238E27FC236}">
              <a16:creationId xmlns:a16="http://schemas.microsoft.com/office/drawing/2014/main" id="{00000000-0008-0000-0200-000003000000}"/>
            </a:ext>
          </a:extLst>
        </xdr:cNvPr>
        <xdr:cNvSpPr txBox="1">
          <a:spLocks noChangeArrowheads="1"/>
        </xdr:cNvSpPr>
      </xdr:nvSpPr>
      <xdr:spPr bwMode="auto">
        <a:xfrm>
          <a:off x="3044252" y="2095500"/>
          <a:ext cx="1367234" cy="65722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948752</xdr:colOff>
      <xdr:row>15</xdr:row>
      <xdr:rowOff>57149</xdr:rowOff>
    </xdr:from>
    <xdr:to>
      <xdr:col>5</xdr:col>
      <xdr:colOff>469194</xdr:colOff>
      <xdr:row>18</xdr:row>
      <xdr:rowOff>65313</xdr:rowOff>
    </xdr:to>
    <xdr:sp macro="" textlink="">
      <xdr:nvSpPr>
        <xdr:cNvPr id="4" name="Text Box 287" hidden="1">
          <a:extLst>
            <a:ext uri="{FF2B5EF4-FFF2-40B4-BE49-F238E27FC236}">
              <a16:creationId xmlns:a16="http://schemas.microsoft.com/office/drawing/2014/main" id="{00000000-0008-0000-0200-000004000000}"/>
            </a:ext>
          </a:extLst>
        </xdr:cNvPr>
        <xdr:cNvSpPr txBox="1">
          <a:spLocks noChangeArrowheads="1"/>
        </xdr:cNvSpPr>
      </xdr:nvSpPr>
      <xdr:spPr bwMode="auto">
        <a:xfrm>
          <a:off x="3044252" y="3009900"/>
          <a:ext cx="1367234" cy="613001"/>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969331</xdr:colOff>
      <xdr:row>17</xdr:row>
      <xdr:rowOff>144991</xdr:rowOff>
    </xdr:from>
    <xdr:to>
      <xdr:col>5</xdr:col>
      <xdr:colOff>469194</xdr:colOff>
      <xdr:row>20</xdr:row>
      <xdr:rowOff>175624</xdr:rowOff>
    </xdr:to>
    <xdr:sp macro="" textlink="">
      <xdr:nvSpPr>
        <xdr:cNvPr id="5" name="Text Box 289" hidden="1">
          <a:extLst>
            <a:ext uri="{FF2B5EF4-FFF2-40B4-BE49-F238E27FC236}">
              <a16:creationId xmlns:a16="http://schemas.microsoft.com/office/drawing/2014/main" id="{00000000-0008-0000-0200-000005000000}"/>
            </a:ext>
          </a:extLst>
        </xdr:cNvPr>
        <xdr:cNvSpPr txBox="1">
          <a:spLocks noChangeArrowheads="1"/>
        </xdr:cNvSpPr>
      </xdr:nvSpPr>
      <xdr:spPr bwMode="auto">
        <a:xfrm>
          <a:off x="3045781" y="3457575"/>
          <a:ext cx="1365705" cy="602133"/>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3</xdr:col>
      <xdr:colOff>969331</xdr:colOff>
      <xdr:row>18</xdr:row>
      <xdr:rowOff>203955</xdr:rowOff>
    </xdr:from>
    <xdr:to>
      <xdr:col>5</xdr:col>
      <xdr:colOff>469194</xdr:colOff>
      <xdr:row>21</xdr:row>
      <xdr:rowOff>169652</xdr:rowOff>
    </xdr:to>
    <xdr:sp macro="" textlink="">
      <xdr:nvSpPr>
        <xdr:cNvPr id="6" name="Text Box 290" hidden="1">
          <a:extLst>
            <a:ext uri="{FF2B5EF4-FFF2-40B4-BE49-F238E27FC236}">
              <a16:creationId xmlns:a16="http://schemas.microsoft.com/office/drawing/2014/main" id="{00000000-0008-0000-0200-000006000000}"/>
            </a:ext>
          </a:extLst>
        </xdr:cNvPr>
        <xdr:cNvSpPr txBox="1">
          <a:spLocks noChangeArrowheads="1"/>
        </xdr:cNvSpPr>
      </xdr:nvSpPr>
      <xdr:spPr bwMode="auto">
        <a:xfrm>
          <a:off x="3045781" y="3746726"/>
          <a:ext cx="1365705" cy="440888"/>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426206</xdr:colOff>
      <xdr:row>16</xdr:row>
      <xdr:rowOff>55562</xdr:rowOff>
    </xdr:from>
    <xdr:to>
      <xdr:col>4</xdr:col>
      <xdr:colOff>472471</xdr:colOff>
      <xdr:row>18</xdr:row>
      <xdr:rowOff>180143</xdr:rowOff>
    </xdr:to>
    <xdr:sp macro="" textlink="">
      <xdr:nvSpPr>
        <xdr:cNvPr id="7" name="Text Box 252" hidden="1">
          <a:extLst>
            <a:ext uri="{FF2B5EF4-FFF2-40B4-BE49-F238E27FC236}">
              <a16:creationId xmlns:a16="http://schemas.microsoft.com/office/drawing/2014/main" id="{00000000-0008-0000-0200-000007000000}"/>
            </a:ext>
          </a:extLst>
        </xdr:cNvPr>
        <xdr:cNvSpPr txBox="1">
          <a:spLocks noChangeArrowheads="1"/>
        </xdr:cNvSpPr>
      </xdr:nvSpPr>
      <xdr:spPr bwMode="auto">
        <a:xfrm>
          <a:off x="1950206" y="3238500"/>
          <a:ext cx="1570265" cy="484414"/>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426206</xdr:colOff>
      <xdr:row>16</xdr:row>
      <xdr:rowOff>203729</xdr:rowOff>
    </xdr:from>
    <xdr:to>
      <xdr:col>4</xdr:col>
      <xdr:colOff>472471</xdr:colOff>
      <xdr:row>20</xdr:row>
      <xdr:rowOff>383116</xdr:rowOff>
    </xdr:to>
    <xdr:sp macro="" textlink="">
      <xdr:nvSpPr>
        <xdr:cNvPr id="8" name="Text Box 253" hidden="1">
          <a:extLst>
            <a:ext uri="{FF2B5EF4-FFF2-40B4-BE49-F238E27FC236}">
              <a16:creationId xmlns:a16="http://schemas.microsoft.com/office/drawing/2014/main" id="{00000000-0008-0000-0200-000008000000}"/>
            </a:ext>
          </a:extLst>
        </xdr:cNvPr>
        <xdr:cNvSpPr txBox="1">
          <a:spLocks noChangeArrowheads="1"/>
        </xdr:cNvSpPr>
      </xdr:nvSpPr>
      <xdr:spPr bwMode="auto">
        <a:xfrm>
          <a:off x="1950206" y="3286125"/>
          <a:ext cx="1570265" cy="9048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2</xdr:col>
      <xdr:colOff>426206</xdr:colOff>
      <xdr:row>17</xdr:row>
      <xdr:rowOff>135466</xdr:rowOff>
    </xdr:from>
    <xdr:to>
      <xdr:col>4</xdr:col>
      <xdr:colOff>472471</xdr:colOff>
      <xdr:row>21</xdr:row>
      <xdr:rowOff>148545</xdr:rowOff>
    </xdr:to>
    <xdr:sp macro="" textlink="">
      <xdr:nvSpPr>
        <xdr:cNvPr id="9" name="Text Box 254" hidden="1">
          <a:extLst>
            <a:ext uri="{FF2B5EF4-FFF2-40B4-BE49-F238E27FC236}">
              <a16:creationId xmlns:a16="http://schemas.microsoft.com/office/drawing/2014/main" id="{00000000-0008-0000-0200-000009000000}"/>
            </a:ext>
          </a:extLst>
        </xdr:cNvPr>
        <xdr:cNvSpPr txBox="1">
          <a:spLocks noChangeArrowheads="1"/>
        </xdr:cNvSpPr>
      </xdr:nvSpPr>
      <xdr:spPr bwMode="auto">
        <a:xfrm>
          <a:off x="1950206" y="3448050"/>
          <a:ext cx="1570265" cy="747032"/>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absolute">
    <xdr:from>
      <xdr:col>6</xdr:col>
      <xdr:colOff>865037</xdr:colOff>
      <xdr:row>17</xdr:row>
      <xdr:rowOff>135466</xdr:rowOff>
    </xdr:from>
    <xdr:to>
      <xdr:col>6</xdr:col>
      <xdr:colOff>1119340</xdr:colOff>
      <xdr:row>21</xdr:row>
      <xdr:rowOff>974196</xdr:rowOff>
    </xdr:to>
    <xdr:sp macro="" textlink="">
      <xdr:nvSpPr>
        <xdr:cNvPr id="10" name="Text Box 326" hidden="1">
          <a:extLst>
            <a:ext uri="{FF2B5EF4-FFF2-40B4-BE49-F238E27FC236}">
              <a16:creationId xmlns:a16="http://schemas.microsoft.com/office/drawing/2014/main" id="{00000000-0008-0000-0200-00000A000000}"/>
            </a:ext>
          </a:extLst>
        </xdr:cNvPr>
        <xdr:cNvSpPr txBox="1">
          <a:spLocks noChangeArrowheads="1"/>
        </xdr:cNvSpPr>
      </xdr:nvSpPr>
      <xdr:spPr bwMode="auto">
        <a:xfrm>
          <a:off x="5337025" y="3448050"/>
          <a:ext cx="0" cy="9334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a:lstStyle/>
        <a:p>
          <a:endParaRPr lang="en-AU"/>
        </a:p>
      </xdr:txBody>
    </xdr:sp>
    <xdr:clientData/>
  </xdr:twoCellAnchor>
  <xdr:twoCellAnchor editAs="oneCell">
    <xdr:from>
      <xdr:col>0</xdr:col>
      <xdr:colOff>71437</xdr:colOff>
      <xdr:row>0</xdr:row>
      <xdr:rowOff>59530</xdr:rowOff>
    </xdr:from>
    <xdr:to>
      <xdr:col>3</xdr:col>
      <xdr:colOff>346701</xdr:colOff>
      <xdr:row>1</xdr:row>
      <xdr:rowOff>218454</xdr:rowOff>
    </xdr:to>
    <xdr:pic>
      <xdr:nvPicPr>
        <xdr:cNvPr id="12" name="Picture 1" descr="Pacific Logo.jpg">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71437" y="59530"/>
          <a:ext cx="3239920" cy="504205"/>
        </a:xfrm>
        <a:prstGeom prst="rect">
          <a:avLst/>
        </a:prstGeom>
        <a:noFill/>
        <a:ln w="9525">
          <a:noFill/>
          <a:miter lim="800000"/>
          <a:headEnd/>
          <a:tailEnd/>
        </a:ln>
      </xdr:spPr>
    </xdr:pic>
    <xdr:clientData/>
  </xdr:twoCellAnchor>
  <xdr:twoCellAnchor editAs="oneCell">
    <xdr:from>
      <xdr:col>5</xdr:col>
      <xdr:colOff>214313</xdr:colOff>
      <xdr:row>0</xdr:row>
      <xdr:rowOff>35719</xdr:rowOff>
    </xdr:from>
    <xdr:to>
      <xdr:col>5</xdr:col>
      <xdr:colOff>927919</xdr:colOff>
      <xdr:row>0</xdr:row>
      <xdr:rowOff>334583</xdr:rowOff>
    </xdr:to>
    <xdr:pic>
      <xdr:nvPicPr>
        <xdr:cNvPr id="13" name="Picture 2" descr="D:\Shared\Deirdre\Logos\OPC logo.jpg">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8344" y="35719"/>
          <a:ext cx="713606" cy="298864"/>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Pacific Wholesale Distributors Shutter Orders" id="{58378A06-BC0C-4287-B757-B274C54EBD3A}" userId="4a14051466627716"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G8" dT="2026-01-22T05:00:22.05" personId="{58378A06-BC0C-4287-B757-B274C54EBD3A}" id="{F67150D5-CF0B-493C-80ED-AEB9ED87FC8A}">
    <text>Make Aluinvisi instead of rack and pinion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uttersales@pacificwholesale.com.a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3" tint="0.79998168889431442"/>
    <pageSetUpPr fitToPage="1"/>
  </sheetPr>
  <dimension ref="A1:D102"/>
  <sheetViews>
    <sheetView topLeftCell="A76" workbookViewId="0">
      <selection activeCell="B16" sqref="B16"/>
    </sheetView>
  </sheetViews>
  <sheetFormatPr defaultRowHeight="15" x14ac:dyDescent="0.2"/>
  <cols>
    <col min="1" max="1" width="7.5546875" customWidth="1"/>
    <col min="2" max="2" width="44" customWidth="1"/>
    <col min="3" max="3" width="7.5546875" customWidth="1"/>
    <col min="4" max="4" width="81" customWidth="1"/>
  </cols>
  <sheetData>
    <row r="1" spans="1:4" ht="60" customHeight="1" x14ac:dyDescent="0.2">
      <c r="A1" s="288" t="s">
        <v>342</v>
      </c>
      <c r="B1" s="288"/>
      <c r="C1" s="288"/>
      <c r="D1" s="288"/>
    </row>
    <row r="2" spans="1:4" x14ac:dyDescent="0.2">
      <c r="A2" s="199" t="s">
        <v>343</v>
      </c>
      <c r="B2" s="200" t="s">
        <v>344</v>
      </c>
      <c r="C2" s="201" t="s">
        <v>343</v>
      </c>
      <c r="D2" s="202" t="s">
        <v>345</v>
      </c>
    </row>
    <row r="3" spans="1:4" ht="15.75" x14ac:dyDescent="0.25">
      <c r="A3" s="203">
        <v>1</v>
      </c>
      <c r="B3" s="204"/>
      <c r="C3" s="205">
        <v>1</v>
      </c>
      <c r="D3" s="206"/>
    </row>
    <row r="4" spans="1:4" ht="15.75" x14ac:dyDescent="0.25">
      <c r="A4" s="203">
        <v>2</v>
      </c>
      <c r="B4" s="204"/>
      <c r="C4" s="205">
        <v>2</v>
      </c>
      <c r="D4" s="206"/>
    </row>
    <row r="5" spans="1:4" ht="15.75" x14ac:dyDescent="0.25">
      <c r="A5" s="203">
        <v>3</v>
      </c>
      <c r="B5" s="204"/>
      <c r="C5" s="205">
        <v>3</v>
      </c>
      <c r="D5" s="206"/>
    </row>
    <row r="6" spans="1:4" ht="15.75" x14ac:dyDescent="0.25">
      <c r="A6" s="203">
        <v>4</v>
      </c>
      <c r="B6" s="204"/>
      <c r="C6" s="205">
        <v>4</v>
      </c>
      <c r="D6" s="206"/>
    </row>
    <row r="7" spans="1:4" ht="15.75" x14ac:dyDescent="0.25">
      <c r="A7" s="203">
        <v>5</v>
      </c>
      <c r="B7" s="204"/>
      <c r="C7" s="205">
        <v>5</v>
      </c>
      <c r="D7" s="206"/>
    </row>
    <row r="8" spans="1:4" ht="15.75" x14ac:dyDescent="0.25">
      <c r="A8" s="203">
        <v>6</v>
      </c>
      <c r="B8" s="204"/>
      <c r="C8" s="205">
        <v>6</v>
      </c>
      <c r="D8" s="206"/>
    </row>
    <row r="9" spans="1:4" ht="15.75" x14ac:dyDescent="0.25">
      <c r="A9" s="203">
        <v>7</v>
      </c>
      <c r="B9" s="204"/>
      <c r="C9" s="205">
        <v>7</v>
      </c>
      <c r="D9" s="206"/>
    </row>
    <row r="10" spans="1:4" ht="15.75" x14ac:dyDescent="0.25">
      <c r="A10" s="203">
        <v>8</v>
      </c>
      <c r="B10" s="204"/>
      <c r="C10" s="205">
        <v>8</v>
      </c>
      <c r="D10" s="206"/>
    </row>
    <row r="11" spans="1:4" ht="15.75" x14ac:dyDescent="0.25">
      <c r="A11" s="203">
        <v>9</v>
      </c>
      <c r="B11" s="204"/>
      <c r="C11" s="205">
        <v>9</v>
      </c>
      <c r="D11" s="206"/>
    </row>
    <row r="12" spans="1:4" ht="15.75" x14ac:dyDescent="0.25">
      <c r="A12" s="203">
        <v>10</v>
      </c>
      <c r="B12" s="204"/>
      <c r="C12" s="205">
        <v>10</v>
      </c>
      <c r="D12" s="206"/>
    </row>
    <row r="13" spans="1:4" ht="15.75" x14ac:dyDescent="0.25">
      <c r="A13" s="203">
        <v>11</v>
      </c>
      <c r="B13" s="204"/>
      <c r="C13" s="205">
        <v>11</v>
      </c>
      <c r="D13" s="206"/>
    </row>
    <row r="14" spans="1:4" ht="15.75" x14ac:dyDescent="0.25">
      <c r="A14" s="203">
        <v>12</v>
      </c>
      <c r="B14" s="204"/>
      <c r="C14" s="205">
        <v>12</v>
      </c>
      <c r="D14" s="206"/>
    </row>
    <row r="15" spans="1:4" ht="15.75" x14ac:dyDescent="0.25">
      <c r="A15" s="203">
        <v>13</v>
      </c>
      <c r="B15" s="204"/>
      <c r="C15" s="205">
        <v>13</v>
      </c>
      <c r="D15" s="206"/>
    </row>
    <row r="16" spans="1:4" ht="15.75" x14ac:dyDescent="0.25">
      <c r="A16" s="203">
        <v>14</v>
      </c>
      <c r="B16" s="204"/>
      <c r="C16" s="205">
        <v>14</v>
      </c>
      <c r="D16" s="206"/>
    </row>
    <row r="17" spans="1:4" ht="15.75" x14ac:dyDescent="0.25">
      <c r="A17" s="203">
        <v>15</v>
      </c>
      <c r="B17" s="204"/>
      <c r="C17" s="205">
        <v>15</v>
      </c>
      <c r="D17" s="206"/>
    </row>
    <row r="18" spans="1:4" ht="15.75" x14ac:dyDescent="0.25">
      <c r="A18" s="203">
        <v>16</v>
      </c>
      <c r="B18" s="204"/>
      <c r="C18" s="205">
        <v>16</v>
      </c>
      <c r="D18" s="206"/>
    </row>
    <row r="19" spans="1:4" ht="15.75" x14ac:dyDescent="0.25">
      <c r="A19" s="203">
        <v>17</v>
      </c>
      <c r="B19" s="204"/>
      <c r="C19" s="205">
        <v>17</v>
      </c>
      <c r="D19" s="206"/>
    </row>
    <row r="20" spans="1:4" ht="15.75" x14ac:dyDescent="0.25">
      <c r="A20" s="203">
        <v>18</v>
      </c>
      <c r="B20" s="204"/>
      <c r="C20" s="205">
        <v>18</v>
      </c>
      <c r="D20" s="206"/>
    </row>
    <row r="21" spans="1:4" ht="15.75" x14ac:dyDescent="0.25">
      <c r="A21" s="203">
        <v>19</v>
      </c>
      <c r="B21" s="204"/>
      <c r="C21" s="205">
        <v>19</v>
      </c>
      <c r="D21" s="206"/>
    </row>
    <row r="22" spans="1:4" ht="15.75" x14ac:dyDescent="0.25">
      <c r="A22" s="203">
        <v>20</v>
      </c>
      <c r="B22" s="204"/>
      <c r="C22" s="205">
        <v>20</v>
      </c>
      <c r="D22" s="206"/>
    </row>
    <row r="23" spans="1:4" ht="15.75" x14ac:dyDescent="0.25">
      <c r="A23" s="203">
        <v>21</v>
      </c>
      <c r="B23" s="204"/>
      <c r="C23" s="205">
        <v>21</v>
      </c>
      <c r="D23" s="206"/>
    </row>
    <row r="24" spans="1:4" ht="15.75" x14ac:dyDescent="0.25">
      <c r="A24" s="203">
        <v>22</v>
      </c>
      <c r="B24" s="204"/>
      <c r="C24" s="205">
        <v>22</v>
      </c>
      <c r="D24" s="206"/>
    </row>
    <row r="25" spans="1:4" ht="15.75" x14ac:dyDescent="0.25">
      <c r="A25" s="203">
        <v>23</v>
      </c>
      <c r="B25" s="204"/>
      <c r="C25" s="205">
        <v>23</v>
      </c>
      <c r="D25" s="206"/>
    </row>
    <row r="26" spans="1:4" ht="15.75" x14ac:dyDescent="0.25">
      <c r="A26" s="203">
        <v>24</v>
      </c>
      <c r="B26" s="204"/>
      <c r="C26" s="205">
        <v>24</v>
      </c>
      <c r="D26" s="206"/>
    </row>
    <row r="27" spans="1:4" ht="15.75" x14ac:dyDescent="0.25">
      <c r="A27" s="203">
        <v>25</v>
      </c>
      <c r="B27" s="204"/>
      <c r="C27" s="205">
        <v>25</v>
      </c>
      <c r="D27" s="206"/>
    </row>
    <row r="28" spans="1:4" ht="15.75" x14ac:dyDescent="0.25">
      <c r="A28" s="203">
        <v>26</v>
      </c>
      <c r="B28" s="204"/>
      <c r="C28" s="205">
        <v>26</v>
      </c>
      <c r="D28" s="206"/>
    </row>
    <row r="29" spans="1:4" ht="15.75" x14ac:dyDescent="0.25">
      <c r="A29" s="203">
        <v>27</v>
      </c>
      <c r="B29" s="204"/>
      <c r="C29" s="205">
        <v>27</v>
      </c>
      <c r="D29" s="206"/>
    </row>
    <row r="30" spans="1:4" ht="15.75" x14ac:dyDescent="0.25">
      <c r="A30" s="203">
        <v>28</v>
      </c>
      <c r="B30" s="204"/>
      <c r="C30" s="205">
        <v>28</v>
      </c>
      <c r="D30" s="206"/>
    </row>
    <row r="31" spans="1:4" ht="15.75" x14ac:dyDescent="0.25">
      <c r="A31" s="203">
        <v>29</v>
      </c>
      <c r="B31" s="204"/>
      <c r="C31" s="205">
        <v>29</v>
      </c>
      <c r="D31" s="206"/>
    </row>
    <row r="32" spans="1:4" ht="15.75" x14ac:dyDescent="0.25">
      <c r="A32" s="203">
        <v>30</v>
      </c>
      <c r="B32" s="204"/>
      <c r="C32" s="205">
        <v>30</v>
      </c>
      <c r="D32" s="206"/>
    </row>
    <row r="33" spans="1:4" ht="15.75" x14ac:dyDescent="0.25">
      <c r="A33" s="203">
        <v>31</v>
      </c>
      <c r="B33" s="204"/>
      <c r="C33" s="205">
        <v>31</v>
      </c>
      <c r="D33" s="206"/>
    </row>
    <row r="34" spans="1:4" ht="15.75" x14ac:dyDescent="0.25">
      <c r="A34" s="203">
        <v>32</v>
      </c>
      <c r="B34" s="204"/>
      <c r="C34" s="205">
        <v>32</v>
      </c>
      <c r="D34" s="206"/>
    </row>
    <row r="35" spans="1:4" ht="15.75" x14ac:dyDescent="0.25">
      <c r="A35" s="203">
        <v>33</v>
      </c>
      <c r="B35" s="204"/>
      <c r="C35" s="205">
        <v>33</v>
      </c>
      <c r="D35" s="206"/>
    </row>
    <row r="36" spans="1:4" ht="15.75" x14ac:dyDescent="0.25">
      <c r="A36" s="203">
        <v>34</v>
      </c>
      <c r="B36" s="204"/>
      <c r="C36" s="205">
        <v>34</v>
      </c>
      <c r="D36" s="206"/>
    </row>
    <row r="37" spans="1:4" ht="15.75" x14ac:dyDescent="0.25">
      <c r="A37" s="203">
        <v>35</v>
      </c>
      <c r="B37" s="204"/>
      <c r="C37" s="205">
        <v>35</v>
      </c>
      <c r="D37" s="206"/>
    </row>
    <row r="38" spans="1:4" ht="15.75" x14ac:dyDescent="0.25">
      <c r="A38" s="203">
        <v>36</v>
      </c>
      <c r="B38" s="204"/>
      <c r="C38" s="205">
        <v>36</v>
      </c>
      <c r="D38" s="206"/>
    </row>
    <row r="39" spans="1:4" ht="15.75" x14ac:dyDescent="0.25">
      <c r="A39" s="203">
        <v>37</v>
      </c>
      <c r="B39" s="204"/>
      <c r="C39" s="205">
        <v>37</v>
      </c>
      <c r="D39" s="206"/>
    </row>
    <row r="40" spans="1:4" ht="15.75" x14ac:dyDescent="0.25">
      <c r="A40" s="203">
        <v>38</v>
      </c>
      <c r="B40" s="204"/>
      <c r="C40" s="205">
        <v>38</v>
      </c>
      <c r="D40" s="206"/>
    </row>
    <row r="41" spans="1:4" ht="15.75" x14ac:dyDescent="0.25">
      <c r="A41" s="203">
        <v>39</v>
      </c>
      <c r="B41" s="204"/>
      <c r="C41" s="205">
        <v>39</v>
      </c>
      <c r="D41" s="206"/>
    </row>
    <row r="42" spans="1:4" ht="15.75" x14ac:dyDescent="0.25">
      <c r="A42" s="203">
        <v>40</v>
      </c>
      <c r="B42" s="204"/>
      <c r="C42" s="205">
        <v>40</v>
      </c>
      <c r="D42" s="206"/>
    </row>
    <row r="43" spans="1:4" ht="15.75" x14ac:dyDescent="0.25">
      <c r="A43" s="203">
        <v>41</v>
      </c>
      <c r="B43" s="204"/>
      <c r="C43" s="205">
        <v>41</v>
      </c>
      <c r="D43" s="206"/>
    </row>
    <row r="44" spans="1:4" ht="15.75" x14ac:dyDescent="0.25">
      <c r="A44" s="203">
        <v>42</v>
      </c>
      <c r="B44" s="204"/>
      <c r="C44" s="205">
        <v>42</v>
      </c>
      <c r="D44" s="206"/>
    </row>
    <row r="45" spans="1:4" ht="15.75" x14ac:dyDescent="0.25">
      <c r="A45" s="203">
        <v>43</v>
      </c>
      <c r="B45" s="204"/>
      <c r="C45" s="205">
        <v>43</v>
      </c>
      <c r="D45" s="206"/>
    </row>
    <row r="46" spans="1:4" ht="15.75" x14ac:dyDescent="0.25">
      <c r="A46" s="203">
        <v>44</v>
      </c>
      <c r="B46" s="204"/>
      <c r="C46" s="205">
        <v>44</v>
      </c>
      <c r="D46" s="206"/>
    </row>
    <row r="47" spans="1:4" ht="15.75" x14ac:dyDescent="0.25">
      <c r="A47" s="203">
        <v>45</v>
      </c>
      <c r="B47" s="204"/>
      <c r="C47" s="205">
        <v>45</v>
      </c>
      <c r="D47" s="206"/>
    </row>
    <row r="48" spans="1:4" ht="15.75" x14ac:dyDescent="0.25">
      <c r="A48" s="203">
        <v>46</v>
      </c>
      <c r="B48" s="204"/>
      <c r="C48" s="205">
        <v>46</v>
      </c>
      <c r="D48" s="206"/>
    </row>
    <row r="49" spans="1:4" ht="15.75" x14ac:dyDescent="0.25">
      <c r="A49" s="203">
        <v>47</v>
      </c>
      <c r="B49" s="204"/>
      <c r="C49" s="205">
        <v>47</v>
      </c>
      <c r="D49" s="206"/>
    </row>
    <row r="50" spans="1:4" ht="15.75" x14ac:dyDescent="0.25">
      <c r="A50" s="203">
        <v>48</v>
      </c>
      <c r="B50" s="204"/>
      <c r="C50" s="205">
        <v>48</v>
      </c>
      <c r="D50" s="206"/>
    </row>
    <row r="51" spans="1:4" ht="15.75" x14ac:dyDescent="0.25">
      <c r="A51" s="203">
        <v>49</v>
      </c>
      <c r="B51" s="204"/>
      <c r="C51" s="205">
        <v>49</v>
      </c>
      <c r="D51" s="206"/>
    </row>
    <row r="52" spans="1:4" ht="15.75" x14ac:dyDescent="0.25">
      <c r="A52" s="203">
        <v>50</v>
      </c>
      <c r="B52" s="204"/>
      <c r="C52" s="205">
        <v>50</v>
      </c>
      <c r="D52" s="206"/>
    </row>
    <row r="53" spans="1:4" ht="15.75" x14ac:dyDescent="0.25">
      <c r="C53" s="205">
        <v>51</v>
      </c>
      <c r="D53" s="206"/>
    </row>
    <row r="54" spans="1:4" ht="15.75" x14ac:dyDescent="0.25">
      <c r="C54" s="205">
        <v>52</v>
      </c>
      <c r="D54" s="206"/>
    </row>
    <row r="55" spans="1:4" ht="15.75" x14ac:dyDescent="0.25">
      <c r="C55" s="205">
        <v>53</v>
      </c>
      <c r="D55" s="206"/>
    </row>
    <row r="56" spans="1:4" ht="15.75" x14ac:dyDescent="0.25">
      <c r="C56" s="205">
        <v>54</v>
      </c>
      <c r="D56" s="206"/>
    </row>
    <row r="57" spans="1:4" ht="15.75" x14ac:dyDescent="0.25">
      <c r="C57" s="205">
        <v>55</v>
      </c>
      <c r="D57" s="206"/>
    </row>
    <row r="58" spans="1:4" ht="15.75" x14ac:dyDescent="0.25">
      <c r="C58" s="205">
        <v>56</v>
      </c>
      <c r="D58" s="206"/>
    </row>
    <row r="59" spans="1:4" ht="15.75" x14ac:dyDescent="0.25">
      <c r="C59" s="205">
        <v>57</v>
      </c>
      <c r="D59" s="206"/>
    </row>
    <row r="60" spans="1:4" ht="15.75" x14ac:dyDescent="0.25">
      <c r="C60" s="205">
        <v>58</v>
      </c>
      <c r="D60" s="206"/>
    </row>
    <row r="61" spans="1:4" ht="15.75" x14ac:dyDescent="0.25">
      <c r="C61" s="205">
        <v>59</v>
      </c>
      <c r="D61" s="206"/>
    </row>
    <row r="62" spans="1:4" ht="15.75" x14ac:dyDescent="0.25">
      <c r="C62" s="205">
        <v>60</v>
      </c>
      <c r="D62" s="206"/>
    </row>
    <row r="63" spans="1:4" ht="15.75" x14ac:dyDescent="0.25">
      <c r="C63" s="205">
        <v>61</v>
      </c>
      <c r="D63" s="206"/>
    </row>
    <row r="64" spans="1:4" ht="15.75" x14ac:dyDescent="0.25">
      <c r="C64" s="205">
        <v>62</v>
      </c>
      <c r="D64" s="206"/>
    </row>
    <row r="65" spans="3:4" ht="15.75" x14ac:dyDescent="0.25">
      <c r="C65" s="205">
        <v>63</v>
      </c>
      <c r="D65" s="206"/>
    </row>
    <row r="66" spans="3:4" ht="15.75" x14ac:dyDescent="0.25">
      <c r="C66" s="205">
        <v>64</v>
      </c>
      <c r="D66" s="206"/>
    </row>
    <row r="67" spans="3:4" ht="15.75" x14ac:dyDescent="0.25">
      <c r="C67" s="205">
        <v>65</v>
      </c>
      <c r="D67" s="206"/>
    </row>
    <row r="68" spans="3:4" ht="15.75" x14ac:dyDescent="0.25">
      <c r="C68" s="205">
        <v>66</v>
      </c>
      <c r="D68" s="206"/>
    </row>
    <row r="69" spans="3:4" ht="15.75" x14ac:dyDescent="0.25">
      <c r="C69" s="205">
        <v>67</v>
      </c>
      <c r="D69" s="206"/>
    </row>
    <row r="70" spans="3:4" ht="15.75" x14ac:dyDescent="0.25">
      <c r="C70" s="205">
        <v>68</v>
      </c>
      <c r="D70" s="206"/>
    </row>
    <row r="71" spans="3:4" ht="15.75" x14ac:dyDescent="0.25">
      <c r="C71" s="205">
        <v>69</v>
      </c>
      <c r="D71" s="206"/>
    </row>
    <row r="72" spans="3:4" ht="15.75" x14ac:dyDescent="0.25">
      <c r="C72" s="205">
        <v>70</v>
      </c>
      <c r="D72" s="206"/>
    </row>
    <row r="73" spans="3:4" ht="15.75" x14ac:dyDescent="0.25">
      <c r="C73" s="205">
        <v>71</v>
      </c>
      <c r="D73" s="206"/>
    </row>
    <row r="74" spans="3:4" ht="15.75" x14ac:dyDescent="0.25">
      <c r="C74" s="205">
        <v>72</v>
      </c>
      <c r="D74" s="206"/>
    </row>
    <row r="75" spans="3:4" ht="15.75" x14ac:dyDescent="0.25">
      <c r="C75" s="205">
        <v>73</v>
      </c>
      <c r="D75" s="206"/>
    </row>
    <row r="76" spans="3:4" ht="15.75" x14ac:dyDescent="0.25">
      <c r="C76" s="205">
        <v>74</v>
      </c>
      <c r="D76" s="206"/>
    </row>
    <row r="77" spans="3:4" ht="15.75" x14ac:dyDescent="0.25">
      <c r="C77" s="205">
        <v>75</v>
      </c>
      <c r="D77" s="206"/>
    </row>
    <row r="78" spans="3:4" ht="15.75" x14ac:dyDescent="0.25">
      <c r="C78" s="205">
        <v>76</v>
      </c>
      <c r="D78" s="206"/>
    </row>
    <row r="79" spans="3:4" ht="15.75" x14ac:dyDescent="0.25">
      <c r="C79" s="205">
        <v>77</v>
      </c>
      <c r="D79" s="206"/>
    </row>
    <row r="80" spans="3:4" ht="15.75" x14ac:dyDescent="0.25">
      <c r="C80" s="205">
        <v>78</v>
      </c>
      <c r="D80" s="206"/>
    </row>
    <row r="81" spans="3:4" ht="15.75" x14ac:dyDescent="0.25">
      <c r="C81" s="205">
        <v>79</v>
      </c>
      <c r="D81" s="206"/>
    </row>
    <row r="82" spans="3:4" ht="15.75" x14ac:dyDescent="0.25">
      <c r="C82" s="205">
        <v>80</v>
      </c>
      <c r="D82" s="206"/>
    </row>
    <row r="83" spans="3:4" ht="15.75" x14ac:dyDescent="0.25">
      <c r="C83" s="205">
        <v>81</v>
      </c>
      <c r="D83" s="206"/>
    </row>
    <row r="84" spans="3:4" ht="15.75" x14ac:dyDescent="0.25">
      <c r="C84" s="205">
        <v>82</v>
      </c>
      <c r="D84" s="206"/>
    </row>
    <row r="85" spans="3:4" ht="15.75" x14ac:dyDescent="0.25">
      <c r="C85" s="205">
        <v>83</v>
      </c>
      <c r="D85" s="206"/>
    </row>
    <row r="86" spans="3:4" ht="15.75" x14ac:dyDescent="0.25">
      <c r="C86" s="205">
        <v>84</v>
      </c>
      <c r="D86" s="206"/>
    </row>
    <row r="87" spans="3:4" ht="15.75" x14ac:dyDescent="0.25">
      <c r="C87" s="205">
        <v>85</v>
      </c>
      <c r="D87" s="206"/>
    </row>
    <row r="88" spans="3:4" ht="15.75" x14ac:dyDescent="0.25">
      <c r="C88" s="205">
        <v>86</v>
      </c>
      <c r="D88" s="206"/>
    </row>
    <row r="89" spans="3:4" ht="15.75" x14ac:dyDescent="0.25">
      <c r="C89" s="205">
        <v>87</v>
      </c>
      <c r="D89" s="206"/>
    </row>
    <row r="90" spans="3:4" ht="15.75" x14ac:dyDescent="0.25">
      <c r="C90" s="205">
        <v>88</v>
      </c>
      <c r="D90" s="206"/>
    </row>
    <row r="91" spans="3:4" ht="15.75" x14ac:dyDescent="0.25">
      <c r="C91" s="205">
        <v>89</v>
      </c>
      <c r="D91" s="206"/>
    </row>
    <row r="92" spans="3:4" ht="15.75" x14ac:dyDescent="0.25">
      <c r="C92" s="205">
        <v>90</v>
      </c>
      <c r="D92" s="206"/>
    </row>
    <row r="93" spans="3:4" ht="15.75" x14ac:dyDescent="0.25">
      <c r="C93" s="205">
        <v>91</v>
      </c>
      <c r="D93" s="206"/>
    </row>
    <row r="94" spans="3:4" ht="15.75" x14ac:dyDescent="0.25">
      <c r="C94" s="205">
        <v>92</v>
      </c>
      <c r="D94" s="206"/>
    </row>
    <row r="95" spans="3:4" ht="15.75" x14ac:dyDescent="0.25">
      <c r="C95" s="205">
        <v>93</v>
      </c>
      <c r="D95" s="206"/>
    </row>
    <row r="96" spans="3:4" ht="15.75" x14ac:dyDescent="0.25">
      <c r="C96" s="205">
        <v>94</v>
      </c>
      <c r="D96" s="206"/>
    </row>
    <row r="97" spans="3:4" ht="15.75" x14ac:dyDescent="0.25">
      <c r="C97" s="205">
        <v>95</v>
      </c>
      <c r="D97" s="206"/>
    </row>
    <row r="98" spans="3:4" ht="15.75" x14ac:dyDescent="0.25">
      <c r="C98" s="205">
        <v>96</v>
      </c>
      <c r="D98" s="206"/>
    </row>
    <row r="99" spans="3:4" ht="15.75" x14ac:dyDescent="0.25">
      <c r="C99" s="205">
        <v>97</v>
      </c>
      <c r="D99" s="206"/>
    </row>
    <row r="100" spans="3:4" ht="15.75" x14ac:dyDescent="0.25">
      <c r="C100" s="205">
        <v>98</v>
      </c>
      <c r="D100" s="206"/>
    </row>
    <row r="101" spans="3:4" ht="15.75" x14ac:dyDescent="0.25">
      <c r="C101" s="205">
        <v>99</v>
      </c>
      <c r="D101" s="206"/>
    </row>
    <row r="102" spans="3:4" ht="15.75" x14ac:dyDescent="0.25">
      <c r="C102" s="205">
        <v>100</v>
      </c>
      <c r="D102" s="206"/>
    </row>
  </sheetData>
  <mergeCells count="1">
    <mergeCell ref="A1:D1"/>
  </mergeCells>
  <printOptions horizontalCentered="1"/>
  <pageMargins left="0.19685039370078741" right="0.19685039370078741" top="0.19685039370078741" bottom="0.19685039370078741" header="0.31496062992125984" footer="0.31496062992125984"/>
  <pageSetup paperSize="9" scale="4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8"/>
  <sheetViews>
    <sheetView zoomScaleNormal="100" zoomScaleSheetLayoutView="100" workbookViewId="0">
      <selection activeCell="I25" sqref="I25"/>
    </sheetView>
  </sheetViews>
  <sheetFormatPr defaultRowHeight="15" x14ac:dyDescent="0.2"/>
  <cols>
    <col min="3" max="3" width="25" customWidth="1"/>
    <col min="4" max="4" width="12.77734375" customWidth="1"/>
    <col min="5" max="5" width="10" customWidth="1"/>
    <col min="6" max="6" width="4.5546875" customWidth="1"/>
    <col min="10" max="10" width="7.88671875" customWidth="1"/>
    <col min="11" max="11" width="19.33203125" customWidth="1"/>
  </cols>
  <sheetData>
    <row r="1" spans="1:11" ht="87.75" customHeight="1" x14ac:dyDescent="0.2">
      <c r="A1" s="292"/>
      <c r="B1" s="292"/>
      <c r="C1" s="292"/>
      <c r="D1" s="292"/>
      <c r="E1" s="292"/>
      <c r="F1" s="292"/>
      <c r="G1" s="292"/>
      <c r="H1" s="292"/>
      <c r="I1" s="292"/>
      <c r="J1" s="292"/>
      <c r="K1" s="292"/>
    </row>
    <row r="2" spans="1:11" ht="48" customHeight="1" x14ac:dyDescent="0.2">
      <c r="A2" s="293" t="s">
        <v>152</v>
      </c>
      <c r="B2" s="294"/>
      <c r="C2" s="294"/>
      <c r="D2" s="294"/>
      <c r="E2" s="294"/>
      <c r="F2" s="294"/>
      <c r="G2" s="294"/>
      <c r="H2" s="294"/>
      <c r="I2" s="294"/>
      <c r="J2" s="294"/>
      <c r="K2" s="295"/>
    </row>
    <row r="3" spans="1:11" ht="23.25" customHeight="1" x14ac:dyDescent="0.35">
      <c r="A3" s="296" t="s">
        <v>10</v>
      </c>
      <c r="B3" s="297"/>
      <c r="C3" s="298"/>
      <c r="D3" s="299"/>
      <c r="E3" s="299"/>
      <c r="F3" s="299"/>
      <c r="G3" s="299"/>
      <c r="H3" s="299"/>
      <c r="I3" s="299"/>
      <c r="J3" s="299"/>
      <c r="K3" s="299"/>
    </row>
    <row r="4" spans="1:11" ht="23.25" customHeight="1" x14ac:dyDescent="0.2">
      <c r="A4" s="300" t="s">
        <v>12</v>
      </c>
      <c r="B4" s="300"/>
      <c r="C4" s="300"/>
      <c r="D4" s="302"/>
      <c r="E4" s="303"/>
      <c r="F4" s="303"/>
      <c r="G4" s="303"/>
      <c r="H4" s="303"/>
      <c r="I4" s="303"/>
      <c r="J4" s="303"/>
      <c r="K4" s="303"/>
    </row>
    <row r="5" spans="1:11" ht="23.25" customHeight="1" x14ac:dyDescent="0.2">
      <c r="A5" s="301"/>
      <c r="B5" s="301"/>
      <c r="C5" s="301"/>
      <c r="D5" s="303"/>
      <c r="E5" s="303"/>
      <c r="F5" s="303"/>
      <c r="G5" s="303"/>
      <c r="H5" s="303"/>
      <c r="I5" s="303"/>
      <c r="J5" s="303"/>
      <c r="K5" s="303"/>
    </row>
    <row r="6" spans="1:11" ht="23.25" customHeight="1" x14ac:dyDescent="0.35">
      <c r="A6" s="300" t="s">
        <v>137</v>
      </c>
      <c r="B6" s="300"/>
      <c r="C6" s="300"/>
      <c r="D6" s="304"/>
      <c r="E6" s="304"/>
      <c r="F6" s="304"/>
      <c r="G6" s="304"/>
      <c r="H6" s="304"/>
      <c r="I6" s="304"/>
      <c r="J6" s="304"/>
      <c r="K6" s="304"/>
    </row>
    <row r="7" spans="1:11" ht="23.25" customHeight="1" x14ac:dyDescent="0.35">
      <c r="A7" s="300" t="s">
        <v>347</v>
      </c>
      <c r="B7" s="300"/>
      <c r="C7" s="300"/>
      <c r="D7" s="305"/>
      <c r="E7" s="305"/>
      <c r="F7" s="305"/>
      <c r="G7" s="305"/>
      <c r="H7" s="305"/>
      <c r="I7" s="305"/>
      <c r="J7" s="305"/>
      <c r="K7" s="305"/>
    </row>
    <row r="8" spans="1:11" ht="23.25" customHeight="1" x14ac:dyDescent="0.35">
      <c r="A8" s="300" t="s">
        <v>6</v>
      </c>
      <c r="B8" s="300"/>
      <c r="C8" s="300"/>
      <c r="D8" s="306"/>
      <c r="E8" s="306"/>
      <c r="F8" s="306"/>
      <c r="G8" s="306"/>
      <c r="H8" s="306"/>
      <c r="I8" s="306"/>
      <c r="J8" s="306"/>
      <c r="K8" s="306"/>
    </row>
    <row r="9" spans="1:11" ht="23.25" customHeight="1" x14ac:dyDescent="0.35">
      <c r="A9" s="300" t="s">
        <v>138</v>
      </c>
      <c r="B9" s="300"/>
      <c r="C9" s="300"/>
      <c r="D9" s="308" t="s">
        <v>139</v>
      </c>
      <c r="E9" s="309"/>
      <c r="F9" s="309"/>
      <c r="G9" s="309"/>
      <c r="H9" s="309"/>
      <c r="I9" s="309"/>
      <c r="J9" s="309"/>
      <c r="K9" s="310"/>
    </row>
    <row r="10" spans="1:11" ht="23.25" customHeight="1" x14ac:dyDescent="0.2">
      <c r="A10" s="307"/>
      <c r="B10" s="307"/>
      <c r="C10" s="307"/>
      <c r="D10" s="311" t="s">
        <v>338</v>
      </c>
      <c r="E10" s="311"/>
      <c r="F10" s="311"/>
      <c r="G10" s="312" t="s">
        <v>354</v>
      </c>
      <c r="H10" s="313"/>
      <c r="I10" s="313"/>
      <c r="J10" s="313"/>
      <c r="K10" s="194" t="s">
        <v>357</v>
      </c>
    </row>
    <row r="11" spans="1:11" ht="23.25" customHeight="1" x14ac:dyDescent="0.35">
      <c r="A11" s="300" t="s">
        <v>140</v>
      </c>
      <c r="B11" s="300"/>
      <c r="C11" s="300"/>
      <c r="D11" s="305"/>
      <c r="E11" s="305"/>
      <c r="F11" s="305"/>
      <c r="G11" s="305"/>
      <c r="H11" s="305"/>
      <c r="I11" s="305"/>
      <c r="J11" s="305"/>
      <c r="K11" s="305"/>
    </row>
    <row r="12" spans="1:11" x14ac:dyDescent="0.2">
      <c r="A12" s="103"/>
      <c r="B12" s="103"/>
      <c r="C12" s="103"/>
      <c r="D12" s="103"/>
      <c r="E12" s="103"/>
      <c r="F12" s="103"/>
      <c r="G12" s="103"/>
      <c r="H12" s="103"/>
      <c r="I12" s="103"/>
      <c r="J12" s="103"/>
      <c r="K12" s="103"/>
    </row>
    <row r="13" spans="1:11" ht="12.75" customHeight="1" x14ac:dyDescent="0.2">
      <c r="A13" s="104" t="s">
        <v>141</v>
      </c>
      <c r="B13" s="104"/>
      <c r="C13" s="104"/>
      <c r="D13" s="104"/>
      <c r="E13" s="104"/>
      <c r="F13" s="104"/>
      <c r="G13" s="104"/>
      <c r="H13" s="104"/>
      <c r="I13" s="104"/>
      <c r="J13" s="104"/>
      <c r="K13" s="104"/>
    </row>
    <row r="14" spans="1:11" ht="12.75" customHeight="1" x14ac:dyDescent="0.2">
      <c r="A14" s="316" t="s">
        <v>142</v>
      </c>
      <c r="B14" s="316"/>
      <c r="C14" s="316"/>
      <c r="D14" s="105" t="s">
        <v>143</v>
      </c>
      <c r="E14" s="105" t="s">
        <v>144</v>
      </c>
      <c r="F14" s="103"/>
      <c r="G14" s="317" t="s">
        <v>146</v>
      </c>
      <c r="H14" s="318"/>
      <c r="I14" s="318"/>
      <c r="J14" s="318"/>
      <c r="K14" s="319"/>
    </row>
    <row r="15" spans="1:11" ht="18" x14ac:dyDescent="0.25">
      <c r="A15" s="314" t="s">
        <v>311</v>
      </c>
      <c r="B15" s="314"/>
      <c r="C15" s="314"/>
      <c r="D15" s="106">
        <f>COUNT('Eco Aluminium External Shutters'!C9:C23)</f>
        <v>0</v>
      </c>
      <c r="E15" s="186" t="s">
        <v>145</v>
      </c>
      <c r="F15" s="103"/>
      <c r="G15" s="315" t="s">
        <v>355</v>
      </c>
      <c r="H15" s="315"/>
      <c r="I15" s="315"/>
      <c r="J15" s="315"/>
      <c r="K15" s="315"/>
    </row>
    <row r="16" spans="1:11" ht="18" hidden="1" x14ac:dyDescent="0.25">
      <c r="A16" s="314" t="s">
        <v>159</v>
      </c>
      <c r="B16" s="314"/>
      <c r="C16" s="314"/>
      <c r="D16" s="106">
        <f>COUNT('Aluminium Screen'!C10:C20)</f>
        <v>0</v>
      </c>
      <c r="E16" s="185" t="s">
        <v>147</v>
      </c>
      <c r="F16" s="103"/>
      <c r="G16" s="315" t="s">
        <v>341</v>
      </c>
      <c r="H16" s="315"/>
      <c r="I16" s="315"/>
      <c r="J16" s="315"/>
      <c r="K16" s="315"/>
    </row>
    <row r="18" spans="7:11" x14ac:dyDescent="0.2">
      <c r="G18" s="289" t="s">
        <v>339</v>
      </c>
      <c r="H18" s="290"/>
      <c r="I18" s="290"/>
      <c r="J18" s="291"/>
      <c r="K18" s="207">
        <v>1</v>
      </c>
    </row>
  </sheetData>
  <protectedRanges>
    <protectedRange sqref="D4" name="Range8"/>
    <protectedRange sqref="D11 D3 D5:D7" name="Range5"/>
    <protectedRange sqref="D9" name="Range1"/>
    <protectedRange sqref="D8" name="Range4"/>
    <protectedRange sqref="J15:J16" name="Range6_1"/>
    <protectedRange sqref="J15:J16" name="Range7"/>
  </protectedRanges>
  <mergeCells count="25">
    <mergeCell ref="D11:K11"/>
    <mergeCell ref="D10:F10"/>
    <mergeCell ref="G10:J10"/>
    <mergeCell ref="A16:C16"/>
    <mergeCell ref="G16:K16"/>
    <mergeCell ref="A14:C14"/>
    <mergeCell ref="A15:C15"/>
    <mergeCell ref="G15:K15"/>
    <mergeCell ref="G14:K14"/>
    <mergeCell ref="G18:J18"/>
    <mergeCell ref="A1:K1"/>
    <mergeCell ref="A2:K2"/>
    <mergeCell ref="A3:C3"/>
    <mergeCell ref="D3:K3"/>
    <mergeCell ref="A4:C5"/>
    <mergeCell ref="D4:K5"/>
    <mergeCell ref="A6:C6"/>
    <mergeCell ref="D6:K6"/>
    <mergeCell ref="A7:C7"/>
    <mergeCell ref="D7:K7"/>
    <mergeCell ref="A8:C8"/>
    <mergeCell ref="D8:K8"/>
    <mergeCell ref="A9:C10"/>
    <mergeCell ref="D9:K9"/>
    <mergeCell ref="A11:C11"/>
  </mergeCells>
  <dataValidations count="4">
    <dataValidation type="list" allowBlank="1" showInputMessage="1" showErrorMessage="1" errorTitle="Invalid Entry" error="Invalid Entry" sqref="G16:K16" xr:uid="{00000000-0002-0000-0100-000000000000}">
      <formula1>Pacific_Sales_Coordinator</formula1>
    </dataValidation>
    <dataValidation type="list" errorStyle="information" allowBlank="1" showErrorMessage="1" errorTitle="Alert" error="Warning - Non Default Delivery Address" sqref="D4:K5" xr:uid="{00000000-0002-0000-0100-000001000000}">
      <formula1>Delivery_Address</formula1>
    </dataValidation>
    <dataValidation type="list" errorStyle="information" allowBlank="1" showErrorMessage="1" errorTitle="Alert" error="Warning - Non Default Store Name" sqref="D3:K3" xr:uid="{00000000-0002-0000-0100-000002000000}">
      <formula1>Store_Name</formula1>
    </dataValidation>
    <dataValidation type="list" allowBlank="1" showInputMessage="1" showErrorMessage="1" errorTitle="Invalid Entry" error="Invalid Entry" sqref="G15:K15" xr:uid="{6345F944-CDB6-4D8C-B169-A25BF8C0FD3E}">
      <formula1>"Bailey Fryc, Hana Ormiston, Immogen Botelho, Jessica Frost"</formula1>
    </dataValidation>
  </dataValidations>
  <hyperlinks>
    <hyperlink ref="G10" r:id="rId1" xr:uid="{00000000-0004-0000-0100-000000000000}"/>
  </hyperlinks>
  <printOptions horizontalCentered="1"/>
  <pageMargins left="0.19685039370078741" right="0.19685039370078741" top="0.39370078740157483" bottom="0.39370078740157483" header="0.31496062992125984" footer="0.31496062992125984"/>
  <pageSetup paperSize="9" scale="97"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pageSetUpPr fitToPage="1"/>
  </sheetPr>
  <dimension ref="A1:FZ57"/>
  <sheetViews>
    <sheetView showGridLines="0" tabSelected="1" view="pageBreakPreview" topLeftCell="I1" zoomScale="85" zoomScaleNormal="72" zoomScaleSheetLayoutView="85" zoomScalePageLayoutView="85" workbookViewId="0">
      <selection activeCell="N1" sqref="N1:X1"/>
    </sheetView>
  </sheetViews>
  <sheetFormatPr defaultRowHeight="15" x14ac:dyDescent="0.2"/>
  <cols>
    <col min="1" max="1" width="5.33203125" style="7" customWidth="1"/>
    <col min="2" max="2" width="17.109375" style="7" customWidth="1"/>
    <col min="3" max="3" width="14.77734375" style="7" customWidth="1"/>
    <col min="4" max="7" width="13.21875" style="7" customWidth="1"/>
    <col min="8" max="8" width="37.77734375" style="7" customWidth="1"/>
    <col min="9" max="9" width="36" style="7" customWidth="1"/>
    <col min="10" max="10" width="10.77734375" style="7" customWidth="1"/>
    <col min="11" max="11" width="17.33203125" style="7" customWidth="1"/>
    <col min="12" max="12" width="17.44140625" style="7" customWidth="1"/>
    <col min="13" max="13" width="23.88671875" style="7" customWidth="1"/>
    <col min="14" max="14" width="14.88671875" style="7" customWidth="1"/>
    <col min="15" max="15" width="17.88671875" style="7" customWidth="1"/>
    <col min="16" max="17" width="15.44140625" style="7" customWidth="1"/>
    <col min="18" max="18" width="17.5546875" style="7" customWidth="1"/>
    <col min="19" max="19" width="20.21875" style="7" customWidth="1"/>
    <col min="20" max="20" width="10.88671875" style="7" customWidth="1"/>
    <col min="21" max="23" width="6.77734375" style="7" customWidth="1"/>
    <col min="24" max="24" width="14" style="7" customWidth="1"/>
    <col min="25" max="25" width="15.21875" style="7" customWidth="1"/>
    <col min="26" max="26" width="17.77734375" style="7" customWidth="1"/>
    <col min="27" max="27" width="11.6640625" style="7" customWidth="1"/>
    <col min="28" max="28" width="8.88671875" style="19" customWidth="1"/>
    <col min="29" max="31" width="8.88671875" style="19" hidden="1" customWidth="1"/>
    <col min="32" max="32" width="31.109375" style="7" hidden="1" customWidth="1"/>
    <col min="33" max="33" width="29.5546875" style="7" hidden="1" customWidth="1"/>
    <col min="34" max="34" width="20.44140625" style="7" hidden="1" customWidth="1"/>
    <col min="35" max="35" width="33.44140625" style="7" hidden="1" customWidth="1"/>
    <col min="36" max="36" width="28" style="7" hidden="1" customWidth="1"/>
    <col min="37" max="37" width="14.5546875" style="7" hidden="1" customWidth="1"/>
    <col min="38" max="38" width="17.33203125" style="7" hidden="1" customWidth="1"/>
    <col min="39" max="39" width="10.88671875" style="7" hidden="1" customWidth="1"/>
    <col min="40" max="40" width="12.77734375" style="7" hidden="1" customWidth="1"/>
    <col min="41" max="41" width="16.33203125" style="7" hidden="1" customWidth="1"/>
    <col min="42" max="42" width="17.33203125" style="7" hidden="1" customWidth="1"/>
    <col min="43" max="43" width="19.44140625" style="7" hidden="1" customWidth="1"/>
    <col min="44" max="44" width="13.77734375" style="7" hidden="1" customWidth="1"/>
    <col min="45" max="45" width="23.77734375" style="7" hidden="1" customWidth="1"/>
    <col min="46" max="46" width="22.109375" style="7" hidden="1" customWidth="1"/>
    <col min="47" max="47" width="13.5546875" style="7" hidden="1" customWidth="1"/>
    <col min="48" max="49" width="16.5546875" style="19" hidden="1" customWidth="1"/>
    <col min="50" max="51" width="8.88671875" style="19" hidden="1" customWidth="1"/>
    <col min="52" max="52" width="25.5546875" style="19" hidden="1" customWidth="1"/>
    <col min="53" max="53" width="33.109375" style="19" hidden="1" customWidth="1"/>
    <col min="54" max="54" width="26" style="7" hidden="1" customWidth="1"/>
    <col min="55" max="55" width="31.33203125" style="7" hidden="1" customWidth="1"/>
    <col min="56" max="56" width="28.5546875" style="7" hidden="1" customWidth="1"/>
    <col min="57" max="57" width="26" style="7" hidden="1" customWidth="1"/>
    <col min="58" max="58" width="30.88671875" style="7" hidden="1" customWidth="1"/>
    <col min="59" max="59" width="26.109375" style="124" hidden="1" customWidth="1"/>
    <col min="60" max="60" width="8.88671875" style="7" hidden="1" customWidth="1"/>
    <col min="61" max="61" width="16.6640625" style="19" hidden="1" customWidth="1"/>
    <col min="62" max="62" width="29" style="7" hidden="1" customWidth="1"/>
    <col min="63" max="63" width="18" style="19" hidden="1" customWidth="1"/>
    <col min="64" max="64" width="13.21875" style="19" hidden="1" customWidth="1"/>
    <col min="65" max="66" width="8.88671875" style="19" hidden="1" customWidth="1"/>
    <col min="67" max="67" width="13.6640625" style="19" hidden="1" customWidth="1"/>
    <col min="68" max="70" width="8.88671875" style="7" hidden="1" customWidth="1"/>
    <col min="71" max="73" width="8.88671875" style="19" hidden="1" customWidth="1"/>
    <col min="74" max="74" width="16.6640625" style="7" hidden="1" customWidth="1"/>
    <col min="75" max="75" width="18.21875" style="19" hidden="1" customWidth="1"/>
    <col min="76" max="76" width="8.88671875" style="19" hidden="1" customWidth="1"/>
    <col min="77" max="77" width="16.5546875" style="7" hidden="1" customWidth="1"/>
    <col min="78" max="78" width="8.88671875" style="7" hidden="1" customWidth="1"/>
    <col min="79" max="79" width="18.33203125" style="7" hidden="1" customWidth="1"/>
    <col min="80" max="80" width="8.88671875" style="7" hidden="1" customWidth="1"/>
    <col min="81" max="81" width="31.6640625" style="7" hidden="1" customWidth="1"/>
    <col min="82" max="82" width="31" style="7" hidden="1" customWidth="1"/>
    <col min="83" max="83" width="32.77734375" style="7" hidden="1" customWidth="1"/>
    <col min="84" max="86" width="8.88671875" style="7" hidden="1" customWidth="1"/>
    <col min="87" max="88" width="34.21875" style="7" hidden="1" customWidth="1"/>
    <col min="89" max="89" width="24.33203125" style="7" hidden="1" customWidth="1"/>
    <col min="90" max="90" width="19.77734375" style="7" hidden="1" customWidth="1"/>
    <col min="91" max="91" width="8.88671875" style="7" hidden="1" customWidth="1"/>
    <col min="92" max="92" width="23.77734375" style="7" hidden="1" customWidth="1"/>
    <col min="93" max="94" width="29.77734375" style="7" hidden="1" customWidth="1"/>
    <col min="95" max="95" width="8.88671875" style="7" hidden="1" customWidth="1"/>
    <col min="96" max="96" width="13.21875" style="7" hidden="1" customWidth="1"/>
    <col min="97" max="97" width="16.44140625" style="7" hidden="1" customWidth="1"/>
    <col min="98" max="98" width="30.44140625" style="7" hidden="1" customWidth="1"/>
    <col min="99" max="99" width="18.33203125" style="7" hidden="1" customWidth="1"/>
    <col min="100" max="100" width="12.77734375" style="7" hidden="1" customWidth="1"/>
    <col min="101" max="102" width="20.88671875" style="7" hidden="1" customWidth="1"/>
    <col min="103" max="106" width="23.77734375" style="7" hidden="1" customWidth="1"/>
    <col min="107" max="107" width="23.6640625" style="7" hidden="1" customWidth="1"/>
    <col min="108" max="108" width="10.77734375" style="7" hidden="1" customWidth="1"/>
    <col min="109" max="110" width="12.5546875" style="7" hidden="1" customWidth="1"/>
    <col min="111" max="111" width="16.33203125" style="7" hidden="1" customWidth="1"/>
    <col min="112" max="112" width="20.44140625" style="7" hidden="1" customWidth="1"/>
    <col min="113" max="116" width="20" style="7" hidden="1" customWidth="1"/>
    <col min="117" max="117" width="15.109375" style="7" hidden="1" customWidth="1"/>
    <col min="118" max="118" width="8.88671875" style="7" hidden="1" customWidth="1"/>
    <col min="119" max="119" width="15.77734375" style="7" hidden="1" customWidth="1"/>
    <col min="120" max="120" width="21.109375" style="7" hidden="1" customWidth="1"/>
    <col min="121" max="121" width="18.6640625" style="7" hidden="1" customWidth="1"/>
    <col min="122" max="122" width="8.88671875" style="7" hidden="1" customWidth="1"/>
    <col min="123" max="123" width="19.33203125" style="7" hidden="1" customWidth="1"/>
    <col min="124" max="124" width="12.77734375" style="7" hidden="1" customWidth="1"/>
    <col min="125" max="125" width="14.44140625" style="7" hidden="1" customWidth="1"/>
    <col min="126" max="126" width="17.5546875" style="7" hidden="1" customWidth="1"/>
    <col min="127" max="128" width="17.6640625" style="7" hidden="1" customWidth="1"/>
    <col min="129" max="129" width="8.88671875" style="7" hidden="1" customWidth="1"/>
    <col min="130" max="130" width="28" style="7" hidden="1" customWidth="1"/>
    <col min="131" max="131" width="24.88671875" style="7" hidden="1" customWidth="1"/>
    <col min="132" max="137" width="8.88671875" style="7" hidden="1" customWidth="1"/>
    <col min="138" max="138" width="10.44140625" style="7" hidden="1" customWidth="1"/>
    <col min="139" max="139" width="34" style="7" hidden="1" customWidth="1"/>
    <col min="140" max="141" width="8.88671875" style="7" hidden="1" customWidth="1"/>
    <col min="142" max="142" width="38.77734375" style="7" hidden="1" customWidth="1"/>
    <col min="143" max="145" width="21.21875" style="7" hidden="1" customWidth="1"/>
    <col min="146" max="146" width="8.88671875" style="7" hidden="1" customWidth="1"/>
    <col min="147" max="147" width="13.88671875" style="7" hidden="1" customWidth="1"/>
    <col min="148" max="151" width="8.88671875" style="7" hidden="1" customWidth="1"/>
    <col min="152" max="159" width="29.88671875" style="7" hidden="1" customWidth="1"/>
    <col min="160" max="182" width="8.88671875" style="7" hidden="1" customWidth="1"/>
    <col min="183" max="16384" width="8.88671875" style="7"/>
  </cols>
  <sheetData>
    <row r="1" spans="1:159" ht="37.5" customHeight="1" x14ac:dyDescent="0.2">
      <c r="A1" s="155"/>
      <c r="B1" s="156"/>
      <c r="C1" s="156"/>
      <c r="D1" s="157"/>
      <c r="E1" s="158"/>
      <c r="F1" s="158"/>
      <c r="G1" s="348" t="s">
        <v>449</v>
      </c>
      <c r="H1" s="348"/>
      <c r="I1" s="349"/>
      <c r="J1" s="151"/>
      <c r="K1" s="150"/>
      <c r="L1" s="345" t="s">
        <v>10</v>
      </c>
      <c r="M1" s="346"/>
      <c r="N1" s="394"/>
      <c r="O1" s="395"/>
      <c r="P1" s="395"/>
      <c r="Q1" s="395"/>
      <c r="R1" s="395"/>
      <c r="S1" s="395"/>
      <c r="T1" s="395"/>
      <c r="U1" s="395"/>
      <c r="V1" s="395"/>
      <c r="W1" s="395"/>
      <c r="X1" s="396"/>
      <c r="Y1" s="170"/>
      <c r="Z1" s="237" t="s">
        <v>309</v>
      </c>
      <c r="AA1" s="144" t="s">
        <v>21</v>
      </c>
    </row>
    <row r="2" spans="1:159" ht="24.75" customHeight="1" x14ac:dyDescent="0.2">
      <c r="A2" s="159"/>
      <c r="B2" s="4"/>
      <c r="C2" s="4"/>
      <c r="D2" s="9"/>
      <c r="E2"/>
      <c r="F2" s="9"/>
      <c r="G2" s="350"/>
      <c r="H2" s="350"/>
      <c r="I2" s="351"/>
      <c r="J2" s="152"/>
      <c r="K2" s="208"/>
      <c r="L2" s="354" t="s">
        <v>5</v>
      </c>
      <c r="M2" s="355"/>
      <c r="N2" s="397"/>
      <c r="O2" s="398"/>
      <c r="P2" s="398"/>
      <c r="Q2" s="398"/>
      <c r="R2" s="398"/>
      <c r="S2" s="398"/>
      <c r="T2" s="398"/>
      <c r="U2" s="398"/>
      <c r="V2" s="398"/>
      <c r="W2" s="398"/>
      <c r="X2" s="399"/>
      <c r="Y2" s="227"/>
      <c r="Z2" s="10"/>
    </row>
    <row r="3" spans="1:159" ht="23.25" customHeight="1" x14ac:dyDescent="0.2">
      <c r="A3" s="160"/>
      <c r="B3" s="5"/>
      <c r="C3" s="6"/>
      <c r="D3" s="9"/>
      <c r="E3" s="9"/>
      <c r="F3" s="9"/>
      <c r="G3" s="352"/>
      <c r="H3" s="352"/>
      <c r="I3" s="353"/>
      <c r="J3" s="153"/>
      <c r="K3" s="150"/>
      <c r="L3" s="345" t="s">
        <v>12</v>
      </c>
      <c r="M3" s="346"/>
      <c r="N3" s="400"/>
      <c r="O3" s="401"/>
      <c r="P3" s="401"/>
      <c r="Q3" s="401"/>
      <c r="R3" s="401"/>
      <c r="S3" s="401"/>
      <c r="T3" s="401"/>
      <c r="U3" s="401"/>
      <c r="V3" s="401"/>
      <c r="W3" s="401"/>
      <c r="X3" s="402"/>
      <c r="Y3" s="228"/>
      <c r="Z3" s="230" t="s">
        <v>11</v>
      </c>
      <c r="AA3" s="169">
        <f>SUM(AA9:AA23)</f>
        <v>0</v>
      </c>
      <c r="AE3" s="195"/>
    </row>
    <row r="4" spans="1:159" ht="23.25" customHeight="1" x14ac:dyDescent="0.2">
      <c r="A4" s="347" t="s">
        <v>150</v>
      </c>
      <c r="B4" s="347"/>
      <c r="C4" s="356"/>
      <c r="D4" s="357"/>
      <c r="E4" s="357"/>
      <c r="F4" s="357"/>
      <c r="G4" s="357"/>
      <c r="H4" s="357"/>
      <c r="I4" s="358"/>
      <c r="J4" s="152"/>
      <c r="K4" s="208"/>
      <c r="L4" s="354" t="s">
        <v>348</v>
      </c>
      <c r="M4" s="355"/>
      <c r="N4" s="397"/>
      <c r="O4" s="398"/>
      <c r="P4" s="398"/>
      <c r="Q4" s="398"/>
      <c r="R4" s="398"/>
      <c r="S4" s="398"/>
      <c r="T4" s="398"/>
      <c r="U4" s="398"/>
      <c r="V4" s="398"/>
      <c r="W4" s="398"/>
      <c r="X4" s="399"/>
      <c r="Y4" s="229"/>
      <c r="Z4" s="231" t="s">
        <v>153</v>
      </c>
      <c r="AA4" s="183">
        <f>SUM(F9:F23)</f>
        <v>0</v>
      </c>
      <c r="AE4" s="196"/>
    </row>
    <row r="5" spans="1:159" ht="23.25" customHeight="1" x14ac:dyDescent="0.2">
      <c r="A5" s="161" t="s">
        <v>356</v>
      </c>
      <c r="B5" s="162"/>
      <c r="C5" s="163"/>
      <c r="D5" s="164"/>
      <c r="E5" s="165"/>
      <c r="F5" s="164"/>
      <c r="G5" s="166"/>
      <c r="H5" s="166"/>
      <c r="I5" s="167"/>
      <c r="J5" s="154"/>
      <c r="K5" s="208"/>
      <c r="L5" s="354" t="s">
        <v>6</v>
      </c>
      <c r="M5" s="355"/>
      <c r="N5" s="403"/>
      <c r="O5" s="404"/>
      <c r="P5" s="404"/>
      <c r="Q5" s="404"/>
      <c r="R5" s="404"/>
      <c r="S5" s="404"/>
      <c r="T5" s="404"/>
      <c r="U5" s="404"/>
      <c r="V5" s="404"/>
      <c r="W5" s="404"/>
      <c r="X5" s="405"/>
      <c r="Y5" s="227"/>
      <c r="Z5" s="10"/>
      <c r="AI5" s="7" t="s">
        <v>545</v>
      </c>
    </row>
    <row r="6" spans="1:159" x14ac:dyDescent="0.2">
      <c r="A6" s="359" t="s">
        <v>313</v>
      </c>
      <c r="B6" s="360"/>
      <c r="C6" s="360"/>
      <c r="D6" s="360"/>
      <c r="E6" s="360"/>
      <c r="F6" s="360"/>
      <c r="G6" s="360"/>
      <c r="H6" s="360"/>
      <c r="I6" s="360"/>
      <c r="J6" s="233" t="s">
        <v>339</v>
      </c>
      <c r="K6" s="235"/>
      <c r="L6" s="236"/>
      <c r="AA6" s="168"/>
      <c r="AK6" s="7" t="s">
        <v>26</v>
      </c>
      <c r="AL6" s="7" t="s">
        <v>458</v>
      </c>
      <c r="DZ6" s="7" t="s">
        <v>502</v>
      </c>
    </row>
    <row r="7" spans="1:159" ht="15.75" thickBot="1" x14ac:dyDescent="0.25">
      <c r="A7" s="177"/>
      <c r="B7" s="389" t="s">
        <v>156</v>
      </c>
      <c r="C7" s="389"/>
      <c r="D7" s="389"/>
      <c r="E7" s="389"/>
      <c r="F7" s="389"/>
      <c r="G7" s="389"/>
      <c r="H7" s="389"/>
      <c r="I7" s="389"/>
      <c r="J7" s="234" t="s">
        <v>557</v>
      </c>
      <c r="K7" s="178" t="s">
        <v>312</v>
      </c>
      <c r="L7" s="365" t="s">
        <v>310</v>
      </c>
      <c r="M7" s="365"/>
      <c r="N7" s="365"/>
      <c r="O7" s="365"/>
      <c r="P7" s="365"/>
      <c r="Q7" s="365"/>
      <c r="R7" s="365"/>
      <c r="S7" s="365"/>
      <c r="T7" s="365"/>
      <c r="U7" s="365"/>
      <c r="V7" s="365"/>
      <c r="W7" s="366"/>
      <c r="X7" s="178" t="s">
        <v>312</v>
      </c>
      <c r="AI7" s="7" t="s">
        <v>24</v>
      </c>
      <c r="AK7" s="7" t="s">
        <v>30</v>
      </c>
      <c r="AL7" s="7" t="s">
        <v>26</v>
      </c>
      <c r="AP7" s="7" t="s">
        <v>450</v>
      </c>
      <c r="BD7" s="7" t="s">
        <v>518</v>
      </c>
      <c r="BV7" s="132" t="s">
        <v>333</v>
      </c>
      <c r="DZ7" s="7" t="s">
        <v>501</v>
      </c>
    </row>
    <row r="8" spans="1:159" ht="46.9" customHeight="1" thickTop="1" thickBot="1" x14ac:dyDescent="0.25">
      <c r="A8" s="213" t="s">
        <v>3</v>
      </c>
      <c r="B8" s="214" t="s">
        <v>337</v>
      </c>
      <c r="C8" s="214" t="s">
        <v>14</v>
      </c>
      <c r="D8" s="214" t="s">
        <v>15</v>
      </c>
      <c r="E8" s="214" t="s">
        <v>151</v>
      </c>
      <c r="F8" s="214" t="s">
        <v>155</v>
      </c>
      <c r="G8" s="214" t="s">
        <v>1</v>
      </c>
      <c r="H8" s="214" t="s">
        <v>314</v>
      </c>
      <c r="I8" s="215" t="s">
        <v>7</v>
      </c>
      <c r="J8" s="232" t="s">
        <v>8</v>
      </c>
      <c r="K8" s="217" t="s">
        <v>353</v>
      </c>
      <c r="L8" s="217" t="s">
        <v>13</v>
      </c>
      <c r="M8" s="218" t="s">
        <v>2</v>
      </c>
      <c r="N8" s="218" t="s">
        <v>4</v>
      </c>
      <c r="O8" s="218" t="s">
        <v>9</v>
      </c>
      <c r="P8" s="218" t="s">
        <v>460</v>
      </c>
      <c r="Q8" s="218" t="s">
        <v>461</v>
      </c>
      <c r="R8" s="218" t="s">
        <v>462</v>
      </c>
      <c r="S8" s="218" t="s">
        <v>463</v>
      </c>
      <c r="T8" s="218" t="s">
        <v>157</v>
      </c>
      <c r="U8" s="218" t="s">
        <v>16</v>
      </c>
      <c r="V8" s="218" t="s">
        <v>17</v>
      </c>
      <c r="W8" s="218" t="s">
        <v>18</v>
      </c>
      <c r="X8" s="216" t="s">
        <v>378</v>
      </c>
      <c r="Y8" s="216" t="s">
        <v>373</v>
      </c>
      <c r="Z8" s="216" t="s">
        <v>374</v>
      </c>
      <c r="AA8" s="219" t="s">
        <v>0</v>
      </c>
      <c r="AB8" s="197"/>
      <c r="AC8" s="197"/>
      <c r="AD8" s="197"/>
      <c r="AE8" s="197"/>
      <c r="AF8" s="7" t="s">
        <v>550</v>
      </c>
      <c r="AG8" s="7" t="s">
        <v>549</v>
      </c>
      <c r="AH8" s="7" t="s">
        <v>528</v>
      </c>
      <c r="AI8" s="7" t="s">
        <v>527</v>
      </c>
      <c r="AJ8" s="7" t="s">
        <v>526</v>
      </c>
      <c r="AK8" s="7" t="s">
        <v>457</v>
      </c>
      <c r="AL8" s="7" t="s">
        <v>456</v>
      </c>
      <c r="AM8" s="7" t="s">
        <v>452</v>
      </c>
      <c r="AN8" s="7" t="s">
        <v>453</v>
      </c>
      <c r="AO8" s="7" t="s">
        <v>358</v>
      </c>
      <c r="AP8" s="7" t="str">
        <f>$AN$8</f>
        <v>FlushBoltNA</v>
      </c>
      <c r="AQ8" s="7" t="s">
        <v>30</v>
      </c>
      <c r="AR8" s="7" t="s">
        <v>454</v>
      </c>
      <c r="AS8" s="7" t="s">
        <v>455</v>
      </c>
      <c r="AT8" s="7" t="s">
        <v>374</v>
      </c>
      <c r="AU8" s="7" t="s">
        <v>324</v>
      </c>
      <c r="AV8" s="108"/>
      <c r="AW8" s="108"/>
      <c r="AX8" s="108"/>
      <c r="AY8" s="108"/>
      <c r="AZ8" s="108" t="s">
        <v>242</v>
      </c>
      <c r="BA8" s="108" t="s">
        <v>4</v>
      </c>
      <c r="BB8" s="123" t="s">
        <v>254</v>
      </c>
      <c r="BC8" s="123" t="s">
        <v>255</v>
      </c>
      <c r="BD8" s="123" t="s">
        <v>256</v>
      </c>
      <c r="BE8" s="128" t="s">
        <v>262</v>
      </c>
      <c r="BF8" s="129" t="s">
        <v>259</v>
      </c>
      <c r="BG8" s="125" t="s">
        <v>260</v>
      </c>
      <c r="BH8" s="125" t="s">
        <v>261</v>
      </c>
      <c r="BI8" s="190" t="s">
        <v>269</v>
      </c>
      <c r="BJ8" s="190" t="s">
        <v>270</v>
      </c>
      <c r="BK8" s="191" t="s">
        <v>317</v>
      </c>
      <c r="BL8" s="190" t="s">
        <v>318</v>
      </c>
      <c r="BM8" s="190" t="s">
        <v>332</v>
      </c>
      <c r="BN8" s="190" t="s">
        <v>103</v>
      </c>
      <c r="BO8" s="187" t="s">
        <v>325</v>
      </c>
      <c r="BP8" s="192" t="s">
        <v>326</v>
      </c>
      <c r="BQ8" s="192" t="s">
        <v>327</v>
      </c>
      <c r="BR8" s="192" t="s">
        <v>328</v>
      </c>
      <c r="BS8" s="193" t="s">
        <v>329</v>
      </c>
      <c r="BT8" s="193" t="s">
        <v>330</v>
      </c>
      <c r="BU8" s="193" t="s">
        <v>331</v>
      </c>
      <c r="BV8" s="191" t="s">
        <v>334</v>
      </c>
      <c r="BW8" s="189" t="s">
        <v>335</v>
      </c>
      <c r="BX8" s="189" t="s">
        <v>336</v>
      </c>
      <c r="BY8" s="189" t="s">
        <v>340</v>
      </c>
      <c r="BZ8" s="7" t="s">
        <v>399</v>
      </c>
      <c r="CA8" s="7" t="s">
        <v>367</v>
      </c>
      <c r="CC8" s="7" t="s">
        <v>24</v>
      </c>
      <c r="CD8" s="7" t="s">
        <v>23</v>
      </c>
      <c r="CE8" s="7" t="s">
        <v>25</v>
      </c>
      <c r="CK8" s="7" t="s">
        <v>364</v>
      </c>
      <c r="CL8" s="7" t="s">
        <v>540</v>
      </c>
      <c r="CM8" s="209"/>
      <c r="CN8" s="209" t="s">
        <v>297</v>
      </c>
      <c r="CO8" s="209" t="s">
        <v>365</v>
      </c>
      <c r="CP8" s="209" t="s">
        <v>366</v>
      </c>
      <c r="CR8" s="7" t="s">
        <v>370</v>
      </c>
      <c r="CS8" s="7" t="s">
        <v>371</v>
      </c>
      <c r="CT8" s="7" t="s">
        <v>372</v>
      </c>
      <c r="CV8" s="7" t="s">
        <v>379</v>
      </c>
      <c r="CW8" s="7" t="s">
        <v>397</v>
      </c>
      <c r="CX8" s="7" t="s">
        <v>398</v>
      </c>
      <c r="CY8" s="7" t="s">
        <v>381</v>
      </c>
      <c r="CZ8" s="7" t="s">
        <v>382</v>
      </c>
      <c r="DA8" s="7" t="s">
        <v>380</v>
      </c>
      <c r="DB8" s="7" t="s">
        <v>384</v>
      </c>
      <c r="DC8" s="7" t="s">
        <v>388</v>
      </c>
      <c r="DD8" s="7" t="s">
        <v>389</v>
      </c>
      <c r="DE8" s="7" t="s">
        <v>390</v>
      </c>
      <c r="DF8" s="7" t="s">
        <v>391</v>
      </c>
      <c r="DG8" s="7" t="s">
        <v>392</v>
      </c>
      <c r="DH8" s="7" t="s">
        <v>396</v>
      </c>
      <c r="DJ8" s="7" t="s">
        <v>408</v>
      </c>
      <c r="DK8" s="7" t="s">
        <v>410</v>
      </c>
      <c r="DL8" s="7" t="s">
        <v>411</v>
      </c>
      <c r="DM8" s="7" t="s">
        <v>400</v>
      </c>
      <c r="DO8" s="7" t="s">
        <v>402</v>
      </c>
      <c r="DP8" s="7" t="s">
        <v>405</v>
      </c>
      <c r="DQ8" s="7" t="s">
        <v>403</v>
      </c>
      <c r="DR8" s="7" t="s">
        <v>404</v>
      </c>
      <c r="DS8" s="7" t="s">
        <v>407</v>
      </c>
      <c r="DT8" s="7" t="s">
        <v>409</v>
      </c>
      <c r="DU8" s="7" t="s">
        <v>412</v>
      </c>
      <c r="DV8" s="7" t="s">
        <v>413</v>
      </c>
      <c r="DW8" s="7" t="s">
        <v>414</v>
      </c>
      <c r="DX8" s="7" t="s">
        <v>415</v>
      </c>
      <c r="DY8" s="7" t="s">
        <v>322</v>
      </c>
      <c r="DZ8" s="7" t="s">
        <v>7</v>
      </c>
      <c r="EA8" s="7" t="s">
        <v>503</v>
      </c>
      <c r="EB8" s="7" t="s">
        <v>514</v>
      </c>
      <c r="EH8" s="7" t="s">
        <v>524</v>
      </c>
      <c r="EI8" s="7" t="s">
        <v>523</v>
      </c>
      <c r="EN8" s="7" t="s">
        <v>530</v>
      </c>
      <c r="EO8" s="7" t="s">
        <v>533</v>
      </c>
      <c r="EQ8" s="7" t="s">
        <v>540</v>
      </c>
      <c r="ER8" s="7" t="s">
        <v>541</v>
      </c>
      <c r="EV8" s="209"/>
      <c r="EW8" s="209" t="s">
        <v>547</v>
      </c>
      <c r="EX8" s="209" t="s">
        <v>545</v>
      </c>
      <c r="EY8" s="209" t="s">
        <v>546</v>
      </c>
      <c r="FA8" s="7" t="s">
        <v>370</v>
      </c>
      <c r="FB8" s="7" t="s">
        <v>548</v>
      </c>
      <c r="FC8" s="7" t="s">
        <v>372</v>
      </c>
    </row>
    <row r="9" spans="1:159" ht="26.25" customHeight="1" thickTop="1" x14ac:dyDescent="0.2">
      <c r="A9" s="13">
        <v>1</v>
      </c>
      <c r="B9" s="240"/>
      <c r="C9" s="241"/>
      <c r="D9" s="240"/>
      <c r="E9" s="241"/>
      <c r="F9" s="242"/>
      <c r="G9" s="242"/>
      <c r="H9" s="241"/>
      <c r="I9" s="243"/>
      <c r="J9" s="244"/>
      <c r="K9" s="287"/>
      <c r="L9" s="246"/>
      <c r="M9" s="245"/>
      <c r="N9" s="247"/>
      <c r="O9" s="247"/>
      <c r="P9" s="248"/>
      <c r="Q9" s="248"/>
      <c r="R9" s="249"/>
      <c r="S9" s="249"/>
      <c r="T9" s="249"/>
      <c r="U9" s="242"/>
      <c r="V9" s="242"/>
      <c r="W9" s="242"/>
      <c r="X9" s="250"/>
      <c r="Y9" s="250"/>
      <c r="Z9" s="251"/>
      <c r="AA9" s="252" t="str">
        <f t="shared" ref="AA9:AA22" si="0">IF(SUM(D9)=0,"",IF(E9="MS",SUM(((C9*D9)/1000000)*F9),SUM(((C9*D9)/1000000))))</f>
        <v/>
      </c>
      <c r="AE9" s="198"/>
      <c r="AF9" s="7" t="s">
        <v>502</v>
      </c>
      <c r="AG9" s="7" t="s">
        <v>502</v>
      </c>
      <c r="AH9" s="7" t="str">
        <f>IF(E9=$AI$7,$AI$8,$AJ$8)</f>
        <v>AluminiumProductInOut</v>
      </c>
      <c r="AI9" s="7" t="s">
        <v>502</v>
      </c>
      <c r="AJ9" s="7" t="s">
        <v>502</v>
      </c>
      <c r="AK9" s="7" t="e">
        <f>IF(Y9=$AK$7,$AL$6,IF(Y9=$AK$6,$AN$8,AT9))</f>
        <v>#N/A</v>
      </c>
      <c r="AL9" s="7" t="e">
        <f t="shared" ref="AL9:AL23" si="1">VLOOKUP(L9,$AO$8:$AP$14,2,FALSE)</f>
        <v>#N/A</v>
      </c>
      <c r="AM9" s="7" t="s">
        <v>30</v>
      </c>
      <c r="AN9" s="7" t="s">
        <v>26</v>
      </c>
      <c r="AO9" s="7" t="s">
        <v>44</v>
      </c>
      <c r="AP9" s="7" t="str">
        <f>$AN$8</f>
        <v>FlushBoltNA</v>
      </c>
      <c r="AQ9" s="7" t="s">
        <v>30</v>
      </c>
      <c r="AR9" s="7" t="s">
        <v>158</v>
      </c>
      <c r="AS9" s="7" t="s">
        <v>158</v>
      </c>
      <c r="AT9" s="7" t="e">
        <f t="shared" ref="AT9:AT23" si="2">VLOOKUP(L9,$AO$8:$AQ$14,3,FALSE)</f>
        <v>#N/A</v>
      </c>
      <c r="AU9" s="7" t="b">
        <f>IF(L9=Data!$CD$1,Data!$CF$1, IF(L9=Data!$CD$2,Data!$CG$1,IF(L9=Data!$CD$3,Data!$CH$1,IF(L9=Data!$CD$4,Data!$CI$1,IF(L9=Data!$CD$5,Data!$CJ$1)))))</f>
        <v>0</v>
      </c>
      <c r="AV9" s="121" t="b">
        <f>IF(E9=Data!$E$1,Data!$A$1,IF('Eco Aluminium External Shutters'!E9=Data!$E$2,Data!$B$1,IF('Eco Aluminium External Shutters'!E9=Data!$E$3,Data!$C$1)))</f>
        <v>0</v>
      </c>
      <c r="AW9" s="121" t="b">
        <f>IF(E9=Data!$E$1,Data!$G$1, IF(E9=Data!$E$2,Data!$H$1, IF(E9=Data!$E$3,Data!$I$1)))</f>
        <v>0</v>
      </c>
      <c r="AX9" s="121" t="b">
        <f>IF(E9=Data!$E$1,Data!$K$1,IF(E9=Data!$E$2,Data!$L$1, IF(E9=Data!$E$3,Data!$M$1)))</f>
        <v>0</v>
      </c>
      <c r="AY9" s="121" t="b">
        <f>IF(E9=Data!$E$1,Data!$O$1, IF(E9=Data!$E$2,Data!$P$1, IF(E9=Data!$E$3,Data!$Q$1)))</f>
        <v>0</v>
      </c>
      <c r="AZ9" s="121" t="b">
        <f>IF(L9=Data!$AJ$2,Data!$AK$1,IF(L9=Data!$AJ$3,Data!$AL$1,IF(L9=Data!$AJ$4,Data!$AM$1,IF(L9=Data!$AJ$5,Data!$AN$1,IF(L9=Data!$AJ$6,Data!$AO$1, IF(L9=Data!$AJ$7,Data!$AP$1,IF(L9=Data!$AJ$8,Data!$AQ$1)))))))</f>
        <v>0</v>
      </c>
      <c r="BA9" s="121" t="b">
        <f>IF(L9=Data!$BO$1,Data!$BP$1, IF(L9=Data!$BO$2,Data!$BQ$1, IF(L9=Data!$BO$3,Data!$BR$1, IF(L9=Data!$BO$4,Data!$BS$1, IF(L9=Data!$BO$5,Data!$BT$1)))))</f>
        <v>0</v>
      </c>
      <c r="BB9" s="122">
        <f t="shared" ref="BB9:BB16" si="3">LEN(M9)</f>
        <v>0</v>
      </c>
      <c r="BC9" s="122" t="e">
        <f>VLOOKUP(M9,Data!$AY$2:$AZ$120,2,FALSE)</f>
        <v>#N/A</v>
      </c>
      <c r="BD9" s="122" t="e">
        <f t="shared" ref="BD9:BD16" si="4">IF(F9&lt;&gt;BC9,"Failed","Passed")</f>
        <v>#N/A</v>
      </c>
      <c r="BE9" s="130" t="str">
        <f>IF(OR(AND(P9="",O9&lt;&gt;"")),VLOOKUP(O9,Data!$BC$2:$BD$6,2,FALSE),"")</f>
        <v/>
      </c>
      <c r="BF9" s="130" t="str">
        <f>IF(OR(AND(Q9="",O9&lt;&gt;"")),VLOOKUP(O9,Data!$BC$2:$BD$6,2,FALSE),"")</f>
        <v/>
      </c>
      <c r="BG9" s="130" t="str">
        <f>IF(OR(AND(R9="",O9&lt;&gt;"")),VLOOKUP(O9,Data!$BC$2:$BD$6,2,FALSE),"")</f>
        <v/>
      </c>
      <c r="BH9" s="130" t="str">
        <f>IF(OR(AND(S9="",O9&lt;&gt;"")),VLOOKUP(O9,Data!$BC$2:$BD$6,2,FALSE),"")</f>
        <v/>
      </c>
      <c r="BI9" s="132" t="b">
        <f>IF(L9=Data!$BF$2,Data!$BG$1, IF(L9=Data!$BF$3,Data!$BH$1, IF(L9=Data!$BF$4,Data!$BI$1, IF(L9=Data!$BF$5,Data!$BJ$1, IF(L9=Data!$BF$6,Data!$BK$1)))))</f>
        <v>0</v>
      </c>
      <c r="BJ9" s="132" t="str">
        <f>IF(OR(AND(D9&lt;830, Y9=Data!$BM$1)),"Yes","No")</f>
        <v>No</v>
      </c>
      <c r="BK9" s="132" t="e">
        <f>VLOOKUP(L9,Data!$BZ$1:$CA$5,2,FALSE)</f>
        <v>#N/A</v>
      </c>
      <c r="BL9" s="132" t="e">
        <f t="shared" ref="BL9:BL16" si="5">IF(E9="MS",C9,(C9/F9))</f>
        <v>#DIV/0!</v>
      </c>
      <c r="BM9" s="132" t="e">
        <f>BK9-BL9</f>
        <v>#N/A</v>
      </c>
      <c r="BN9" s="132" t="e">
        <f>IF(BM9&lt;0, "Oversize", "OK")</f>
        <v>#N/A</v>
      </c>
      <c r="BO9" s="188" t="str">
        <f>IF(SUM(--ISNUMBER( SEARCH({"t","T"},M9))),"Yes","No")</f>
        <v>No</v>
      </c>
      <c r="BP9" s="188" t="e">
        <f>VLOOKUP(T9,Data!$CL$2:$CO$9,2,FALSE)</f>
        <v>#N/A</v>
      </c>
      <c r="BQ9" s="188" t="e">
        <f>VLOOKUP(T9,Data!$CL$2:$CO$9,3,FALSE)</f>
        <v>#N/A</v>
      </c>
      <c r="BR9" s="188" t="e">
        <f>VLOOKUP(T9,Data!$CL$2:$CO$9,4,FALSE)</f>
        <v>#N/A</v>
      </c>
      <c r="BS9" s="132" t="e">
        <f>IF(OR(AND(BP9=1,U9="")), "Error", "OK")</f>
        <v>#N/A</v>
      </c>
      <c r="BT9" s="132" t="e">
        <f>IF(OR(AND(BQ9=1,V9="")), "Error", "OK")</f>
        <v>#N/A</v>
      </c>
      <c r="BU9" s="132" t="e">
        <f>IF(OR(AND(BR9=1,W9="")), "Error", "OK")</f>
        <v>#N/A</v>
      </c>
      <c r="BV9" s="132" t="str">
        <f>IF(COUNTIF(BS9:BU9,$BV$7),"Required","")</f>
        <v/>
      </c>
      <c r="BW9" s="132" t="str">
        <f>IF(OR(AND(BO9="Yes"), AND(BV9="Required")),"Yes","No")</f>
        <v>No</v>
      </c>
      <c r="BX9" s="132" t="str">
        <f>IF(OR(AND(T9="", BW9="Yes")),"Highlight","No")</f>
        <v>No</v>
      </c>
      <c r="BY9" s="132" t="str">
        <f t="shared" ref="BY9:BY16" si="6">IF(OR(AND(D9&gt;1800, J9="")), "Yes","No")</f>
        <v>No</v>
      </c>
      <c r="BZ9" s="7" t="s">
        <v>32</v>
      </c>
      <c r="CA9" s="7" t="s">
        <v>297</v>
      </c>
      <c r="CC9" s="7" t="s">
        <v>362</v>
      </c>
      <c r="CD9" s="7" t="s">
        <v>361</v>
      </c>
      <c r="CE9" s="7" t="s">
        <v>363</v>
      </c>
      <c r="CF9" s="7" t="b">
        <f>IF(E9=$CC$8,$CC$9,IF(E9=$CD$8,$CD$9,IF(E9=$CE$8,$CE$9)))</f>
        <v>0</v>
      </c>
      <c r="CI9" s="7" t="s">
        <v>368</v>
      </c>
      <c r="CJ9" s="7" t="s">
        <v>369</v>
      </c>
      <c r="CK9" s="7" t="s">
        <v>495</v>
      </c>
      <c r="CL9" s="7" t="str">
        <f>$EQ$8</f>
        <v>Shaped</v>
      </c>
      <c r="CM9" s="210" t="s">
        <v>24</v>
      </c>
      <c r="CN9" s="209" t="str">
        <f>$CC$9</f>
        <v>ExternalMoutingMethodMS</v>
      </c>
      <c r="CO9" s="209" t="str">
        <f>$CC$9</f>
        <v>ExternalMoutingMethodMS</v>
      </c>
      <c r="CP9" s="209" t="str">
        <f>$CC$9</f>
        <v>ExternalMoutingMethodMS</v>
      </c>
      <c r="CR9" s="7" t="e">
        <f>MATCH(E9,$CM$9:$CM$11,0)</f>
        <v>#N/A</v>
      </c>
      <c r="CS9" s="7" t="e">
        <f>MATCH(K9,$CN$8:$CP$8,0)</f>
        <v>#N/A</v>
      </c>
      <c r="CT9" s="7" t="e">
        <f>INDEX($CN$9:$CP$11,CR9,CS9)</f>
        <v>#N/A</v>
      </c>
      <c r="CU9" s="7" t="s">
        <v>358</v>
      </c>
      <c r="CV9" s="7" t="s">
        <v>19</v>
      </c>
      <c r="CW9" s="7" t="str">
        <f>$CY$8</f>
        <v>HingeColourYes</v>
      </c>
      <c r="CX9" s="7" t="str">
        <f>$DC$8</f>
        <v>HingedDoubleHingedFrames</v>
      </c>
      <c r="CY9" s="7" t="s">
        <v>72</v>
      </c>
      <c r="CZ9" s="7" t="s">
        <v>26</v>
      </c>
      <c r="DA9" s="7" t="s">
        <v>243</v>
      </c>
      <c r="DB9" s="7" t="e">
        <f t="shared" ref="DB9:DB24" si="7">VLOOKUP(L9,$CU$9:$CW$15,3,FALSE)</f>
        <v>#N/A</v>
      </c>
      <c r="DC9" s="223" t="s">
        <v>387</v>
      </c>
      <c r="DD9" s="7" t="s">
        <v>29</v>
      </c>
      <c r="DE9" s="7" t="s">
        <v>393</v>
      </c>
      <c r="DF9" s="7" t="s">
        <v>394</v>
      </c>
      <c r="DG9" s="7" t="s">
        <v>395</v>
      </c>
      <c r="DH9" s="7" t="e">
        <f t="shared" ref="DH9:DH24" si="8">VLOOKUP(L9,$CU$9:$CX$15,4,FALSE)</f>
        <v>#N/A</v>
      </c>
      <c r="DI9" s="223" t="s">
        <v>387</v>
      </c>
      <c r="DJ9" s="223" t="str">
        <f t="shared" ref="DJ9:DL11" si="9">$DM$8</f>
        <v>FZFrameLeftRight</v>
      </c>
      <c r="DK9" s="223" t="str">
        <f t="shared" si="9"/>
        <v>FZFrameLeftRight</v>
      </c>
      <c r="DL9" s="223" t="str">
        <f t="shared" si="9"/>
        <v>FZFrameLeftRight</v>
      </c>
      <c r="DM9" s="7" t="s">
        <v>19</v>
      </c>
      <c r="DO9" s="7" t="s">
        <v>401</v>
      </c>
      <c r="DP9" s="7" t="s">
        <v>401</v>
      </c>
      <c r="DQ9" s="7" t="s">
        <v>401</v>
      </c>
      <c r="DR9" s="7" t="s">
        <v>30</v>
      </c>
      <c r="DS9" s="7" t="e">
        <f t="shared" ref="DS9:DS23" si="10">VLOOKUP(O9,$DI$9:$DJ$16,2,FALSE)</f>
        <v>#N/A</v>
      </c>
      <c r="DT9" s="7" t="s">
        <v>19</v>
      </c>
      <c r="DU9" s="7" t="s">
        <v>542</v>
      </c>
      <c r="DV9" s="7" t="s">
        <v>543</v>
      </c>
      <c r="DW9" s="7" t="e">
        <f t="shared" ref="DW9:DW24" si="11">VLOOKUP(O9,$DI$9:$DK$16,3,FALSE)</f>
        <v>#N/A</v>
      </c>
      <c r="DX9" s="7" t="e">
        <f t="shared" ref="DX9:DX24" si="12">VLOOKUP(O9,$DI$9:$DL$16,4,FALSE)</f>
        <v>#N/A</v>
      </c>
      <c r="DY9" s="7" t="s">
        <v>26</v>
      </c>
      <c r="DZ9" s="7" t="str">
        <f>IF(H9=$DZ$7,$EA$8,$CK$8)</f>
        <v>EcoExternalAluminiumColour</v>
      </c>
      <c r="EA9" s="7" t="s">
        <v>504</v>
      </c>
      <c r="EB9" s="7" t="s">
        <v>506</v>
      </c>
      <c r="EF9" s="7" t="s">
        <v>32</v>
      </c>
      <c r="EG9" s="7">
        <v>1</v>
      </c>
      <c r="EH9" s="7">
        <f>IF(T9="",0,VLOOKUP(T9,$EF$9:$EG$14,2,FALSE))</f>
        <v>0</v>
      </c>
      <c r="EI9" s="7">
        <f>IF(T9="",0, VLOOKUP(M9,Data!$AY$3:$BA$120,3,FALSE))</f>
        <v>0</v>
      </c>
      <c r="EJ9" s="7">
        <f>EH9-EI9</f>
        <v>0</v>
      </c>
      <c r="EL9" s="7" t="s">
        <v>502</v>
      </c>
      <c r="EM9" s="7" t="str">
        <f>EN8</f>
        <v>TiltrodBoth</v>
      </c>
      <c r="EN9" s="7" t="s">
        <v>531</v>
      </c>
      <c r="EO9" s="7" t="s">
        <v>26</v>
      </c>
      <c r="EP9" s="7" t="e">
        <f>VLOOKUP(H9,$EL$9:$EM$11,2,FALSE)</f>
        <v>#N/A</v>
      </c>
      <c r="EQ9" s="7" t="s">
        <v>297</v>
      </c>
      <c r="ER9" s="7" t="s">
        <v>297</v>
      </c>
      <c r="ES9" s="7" t="e">
        <f>VLOOKUP(I9,$CK$9:$CL$17,2,FALSE)</f>
        <v>#N/A</v>
      </c>
      <c r="EV9" s="210" t="s">
        <v>24</v>
      </c>
      <c r="EW9" s="209" t="str">
        <f>$AG$8</f>
        <v xml:space="preserve"> 63mm114mmProductInMS</v>
      </c>
      <c r="EX9" s="209" t="str">
        <f>$AI$8</f>
        <v>AluminiumProductAll</v>
      </c>
      <c r="EY9" s="209" t="str">
        <f>$AG$8</f>
        <v xml:space="preserve"> 63mm114mmProductInMS</v>
      </c>
      <c r="FA9" s="7" t="e">
        <f>MATCH(E9,$EV$9:$EV$11,0)</f>
        <v>#N/A</v>
      </c>
      <c r="FB9" s="7" t="e">
        <f>MATCH(G9,$EW$8:$EY$8,0)</f>
        <v>#N/A</v>
      </c>
      <c r="FC9" s="7" t="e">
        <f>INDEX($EW$9:$EY$11,FA9,FB9)</f>
        <v>#N/A</v>
      </c>
    </row>
    <row r="10" spans="1:159" ht="26.25" customHeight="1" x14ac:dyDescent="0.2">
      <c r="A10" s="14">
        <v>2</v>
      </c>
      <c r="B10" s="253"/>
      <c r="C10" s="254"/>
      <c r="D10" s="253"/>
      <c r="E10" s="254"/>
      <c r="F10" s="242"/>
      <c r="G10" s="242"/>
      <c r="H10" s="254"/>
      <c r="I10" s="254"/>
      <c r="J10" s="255"/>
      <c r="K10" s="255"/>
      <c r="L10" s="256"/>
      <c r="M10" s="255"/>
      <c r="N10" s="257"/>
      <c r="O10" s="257"/>
      <c r="P10" s="258"/>
      <c r="Q10" s="258"/>
      <c r="R10" s="259"/>
      <c r="S10" s="259"/>
      <c r="T10" s="259"/>
      <c r="U10" s="260"/>
      <c r="V10" s="260"/>
      <c r="W10" s="260"/>
      <c r="X10" s="250"/>
      <c r="Y10" s="257"/>
      <c r="Z10" s="261"/>
      <c r="AA10" s="262" t="str">
        <f t="shared" si="0"/>
        <v/>
      </c>
      <c r="AE10" s="198"/>
      <c r="AG10" s="7" t="s">
        <v>525</v>
      </c>
      <c r="AH10" s="7" t="str">
        <f t="shared" ref="AH10:AH23" si="13">IF(E10=$AI$7,$AI$8,$AJ$8)</f>
        <v>AluminiumProductInOut</v>
      </c>
      <c r="AI10" s="7" t="s">
        <v>501</v>
      </c>
      <c r="AJ10" s="7" t="s">
        <v>501</v>
      </c>
      <c r="AK10" s="7" t="e">
        <f t="shared" ref="AK10:AK23" si="14">IF(Y10=$AK$7,$AL$6,IF(Y10=$AK$6,$AN$8,AT10))</f>
        <v>#N/A</v>
      </c>
      <c r="AL10" s="7" t="e">
        <f t="shared" si="1"/>
        <v>#N/A</v>
      </c>
      <c r="AM10" s="7" t="s">
        <v>451</v>
      </c>
      <c r="AO10" s="7" t="s">
        <v>46</v>
      </c>
      <c r="AP10" s="7" t="str">
        <f>$AM$8</f>
        <v>FlushBoltYes</v>
      </c>
      <c r="AQ10" s="7" t="str">
        <f>$AR$8</f>
        <v>FlushBoltHinged</v>
      </c>
      <c r="AR10" s="7" t="s">
        <v>22</v>
      </c>
      <c r="AT10" s="7" t="e">
        <f t="shared" si="2"/>
        <v>#N/A</v>
      </c>
      <c r="AU10" s="7" t="b">
        <f>IF(L10=Data!$CD$1,Data!$CF$1, IF(L10=Data!$CD$2,Data!$CG$1,IF(L10=Data!$CD$3,Data!$CH$1,IF(L10=Data!$CD$4,Data!$CI$1,IF(L10=Data!$CD$5,Data!$CJ$1)))))</f>
        <v>0</v>
      </c>
      <c r="AV10" s="121" t="b">
        <f>IF(E10=Data!$E$1,Data!$A$1,IF('Eco Aluminium External Shutters'!E10=Data!$E$2,Data!$B$1,IF('Eco Aluminium External Shutters'!E10=Data!$E$3,Data!$C$1)))</f>
        <v>0</v>
      </c>
      <c r="AW10" s="121" t="b">
        <f>IF(E10=Data!$E$1,Data!$G$1, IF(E10=Data!$E$2,Data!$H$1, IF(E10=Data!$E$3,Data!$I$1)))</f>
        <v>0</v>
      </c>
      <c r="AX10" s="121" t="b">
        <f>IF(E10=Data!$E$1,Data!$K$1,IF(E10=Data!$E$2,Data!$L$1, IF(E10=Data!$E$3,Data!$M$1)))</f>
        <v>0</v>
      </c>
      <c r="AY10" s="121" t="b">
        <f>IF(E10=Data!$E$1,Data!$O$1, IF(E10=Data!$E$2,Data!$P$1, IF(E10=Data!$E$3,Data!$Q$1)))</f>
        <v>0</v>
      </c>
      <c r="AZ10" s="121" t="b">
        <f>IF(L10=Data!$AJ$2,Data!$AK$1,IF(L10=Data!$AJ$3,Data!$AL$1,IF(L10=Data!$AJ$4,Data!$AM$1,IF(L10=Data!$AJ$5,Data!$AN$1,IF(L10=Data!$AJ$6,Data!$AO$1, IF(L10=Data!$AJ$7,Data!$AP$1,IF(L10=Data!$AJ$8,Data!$AQ$1)))))))</f>
        <v>0</v>
      </c>
      <c r="BA10" s="121" t="b">
        <f>IF(L10=Data!$BO$1,Data!$BP$1, IF(L10=Data!$BO$2,Data!$BQ$1, IF(L10=Data!$BO$3,Data!$BR$1, IF(L10=Data!$BO$4,Data!$BS$1, IF(L10=Data!$BO$5,Data!$BT$1)))))</f>
        <v>0</v>
      </c>
      <c r="BB10" s="122">
        <f t="shared" si="3"/>
        <v>0</v>
      </c>
      <c r="BC10" s="122" t="e">
        <f>VLOOKUP(M10,Data!$AY$2:$AZ$120,2,FALSE)</f>
        <v>#N/A</v>
      </c>
      <c r="BD10" s="122" t="e">
        <f t="shared" si="4"/>
        <v>#N/A</v>
      </c>
      <c r="BE10" s="130" t="str">
        <f>IF(OR(AND(P10="",O10&lt;&gt;"")),VLOOKUP(O10,Data!$BC$2:$BD$6,2,FALSE),"")</f>
        <v/>
      </c>
      <c r="BF10" s="130" t="str">
        <f>IF(OR(AND(Q10="",O10&lt;&gt;"")),VLOOKUP(O10,Data!$BC$2:$BD$6,2,FALSE),"")</f>
        <v/>
      </c>
      <c r="BG10" s="130" t="str">
        <f>IF(OR(AND(R10="",O10&lt;&gt;"")),VLOOKUP(O10,Data!$BC$2:$BD$6,2,FALSE),"")</f>
        <v/>
      </c>
      <c r="BH10" s="130" t="str">
        <f>IF(OR(AND(S10="",O10&lt;&gt;"")),VLOOKUP(O10,Data!$BC$2:$BD$6,2,FALSE),"")</f>
        <v/>
      </c>
      <c r="BI10" s="132" t="b">
        <f>IF(L10=Data!$BF$2,Data!$BG$1, IF(L10=Data!$BF$3,Data!$BH$1, IF(L10=Data!$BF$4,Data!$BI$1, IF(L10=Data!$BF$5,Data!$BJ$1, IF(L10=Data!$BF$6,Data!$BK$1)))))</f>
        <v>0</v>
      </c>
      <c r="BJ10" s="132" t="str">
        <f>IF(OR(AND(D10&lt;830, Y10=Data!$BM$1)),"Yes","No")</f>
        <v>No</v>
      </c>
      <c r="BK10" s="132" t="e">
        <f>VLOOKUP(L10,Data!$BZ$1:$CA$5,2,FALSE)</f>
        <v>#N/A</v>
      </c>
      <c r="BL10" s="132" t="e">
        <f t="shared" si="5"/>
        <v>#DIV/0!</v>
      </c>
      <c r="BM10" s="132" t="e">
        <f t="shared" ref="BM10:BM16" si="15">BK10-BL10</f>
        <v>#N/A</v>
      </c>
      <c r="BN10" s="132" t="e">
        <f t="shared" ref="BN10:BN16" si="16">IF(BM10&lt;0, "Oversize", "OK")</f>
        <v>#N/A</v>
      </c>
      <c r="BO10" s="188" t="str">
        <f>IF(SUM(--ISNUMBER( SEARCH({"t","T"},M10))),"Yes","No")</f>
        <v>No</v>
      </c>
      <c r="BP10" s="188" t="e">
        <f>VLOOKUP(T10,Data!$CL$2:$CO$9,2,FALSE)</f>
        <v>#N/A</v>
      </c>
      <c r="BQ10" s="188" t="e">
        <f>VLOOKUP(T10,Data!$CL$2:$CO$9,3,FALSE)</f>
        <v>#N/A</v>
      </c>
      <c r="BR10" s="188" t="e">
        <f>VLOOKUP(T10,Data!$CL$2:$CO$9,4,FALSE)</f>
        <v>#N/A</v>
      </c>
      <c r="BS10" s="132" t="e">
        <f t="shared" ref="BS10:BS16" si="17">IF(OR(AND(BP10=1,U10="")), "Error", "OK")</f>
        <v>#N/A</v>
      </c>
      <c r="BT10" s="132" t="e">
        <f t="shared" ref="BT10:BT16" si="18">IF(OR(AND(BQ10=1,V10="")), "Error", "OK")</f>
        <v>#N/A</v>
      </c>
      <c r="BU10" s="132" t="e">
        <f t="shared" ref="BU10:BU16" si="19">IF(OR(AND(BR10=1,W10="")), "Error", "OK")</f>
        <v>#N/A</v>
      </c>
      <c r="BV10" s="132" t="str">
        <f t="shared" ref="BV10:BV16" si="20">IF(COUNTIF(BS10:BU10,$BV$7),"Required","")</f>
        <v/>
      </c>
      <c r="BW10" s="132" t="str">
        <f t="shared" ref="BW10:BW16" si="21">IF(OR(AND(BO10="Yes"), AND(BV10="Required")),"Yes","No")</f>
        <v>No</v>
      </c>
      <c r="BX10" s="132" t="str">
        <f t="shared" ref="BX10:BX16" si="22">IF(OR(AND(T10="", BW10="Yes")),"Highlight","No")</f>
        <v>No</v>
      </c>
      <c r="BY10" s="132" t="str">
        <f t="shared" si="6"/>
        <v>No</v>
      </c>
      <c r="BZ10" s="7" t="s">
        <v>34</v>
      </c>
      <c r="CA10" s="7" t="s">
        <v>365</v>
      </c>
      <c r="CC10" s="7" t="s">
        <v>26</v>
      </c>
      <c r="CD10" s="7" t="s">
        <v>358</v>
      </c>
      <c r="CE10" s="7" t="s">
        <v>358</v>
      </c>
      <c r="CF10" s="7" t="b">
        <f>IF(E10=$CC$8,$CC$9,IF(E10=$CD$8,$CD$9,IF(E10=$CE$8,$CE$9)))</f>
        <v>0</v>
      </c>
      <c r="CI10" s="7" t="s">
        <v>44</v>
      </c>
      <c r="CJ10" s="7" t="s">
        <v>46</v>
      </c>
      <c r="CK10" s="7" t="s">
        <v>496</v>
      </c>
      <c r="CL10" s="7" t="str">
        <f>$ER$8</f>
        <v>NoShapes</v>
      </c>
      <c r="CM10" s="210" t="s">
        <v>23</v>
      </c>
      <c r="CN10" s="209" t="str">
        <f>$CD$9</f>
        <v>ExternalMoutingMethodIN</v>
      </c>
      <c r="CO10" s="209" t="str">
        <f>$CI$9</f>
        <v>ExternalShapedMountingMethodIn</v>
      </c>
      <c r="CP10" s="209" t="str">
        <f>$CI$9</f>
        <v>ExternalShapedMountingMethodIn</v>
      </c>
      <c r="CR10" s="7" t="e">
        <f t="shared" ref="CR10:CR24" si="23">MATCH(E10,$CM$9:$CM$11,0)</f>
        <v>#N/A</v>
      </c>
      <c r="CS10" s="7" t="e">
        <f t="shared" ref="CS10:CS24" si="24">MATCH(K10,$CN$8:$CP$8,0)</f>
        <v>#N/A</v>
      </c>
      <c r="CT10" s="7" t="e">
        <f t="shared" ref="CT10:CT24" si="25">INDEX($CN$9:$CP$11,CR10,CS10)</f>
        <v>#N/A</v>
      </c>
      <c r="CU10" s="7" t="s">
        <v>44</v>
      </c>
      <c r="CV10" s="7" t="s">
        <v>30</v>
      </c>
      <c r="CW10" s="7" t="str">
        <f>$CZ$8</f>
        <v>HingeColourNo</v>
      </c>
      <c r="CX10" s="7" t="str">
        <f>DD8</f>
        <v>FixedFrames</v>
      </c>
      <c r="CY10" s="7" t="s">
        <v>383</v>
      </c>
      <c r="DB10" s="7" t="e">
        <f t="shared" si="7"/>
        <v>#N/A</v>
      </c>
      <c r="DC10" s="222" t="s">
        <v>385</v>
      </c>
      <c r="DH10" s="7" t="e">
        <f t="shared" si="8"/>
        <v>#N/A</v>
      </c>
      <c r="DI10" s="222" t="s">
        <v>385</v>
      </c>
      <c r="DJ10" s="223" t="str">
        <f t="shared" si="9"/>
        <v>FZFrameLeftRight</v>
      </c>
      <c r="DK10" s="223" t="str">
        <f t="shared" si="9"/>
        <v>FZFrameLeftRight</v>
      </c>
      <c r="DL10" s="223" t="str">
        <f t="shared" si="9"/>
        <v>FZFrameLeftRight</v>
      </c>
      <c r="DM10" s="7" t="s">
        <v>30</v>
      </c>
      <c r="DO10" s="7" t="s">
        <v>30</v>
      </c>
      <c r="DP10" s="7" t="s">
        <v>30</v>
      </c>
      <c r="DQ10" s="7" t="s">
        <v>406</v>
      </c>
      <c r="DS10" s="7" t="e">
        <f t="shared" si="10"/>
        <v>#N/A</v>
      </c>
      <c r="DW10" s="7" t="e">
        <f t="shared" si="11"/>
        <v>#N/A</v>
      </c>
      <c r="DX10" s="7" t="e">
        <f t="shared" si="12"/>
        <v>#N/A</v>
      </c>
      <c r="DZ10" s="7" t="str">
        <f t="shared" ref="DZ10:DZ24" si="26">IF(H10=$DZ$7,$EA$8,$CK$8)</f>
        <v>EcoExternalAluminiumColour</v>
      </c>
      <c r="EA10" s="7" t="s">
        <v>544</v>
      </c>
      <c r="EB10" s="7" t="s">
        <v>507</v>
      </c>
      <c r="EF10" s="7" t="s">
        <v>34</v>
      </c>
      <c r="EG10" s="7">
        <v>2</v>
      </c>
      <c r="EH10" s="7">
        <f t="shared" ref="EH10:EH14" si="27">IF(T10="",0,VLOOKUP(T10,$EF$9:$EG$14,2,FALSE))</f>
        <v>0</v>
      </c>
      <c r="EI10" s="7">
        <f>IF(T10="",0, VLOOKUP(M10,Data!$AY$3:$BA$120,3,FALSE))</f>
        <v>0</v>
      </c>
      <c r="EJ10" s="7">
        <f t="shared" ref="EJ10:EJ24" si="28">EH10-EI10</f>
        <v>0</v>
      </c>
      <c r="EL10" s="7" t="s">
        <v>501</v>
      </c>
      <c r="EM10" s="7" t="str">
        <f>EN8</f>
        <v>TiltrodBoth</v>
      </c>
      <c r="EN10" s="7" t="s">
        <v>532</v>
      </c>
      <c r="EP10" s="7" t="e">
        <f t="shared" ref="EP10:EP24" si="29">VLOOKUP(H10,$EL$9:$EM$11,2,FALSE)</f>
        <v>#N/A</v>
      </c>
      <c r="EQ10" s="7" t="s">
        <v>365</v>
      </c>
      <c r="ES10" s="7" t="e">
        <f t="shared" ref="ES10:ES24" si="30">VLOOKUP(I10,$CK$9:$CL$17,2,FALSE)</f>
        <v>#N/A</v>
      </c>
      <c r="EV10" s="210" t="s">
        <v>23</v>
      </c>
      <c r="EW10" s="209" t="str">
        <f>$AF$8</f>
        <v xml:space="preserve"> 63mm114mmProductOut</v>
      </c>
      <c r="EX10" s="209" t="str">
        <f>$AJ$8</f>
        <v>AluminiumProductInOut</v>
      </c>
      <c r="EY10" s="209" t="str">
        <f>$AF$8</f>
        <v xml:space="preserve"> 63mm114mmProductOut</v>
      </c>
      <c r="FA10" s="7" t="e">
        <f t="shared" ref="FA10:FA24" si="31">MATCH(E10,$EV$9:$EV$11,0)</f>
        <v>#N/A</v>
      </c>
      <c r="FB10" s="7" t="e">
        <f t="shared" ref="FB10:FB24" si="32">MATCH(G10,$EW$8:$EY$8,0)</f>
        <v>#N/A</v>
      </c>
      <c r="FC10" s="7" t="e">
        <f t="shared" ref="FC10:FC24" si="33">INDEX($EW$9:$EY$11,FA10,FB10)</f>
        <v>#N/A</v>
      </c>
    </row>
    <row r="11" spans="1:159" ht="26.25" customHeight="1" x14ac:dyDescent="0.2">
      <c r="A11" s="14">
        <v>3</v>
      </c>
      <c r="B11" s="253"/>
      <c r="C11" s="260"/>
      <c r="D11" s="253"/>
      <c r="E11" s="254"/>
      <c r="F11" s="242"/>
      <c r="G11" s="242"/>
      <c r="H11" s="254"/>
      <c r="I11" s="254"/>
      <c r="J11" s="255"/>
      <c r="K11" s="255"/>
      <c r="L11" s="256"/>
      <c r="M11" s="255"/>
      <c r="N11" s="257"/>
      <c r="O11" s="257"/>
      <c r="P11" s="258"/>
      <c r="Q11" s="258"/>
      <c r="R11" s="258"/>
      <c r="S11" s="258"/>
      <c r="T11" s="258"/>
      <c r="U11" s="254"/>
      <c r="V11" s="254"/>
      <c r="W11" s="254"/>
      <c r="X11" s="250"/>
      <c r="Y11" s="257"/>
      <c r="Z11" s="263"/>
      <c r="AA11" s="262" t="str">
        <f t="shared" si="0"/>
        <v/>
      </c>
      <c r="AE11" s="198"/>
      <c r="AH11" s="7" t="str">
        <f t="shared" si="13"/>
        <v>AluminiumProductInOut</v>
      </c>
      <c r="AI11" s="7" t="s">
        <v>525</v>
      </c>
      <c r="AK11" s="7" t="e">
        <f t="shared" si="14"/>
        <v>#N/A</v>
      </c>
      <c r="AL11" s="7" t="e">
        <f t="shared" si="1"/>
        <v>#N/A</v>
      </c>
      <c r="AM11" s="7" t="s">
        <v>383</v>
      </c>
      <c r="AO11" s="7" t="s">
        <v>359</v>
      </c>
      <c r="AP11" s="7" t="str">
        <f>$AM$8</f>
        <v>FlushBoltYes</v>
      </c>
      <c r="AQ11" s="7" t="str">
        <f>$AR$8</f>
        <v>FlushBoltHinged</v>
      </c>
      <c r="AR11" s="7" t="s">
        <v>418</v>
      </c>
      <c r="AT11" s="7" t="e">
        <f t="shared" si="2"/>
        <v>#N/A</v>
      </c>
      <c r="AU11" s="7" t="b">
        <f>IF(L11=Data!$CD$1,Data!$CF$1, IF(L11=Data!$CD$2,Data!$CG$1,IF(L11=Data!$CD$3,Data!$CH$1,IF(L11=Data!$CD$4,Data!$CI$1,IF(L11=Data!$CD$5,Data!$CJ$1)))))</f>
        <v>0</v>
      </c>
      <c r="AV11" s="121" t="b">
        <f>IF(E11=Data!$E$1,Data!$A$1,IF('Eco Aluminium External Shutters'!E11=Data!$E$2,Data!$B$1,IF('Eco Aluminium External Shutters'!E11=Data!$E$3,Data!$C$1)))</f>
        <v>0</v>
      </c>
      <c r="AW11" s="121" t="b">
        <f>IF(E11=Data!$E$1,Data!$G$1, IF(E11=Data!$E$2,Data!$H$1, IF(E11=Data!$E$3,Data!$I$1)))</f>
        <v>0</v>
      </c>
      <c r="AX11" s="121" t="b">
        <f>IF(E11=Data!$E$1,Data!$K$1,IF(E11=Data!$E$2,Data!$L$1, IF(E11=Data!$E$3,Data!$M$1)))</f>
        <v>0</v>
      </c>
      <c r="AY11" s="121" t="b">
        <f>IF(E11=Data!$E$1,Data!$O$1, IF(E11=Data!$E$2,Data!$P$1, IF(E11=Data!$E$3,Data!$Q$1)))</f>
        <v>0</v>
      </c>
      <c r="AZ11" s="121" t="b">
        <f>IF(L11=Data!$AJ$2,Data!$AK$1,IF(L11=Data!$AJ$3,Data!$AL$1,IF(L11=Data!$AJ$4,Data!$AM$1,IF(L11=Data!$AJ$5,Data!$AN$1,IF(L11=Data!$AJ$6,Data!$AO$1, IF(L11=Data!$AJ$7,Data!$AP$1,IF(L11=Data!$AJ$8,Data!$AQ$1)))))))</f>
        <v>0</v>
      </c>
      <c r="BA11" s="121" t="b">
        <f>IF(L11=Data!$BO$1,Data!$BP$1, IF(L11=Data!$BO$2,Data!$BQ$1, IF(L11=Data!$BO$3,Data!$BR$1, IF(L11=Data!$BO$4,Data!$BS$1, IF(L11=Data!$BO$5,Data!$BT$1)))))</f>
        <v>0</v>
      </c>
      <c r="BB11" s="122">
        <f t="shared" si="3"/>
        <v>0</v>
      </c>
      <c r="BC11" s="122" t="e">
        <f>VLOOKUP(M11,Data!$AY$2:$AZ$120,2,FALSE)</f>
        <v>#N/A</v>
      </c>
      <c r="BD11" s="122" t="e">
        <f t="shared" si="4"/>
        <v>#N/A</v>
      </c>
      <c r="BE11" s="130" t="str">
        <f>IF(OR(AND(P11="",O11&lt;&gt;"")),VLOOKUP(O11,Data!$BC$2:$BD$6,2,FALSE),"")</f>
        <v/>
      </c>
      <c r="BF11" s="130" t="str">
        <f>IF(OR(AND(Q11="",O11&lt;&gt;"")),VLOOKUP(O11,Data!$BC$2:$BD$6,2,FALSE),"")</f>
        <v/>
      </c>
      <c r="BG11" s="130" t="str">
        <f>IF(OR(AND(R11="",O11&lt;&gt;"")),VLOOKUP(O11,Data!$BC$2:$BD$6,2,FALSE),"")</f>
        <v/>
      </c>
      <c r="BH11" s="130" t="str">
        <f>IF(OR(AND(S11="",O11&lt;&gt;"")),VLOOKUP(O11,Data!$BC$2:$BD$6,2,FALSE),"")</f>
        <v/>
      </c>
      <c r="BI11" s="132" t="b">
        <f>IF(L11=Data!$BF$2,Data!$BG$1, IF(L11=Data!$BF$3,Data!$BH$1, IF(L11=Data!$BF$4,Data!$BI$1, IF(L11=Data!$BF$5,Data!$BJ$1, IF(L11=Data!$BF$6,Data!$BK$1)))))</f>
        <v>0</v>
      </c>
      <c r="BJ11" s="132" t="str">
        <f>IF(OR(AND(D11&lt;830, Y11=Data!$BM$1)),"Yes","No")</f>
        <v>No</v>
      </c>
      <c r="BK11" s="132" t="e">
        <f>VLOOKUP(L11,Data!$BZ$1:$CA$5,2,FALSE)</f>
        <v>#N/A</v>
      </c>
      <c r="BL11" s="132" t="e">
        <f t="shared" si="5"/>
        <v>#DIV/0!</v>
      </c>
      <c r="BM11" s="132" t="e">
        <f t="shared" si="15"/>
        <v>#N/A</v>
      </c>
      <c r="BN11" s="132" t="e">
        <f t="shared" si="16"/>
        <v>#N/A</v>
      </c>
      <c r="BO11" s="188" t="str">
        <f>IF(SUM(--ISNUMBER( SEARCH({"t","T"},M11))),"Yes","No")</f>
        <v>No</v>
      </c>
      <c r="BP11" s="188" t="e">
        <f>VLOOKUP(T11,Data!$CL$2:$CO$9,2,FALSE)</f>
        <v>#N/A</v>
      </c>
      <c r="BQ11" s="188" t="e">
        <f>VLOOKUP(T11,Data!$CL$2:$CO$9,3,FALSE)</f>
        <v>#N/A</v>
      </c>
      <c r="BR11" s="188" t="e">
        <f>VLOOKUP(T11,Data!$CL$2:$CO$9,4,FALSE)</f>
        <v>#N/A</v>
      </c>
      <c r="BS11" s="132" t="e">
        <f t="shared" si="17"/>
        <v>#N/A</v>
      </c>
      <c r="BT11" s="132" t="e">
        <f t="shared" si="18"/>
        <v>#N/A</v>
      </c>
      <c r="BU11" s="132" t="e">
        <f t="shared" si="19"/>
        <v>#N/A</v>
      </c>
      <c r="BV11" s="132" t="str">
        <f t="shared" si="20"/>
        <v/>
      </c>
      <c r="BW11" s="132" t="str">
        <f t="shared" si="21"/>
        <v>No</v>
      </c>
      <c r="BX11" s="132" t="str">
        <f t="shared" si="22"/>
        <v>No</v>
      </c>
      <c r="BY11" s="132" t="str">
        <f t="shared" si="6"/>
        <v>No</v>
      </c>
      <c r="BZ11" s="7" t="s">
        <v>36</v>
      </c>
      <c r="CA11" s="7" t="s">
        <v>366</v>
      </c>
      <c r="CD11" s="7" t="s">
        <v>44</v>
      </c>
      <c r="CE11" s="7" t="s">
        <v>46</v>
      </c>
      <c r="CF11" s="7" t="b">
        <f t="shared" ref="CF11:CF23" si="34">IF(E11=$CC$8,$CC$9,IF(E11=$CD$8,$CD$9,IF(E11=$CE$8,$CE$9)))</f>
        <v>0</v>
      </c>
      <c r="CI11" s="7" t="s">
        <v>46</v>
      </c>
      <c r="CK11" s="7" t="s">
        <v>497</v>
      </c>
      <c r="CL11" s="7" t="str">
        <f>$ER$8</f>
        <v>NoShapes</v>
      </c>
      <c r="CM11" s="210" t="s">
        <v>25</v>
      </c>
      <c r="CN11" s="209" t="str">
        <f>$CE$9</f>
        <v>ExternalMoutingMethodOUT</v>
      </c>
      <c r="CO11" s="209" t="str">
        <f>$CJ$9</f>
        <v>ExternalShapedMountingMethodOut</v>
      </c>
      <c r="CP11" s="209" t="str">
        <f>$CJ$9</f>
        <v>ExternalShapedMountingMethodOut</v>
      </c>
      <c r="CR11" s="7" t="e">
        <f t="shared" si="23"/>
        <v>#N/A</v>
      </c>
      <c r="CS11" s="7" t="e">
        <f t="shared" si="24"/>
        <v>#N/A</v>
      </c>
      <c r="CT11" s="7" t="e">
        <f t="shared" si="25"/>
        <v>#N/A</v>
      </c>
      <c r="CU11" s="7" t="s">
        <v>46</v>
      </c>
      <c r="CV11" s="7" t="s">
        <v>19</v>
      </c>
      <c r="CW11" s="7" t="str">
        <f>$CY$8</f>
        <v>HingeColourYes</v>
      </c>
      <c r="CX11" s="7" t="str">
        <f>$DC$8</f>
        <v>HingedDoubleHingedFrames</v>
      </c>
      <c r="CY11" s="7" t="s">
        <v>243</v>
      </c>
      <c r="DB11" s="7" t="e">
        <f t="shared" si="7"/>
        <v>#N/A</v>
      </c>
      <c r="DC11" s="222" t="s">
        <v>386</v>
      </c>
      <c r="DH11" s="7" t="e">
        <f t="shared" si="8"/>
        <v>#N/A</v>
      </c>
      <c r="DI11" s="222" t="s">
        <v>386</v>
      </c>
      <c r="DJ11" s="223" t="str">
        <f t="shared" si="9"/>
        <v>FZFrameLeftRight</v>
      </c>
      <c r="DK11" s="223" t="str">
        <f t="shared" si="9"/>
        <v>FZFrameLeftRight</v>
      </c>
      <c r="DL11" s="223" t="str">
        <f t="shared" si="9"/>
        <v>FZFrameLeftRight</v>
      </c>
      <c r="DO11" s="7" t="s">
        <v>529</v>
      </c>
      <c r="DQ11" s="7" t="s">
        <v>30</v>
      </c>
      <c r="DS11" s="7" t="e">
        <f t="shared" si="10"/>
        <v>#N/A</v>
      </c>
      <c r="DW11" s="7" t="e">
        <f t="shared" si="11"/>
        <v>#N/A</v>
      </c>
      <c r="DX11" s="7" t="e">
        <f t="shared" si="12"/>
        <v>#N/A</v>
      </c>
      <c r="DZ11" s="7" t="str">
        <f t="shared" si="26"/>
        <v>EcoExternalAluminiumColour</v>
      </c>
      <c r="EB11" s="7" t="s">
        <v>508</v>
      </c>
      <c r="EF11" s="7" t="s">
        <v>36</v>
      </c>
      <c r="EG11" s="7">
        <v>3</v>
      </c>
      <c r="EH11" s="7">
        <f t="shared" si="27"/>
        <v>0</v>
      </c>
      <c r="EI11" s="7">
        <f>IF(T11="",0, VLOOKUP(M11,Data!$AY$3:$BA$120,3,FALSE))</f>
        <v>0</v>
      </c>
      <c r="EJ11" s="7">
        <f t="shared" si="28"/>
        <v>0</v>
      </c>
      <c r="EL11" s="7" t="s">
        <v>525</v>
      </c>
      <c r="EM11" s="7" t="str">
        <f>EO8</f>
        <v>TiltPrivacy</v>
      </c>
      <c r="EP11" s="7" t="e">
        <f t="shared" si="29"/>
        <v>#N/A</v>
      </c>
      <c r="EQ11" s="7" t="s">
        <v>366</v>
      </c>
      <c r="ES11" s="7" t="e">
        <f t="shared" si="30"/>
        <v>#N/A</v>
      </c>
      <c r="EV11" s="210" t="s">
        <v>25</v>
      </c>
      <c r="EW11" s="209" t="str">
        <f>$AF$8</f>
        <v xml:space="preserve"> 63mm114mmProductOut</v>
      </c>
      <c r="EX11" s="209" t="str">
        <f>$AJ$8</f>
        <v>AluminiumProductInOut</v>
      </c>
      <c r="EY11" s="209" t="str">
        <f>$AF$8</f>
        <v xml:space="preserve"> 63mm114mmProductOut</v>
      </c>
      <c r="FA11" s="7" t="e">
        <f t="shared" si="31"/>
        <v>#N/A</v>
      </c>
      <c r="FB11" s="7" t="e">
        <f t="shared" si="32"/>
        <v>#N/A</v>
      </c>
      <c r="FC11" s="7" t="e">
        <f t="shared" si="33"/>
        <v>#N/A</v>
      </c>
    </row>
    <row r="12" spans="1:159" ht="26.25" customHeight="1" x14ac:dyDescent="0.2">
      <c r="A12" s="14">
        <v>4</v>
      </c>
      <c r="B12" s="253"/>
      <c r="C12" s="260"/>
      <c r="D12" s="253"/>
      <c r="E12" s="254"/>
      <c r="F12" s="242"/>
      <c r="G12" s="242"/>
      <c r="H12" s="254"/>
      <c r="I12" s="254"/>
      <c r="J12" s="255"/>
      <c r="K12" s="255"/>
      <c r="L12" s="256"/>
      <c r="M12" s="255"/>
      <c r="N12" s="257"/>
      <c r="O12" s="257"/>
      <c r="P12" s="258"/>
      <c r="Q12" s="258"/>
      <c r="R12" s="258"/>
      <c r="S12" s="258"/>
      <c r="T12" s="258"/>
      <c r="U12" s="254"/>
      <c r="V12" s="254"/>
      <c r="W12" s="254"/>
      <c r="X12" s="250"/>
      <c r="Y12" s="257"/>
      <c r="Z12" s="263"/>
      <c r="AA12" s="262" t="str">
        <f t="shared" si="0"/>
        <v/>
      </c>
      <c r="AE12" s="198"/>
      <c r="AH12" s="7" t="str">
        <f t="shared" si="13"/>
        <v>AluminiumProductInOut</v>
      </c>
      <c r="AK12" s="7" t="e">
        <f t="shared" si="14"/>
        <v>#N/A</v>
      </c>
      <c r="AL12" s="7" t="e">
        <f t="shared" si="1"/>
        <v>#N/A</v>
      </c>
      <c r="AO12" s="7" t="s">
        <v>45</v>
      </c>
      <c r="AP12" s="7" t="str">
        <f>$AM$8</f>
        <v>FlushBoltYes</v>
      </c>
      <c r="AQ12" s="7" t="str">
        <f>$AS$8</f>
        <v>FlushBoltBiFoldSlinding</v>
      </c>
      <c r="AT12" s="7" t="e">
        <f t="shared" si="2"/>
        <v>#N/A</v>
      </c>
      <c r="AU12" s="7" t="b">
        <f>IF(L12=Data!$CD$1,Data!$CF$1, IF(L12=Data!$CD$2,Data!$CG$1,IF(L12=Data!$CD$3,Data!$CH$1,IF(L12=Data!$CD$4,Data!$CI$1,IF(L12=Data!$CD$5,Data!$CJ$1)))))</f>
        <v>0</v>
      </c>
      <c r="AV12" s="121" t="b">
        <f>IF(E12=Data!$E$1,Data!$A$1,IF('Eco Aluminium External Shutters'!E12=Data!$E$2,Data!$B$1,IF('Eco Aluminium External Shutters'!E12=Data!$E$3,Data!$C$1)))</f>
        <v>0</v>
      </c>
      <c r="AW12" s="121" t="b">
        <f>IF(E12=Data!$E$1,Data!$G$1, IF(E12=Data!$E$2,Data!$H$1, IF(E12=Data!$E$3,Data!$I$1)))</f>
        <v>0</v>
      </c>
      <c r="AX12" s="121" t="b">
        <f>IF(E12=Data!$E$1,Data!$K$1,IF(E12=Data!$E$2,Data!$L$1, IF(E12=Data!$E$3,Data!$M$1)))</f>
        <v>0</v>
      </c>
      <c r="AY12" s="121" t="b">
        <f>IF(E12=Data!$E$1,Data!$O$1, IF(E12=Data!$E$2,Data!$P$1, IF(E12=Data!$E$3,Data!$Q$1)))</f>
        <v>0</v>
      </c>
      <c r="AZ12" s="121" t="b">
        <f>IF(L12=Data!$AJ$2,Data!$AK$1,IF(L12=Data!$AJ$3,Data!$AL$1,IF(L12=Data!$AJ$4,Data!$AM$1,IF(L12=Data!$AJ$5,Data!$AN$1,IF(L12=Data!$AJ$6,Data!$AO$1, IF(L12=Data!$AJ$7,Data!$AP$1,IF(L12=Data!$AJ$8,Data!$AQ$1)))))))</f>
        <v>0</v>
      </c>
      <c r="BA12" s="121" t="b">
        <f>IF(L12=Data!$BO$1,Data!$BP$1, IF(L12=Data!$BO$2,Data!$BQ$1, IF(L12=Data!$BO$3,Data!$BR$1, IF(L12=Data!$BO$4,Data!$BS$1, IF(L12=Data!$BO$5,Data!$BT$1)))))</f>
        <v>0</v>
      </c>
      <c r="BB12" s="122">
        <f t="shared" si="3"/>
        <v>0</v>
      </c>
      <c r="BC12" s="122" t="e">
        <f>VLOOKUP(M12,Data!$AY$2:$AZ$120,2,FALSE)</f>
        <v>#N/A</v>
      </c>
      <c r="BD12" s="122" t="e">
        <f t="shared" si="4"/>
        <v>#N/A</v>
      </c>
      <c r="BE12" s="130" t="str">
        <f>IF(OR(AND(P12="",O12&lt;&gt;"")),VLOOKUP(O12,Data!$BC$2:$BD$6,2,FALSE),"")</f>
        <v/>
      </c>
      <c r="BF12" s="130" t="str">
        <f>IF(OR(AND(Q12="",O12&lt;&gt;"")),VLOOKUP(O12,Data!$BC$2:$BD$6,2,FALSE),"")</f>
        <v/>
      </c>
      <c r="BG12" s="130" t="str">
        <f>IF(OR(AND(R12="",O12&lt;&gt;"")),VLOOKUP(O12,Data!$BC$2:$BD$6,2,FALSE),"")</f>
        <v/>
      </c>
      <c r="BH12" s="130" t="str">
        <f>IF(OR(AND(S12="",O12&lt;&gt;"")),VLOOKUP(O12,Data!$BC$2:$BD$6,2,FALSE),"")</f>
        <v/>
      </c>
      <c r="BI12" s="132" t="b">
        <f>IF(L12=Data!$BF$2,Data!$BG$1, IF(L12=Data!$BF$3,Data!$BH$1, IF(L12=Data!$BF$4,Data!$BI$1, IF(L12=Data!$BF$5,Data!$BJ$1, IF(L12=Data!$BF$6,Data!$BK$1)))))</f>
        <v>0</v>
      </c>
      <c r="BJ12" s="132" t="str">
        <f>IF(OR(AND(D12&lt;830, Y12=Data!$BM$1)),"Yes","No")</f>
        <v>No</v>
      </c>
      <c r="BK12" s="132" t="e">
        <f>VLOOKUP(L12,Data!$BZ$1:$CA$5,2,FALSE)</f>
        <v>#N/A</v>
      </c>
      <c r="BL12" s="132" t="e">
        <f t="shared" si="5"/>
        <v>#DIV/0!</v>
      </c>
      <c r="BM12" s="132" t="e">
        <f t="shared" si="15"/>
        <v>#N/A</v>
      </c>
      <c r="BN12" s="132" t="e">
        <f t="shared" si="16"/>
        <v>#N/A</v>
      </c>
      <c r="BO12" s="188" t="str">
        <f>IF(SUM(--ISNUMBER( SEARCH({"t","T"},M12))),"Yes","No")</f>
        <v>No</v>
      </c>
      <c r="BP12" s="188" t="e">
        <f>VLOOKUP(T12,Data!$CL$2:$CO$9,2,FALSE)</f>
        <v>#N/A</v>
      </c>
      <c r="BQ12" s="188" t="e">
        <f>VLOOKUP(T12,Data!$CL$2:$CO$9,3,FALSE)</f>
        <v>#N/A</v>
      </c>
      <c r="BR12" s="188" t="e">
        <f>VLOOKUP(T12,Data!$CL$2:$CO$9,4,FALSE)</f>
        <v>#N/A</v>
      </c>
      <c r="BS12" s="132" t="e">
        <f t="shared" si="17"/>
        <v>#N/A</v>
      </c>
      <c r="BT12" s="132" t="e">
        <f t="shared" si="18"/>
        <v>#N/A</v>
      </c>
      <c r="BU12" s="132" t="e">
        <f t="shared" si="19"/>
        <v>#N/A</v>
      </c>
      <c r="BV12" s="132" t="str">
        <f t="shared" si="20"/>
        <v/>
      </c>
      <c r="BW12" s="132" t="str">
        <f t="shared" si="21"/>
        <v>No</v>
      </c>
      <c r="BX12" s="132" t="str">
        <f t="shared" si="22"/>
        <v>No</v>
      </c>
      <c r="BY12" s="132" t="str">
        <f t="shared" si="6"/>
        <v>No</v>
      </c>
      <c r="BZ12" s="7" t="s">
        <v>31</v>
      </c>
      <c r="CD12" s="7" t="s">
        <v>46</v>
      </c>
      <c r="CE12" s="7" t="s">
        <v>359</v>
      </c>
      <c r="CF12" s="7" t="b">
        <f t="shared" si="34"/>
        <v>0</v>
      </c>
      <c r="CK12" s="7" t="s">
        <v>498</v>
      </c>
      <c r="CL12" s="7" t="str">
        <f>$EQ$8</f>
        <v>Shaped</v>
      </c>
      <c r="CR12" s="7" t="e">
        <f t="shared" si="23"/>
        <v>#N/A</v>
      </c>
      <c r="CS12" s="7" t="e">
        <f t="shared" si="24"/>
        <v>#N/A</v>
      </c>
      <c r="CT12" s="7" t="e">
        <f t="shared" si="25"/>
        <v>#N/A</v>
      </c>
      <c r="CU12" s="7" t="s">
        <v>359</v>
      </c>
      <c r="CV12" s="7" t="s">
        <v>380</v>
      </c>
      <c r="CW12" s="7" t="str">
        <f>DA8</f>
        <v>StainlessSteelHingeOnly</v>
      </c>
      <c r="CX12" s="7" t="str">
        <f>DG8</f>
        <v>PivotHingedFrames</v>
      </c>
      <c r="DB12" s="7" t="e">
        <f t="shared" si="7"/>
        <v>#N/A</v>
      </c>
      <c r="DH12" s="7" t="e">
        <f t="shared" si="8"/>
        <v>#N/A</v>
      </c>
      <c r="DI12" s="7" t="s">
        <v>29</v>
      </c>
      <c r="DJ12" s="7" t="str">
        <f>DO8</f>
        <v>UChannelLeftRight</v>
      </c>
      <c r="DK12" s="7" t="str">
        <f>$DT$8</f>
        <v>TopBottomYes</v>
      </c>
      <c r="DL12" s="7" t="str">
        <f>$DT$8</f>
        <v>TopBottomYes</v>
      </c>
      <c r="DS12" s="7" t="e">
        <f t="shared" si="10"/>
        <v>#N/A</v>
      </c>
      <c r="DW12" s="7" t="e">
        <f t="shared" si="11"/>
        <v>#N/A</v>
      </c>
      <c r="DX12" s="7" t="e">
        <f t="shared" si="12"/>
        <v>#N/A</v>
      </c>
      <c r="DZ12" s="7" t="str">
        <f t="shared" si="26"/>
        <v>EcoExternalAluminiumColour</v>
      </c>
      <c r="EB12" s="7" t="s">
        <v>509</v>
      </c>
      <c r="EF12" s="7" t="s">
        <v>31</v>
      </c>
      <c r="EG12" s="7">
        <v>0</v>
      </c>
      <c r="EH12" s="7">
        <f t="shared" si="27"/>
        <v>0</v>
      </c>
      <c r="EI12" s="7">
        <f>IF(T12="",0, VLOOKUP(M12,Data!$AY$3:$BA$120,3,FALSE))</f>
        <v>0</v>
      </c>
      <c r="EJ12" s="7">
        <f t="shared" si="28"/>
        <v>0</v>
      </c>
      <c r="EP12" s="7" t="e">
        <f t="shared" si="29"/>
        <v>#N/A</v>
      </c>
      <c r="ES12" s="7" t="e">
        <f t="shared" si="30"/>
        <v>#N/A</v>
      </c>
      <c r="FA12" s="7" t="e">
        <f t="shared" si="31"/>
        <v>#N/A</v>
      </c>
      <c r="FB12" s="7" t="e">
        <f t="shared" si="32"/>
        <v>#N/A</v>
      </c>
      <c r="FC12" s="7" t="e">
        <f t="shared" si="33"/>
        <v>#N/A</v>
      </c>
    </row>
    <row r="13" spans="1:159" ht="26.25" customHeight="1" x14ac:dyDescent="0.2">
      <c r="A13" s="14">
        <v>5</v>
      </c>
      <c r="B13" s="253"/>
      <c r="C13" s="260"/>
      <c r="D13" s="253"/>
      <c r="E13" s="254"/>
      <c r="F13" s="242"/>
      <c r="G13" s="242"/>
      <c r="H13" s="254"/>
      <c r="I13" s="254"/>
      <c r="J13" s="255"/>
      <c r="K13" s="255"/>
      <c r="L13" s="256"/>
      <c r="M13" s="255"/>
      <c r="N13" s="257"/>
      <c r="O13" s="257"/>
      <c r="P13" s="258"/>
      <c r="Q13" s="258"/>
      <c r="R13" s="258"/>
      <c r="S13" s="258"/>
      <c r="T13" s="258"/>
      <c r="U13" s="254"/>
      <c r="V13" s="254"/>
      <c r="W13" s="254"/>
      <c r="X13" s="250"/>
      <c r="Y13" s="257"/>
      <c r="Z13" s="263"/>
      <c r="AA13" s="262" t="str">
        <f t="shared" si="0"/>
        <v/>
      </c>
      <c r="AE13" s="198"/>
      <c r="AH13" s="7" t="str">
        <f t="shared" si="13"/>
        <v>AluminiumProductInOut</v>
      </c>
      <c r="AK13" s="7" t="e">
        <f t="shared" si="14"/>
        <v>#N/A</v>
      </c>
      <c r="AL13" s="7" t="e">
        <f t="shared" si="1"/>
        <v>#N/A</v>
      </c>
      <c r="AO13" s="7" t="s">
        <v>26</v>
      </c>
      <c r="AP13" s="7" t="str">
        <f>$AL$6</f>
        <v>FlushBoltLocationNA</v>
      </c>
      <c r="AQ13" s="7" t="str">
        <f>$AL$6</f>
        <v>FlushBoltLocationNA</v>
      </c>
      <c r="AT13" s="7" t="e">
        <f t="shared" si="2"/>
        <v>#N/A</v>
      </c>
      <c r="AU13" s="7" t="b">
        <f>IF(L13=Data!$CD$1,Data!$CF$1, IF(L13=Data!$CD$2,Data!$CG$1,IF(L13=Data!$CD$3,Data!$CH$1,IF(L13=Data!$CD$4,Data!$CI$1,IF(L13=Data!$CD$5,Data!$CJ$1)))))</f>
        <v>0</v>
      </c>
      <c r="AV13" s="121" t="b">
        <f>IF(E13=Data!$E$1,Data!$A$1,IF('Eco Aluminium External Shutters'!E13=Data!$E$2,Data!$B$1,IF('Eco Aluminium External Shutters'!E13=Data!$E$3,Data!$C$1)))</f>
        <v>0</v>
      </c>
      <c r="AW13" s="121" t="b">
        <f>IF(E13=Data!$E$1,Data!$G$1, IF(E13=Data!$E$2,Data!$H$1, IF(E13=Data!$E$3,Data!$I$1)))</f>
        <v>0</v>
      </c>
      <c r="AX13" s="121" t="b">
        <f>IF(E13=Data!$E$1,Data!$K$1,IF(E13=Data!$E$2,Data!$L$1, IF(E13=Data!$E$3,Data!$M$1)))</f>
        <v>0</v>
      </c>
      <c r="AY13" s="121" t="b">
        <f>IF(E13=Data!$E$1,Data!$O$1, IF(E13=Data!$E$2,Data!$P$1, IF(E13=Data!$E$3,Data!$Q$1)))</f>
        <v>0</v>
      </c>
      <c r="AZ13" s="121" t="b">
        <f>IF(L13=Data!$AJ$2,Data!$AK$1,IF(L13=Data!$AJ$3,Data!$AL$1,IF(L13=Data!$AJ$4,Data!$AM$1,IF(L13=Data!$AJ$5,Data!$AN$1,IF(L13=Data!$AJ$6,Data!$AO$1, IF(L13=Data!$AJ$7,Data!$AP$1,IF(L13=Data!$AJ$8,Data!$AQ$1)))))))</f>
        <v>0</v>
      </c>
      <c r="BA13" s="121" t="b">
        <f>IF(L13=Data!$BO$1,Data!$BP$1, IF(L13=Data!$BO$2,Data!$BQ$1, IF(L13=Data!$BO$3,Data!$BR$1, IF(L13=Data!$BO$4,Data!$BS$1, IF(L13=Data!$BO$5,Data!$BT$1)))))</f>
        <v>0</v>
      </c>
      <c r="BB13" s="122">
        <f t="shared" si="3"/>
        <v>0</v>
      </c>
      <c r="BC13" s="122" t="e">
        <f>VLOOKUP(M13,Data!$AY$2:$AZ$120,2,FALSE)</f>
        <v>#N/A</v>
      </c>
      <c r="BD13" s="122" t="e">
        <f t="shared" si="4"/>
        <v>#N/A</v>
      </c>
      <c r="BE13" s="130" t="str">
        <f>IF(OR(AND(P13="",O13&lt;&gt;"")),VLOOKUP(O13,Data!$BC$2:$BD$6,2,FALSE),"")</f>
        <v/>
      </c>
      <c r="BF13" s="130" t="str">
        <f>IF(OR(AND(Q13="",O13&lt;&gt;"")),VLOOKUP(O13,Data!$BC$2:$BD$6,2,FALSE),"")</f>
        <v/>
      </c>
      <c r="BG13" s="130" t="str">
        <f>IF(OR(AND(R13="",O13&lt;&gt;"")),VLOOKUP(O13,Data!$BC$2:$BD$6,2,FALSE),"")</f>
        <v/>
      </c>
      <c r="BH13" s="130" t="str">
        <f>IF(OR(AND(S13="",O13&lt;&gt;"")),VLOOKUP(O13,Data!$BC$2:$BD$6,2,FALSE),"")</f>
        <v/>
      </c>
      <c r="BI13" s="132" t="b">
        <f>IF(L13=Data!$BF$2,Data!$BG$1, IF(L13=Data!$BF$3,Data!$BH$1, IF(L13=Data!$BF$4,Data!$BI$1, IF(L13=Data!$BF$5,Data!$BJ$1, IF(L13=Data!$BF$6,Data!$BK$1)))))</f>
        <v>0</v>
      </c>
      <c r="BJ13" s="132" t="str">
        <f>IF(OR(AND(D13&lt;830, Y13=Data!$BM$1)),"Yes","No")</f>
        <v>No</v>
      </c>
      <c r="BK13" s="132" t="e">
        <f>VLOOKUP(L13,Data!$BZ$1:$CA$5,2,FALSE)</f>
        <v>#N/A</v>
      </c>
      <c r="BL13" s="132" t="e">
        <f t="shared" si="5"/>
        <v>#DIV/0!</v>
      </c>
      <c r="BM13" s="132" t="e">
        <f t="shared" si="15"/>
        <v>#N/A</v>
      </c>
      <c r="BN13" s="132" t="e">
        <f t="shared" si="16"/>
        <v>#N/A</v>
      </c>
      <c r="BO13" s="188" t="str">
        <f>IF(SUM(--ISNUMBER( SEARCH({"t","T"},M13))),"Yes","No")</f>
        <v>No</v>
      </c>
      <c r="BP13" s="188" t="e">
        <f>VLOOKUP(T13,Data!$CL$2:$CO$9,2,FALSE)</f>
        <v>#N/A</v>
      </c>
      <c r="BQ13" s="188" t="e">
        <f>VLOOKUP(T13,Data!$CL$2:$CO$9,3,FALSE)</f>
        <v>#N/A</v>
      </c>
      <c r="BR13" s="188" t="e">
        <f>VLOOKUP(T13,Data!$CL$2:$CO$9,4,FALSE)</f>
        <v>#N/A</v>
      </c>
      <c r="BS13" s="132" t="e">
        <f t="shared" si="17"/>
        <v>#N/A</v>
      </c>
      <c r="BT13" s="132" t="e">
        <f t="shared" si="18"/>
        <v>#N/A</v>
      </c>
      <c r="BU13" s="132" t="e">
        <f t="shared" si="19"/>
        <v>#N/A</v>
      </c>
      <c r="BV13" s="132" t="str">
        <f t="shared" si="20"/>
        <v/>
      </c>
      <c r="BW13" s="132" t="str">
        <f t="shared" si="21"/>
        <v>No</v>
      </c>
      <c r="BX13" s="132" t="str">
        <f t="shared" si="22"/>
        <v>No</v>
      </c>
      <c r="BY13" s="132" t="str">
        <f t="shared" si="6"/>
        <v>No</v>
      </c>
      <c r="BZ13" s="7" t="s">
        <v>33</v>
      </c>
      <c r="CD13" s="7" t="s">
        <v>359</v>
      </c>
      <c r="CE13" s="7" t="s">
        <v>45</v>
      </c>
      <c r="CF13" s="7" t="b">
        <f t="shared" si="34"/>
        <v>0</v>
      </c>
      <c r="CK13" s="7" t="s">
        <v>451</v>
      </c>
      <c r="CL13" s="7" t="str">
        <f>$EQ$8</f>
        <v>Shaped</v>
      </c>
      <c r="CR13" s="7" t="e">
        <f t="shared" si="23"/>
        <v>#N/A</v>
      </c>
      <c r="CS13" s="7" t="e">
        <f t="shared" si="24"/>
        <v>#N/A</v>
      </c>
      <c r="CT13" s="7" t="e">
        <f t="shared" si="25"/>
        <v>#N/A</v>
      </c>
      <c r="CU13" s="7" t="s">
        <v>45</v>
      </c>
      <c r="CV13" s="7" t="s">
        <v>30</v>
      </c>
      <c r="CW13" s="7" t="str">
        <f>$CZ$8</f>
        <v>HingeColourNo</v>
      </c>
      <c r="CX13" s="7" t="str">
        <f>DE8</f>
        <v>SlidingFrames</v>
      </c>
      <c r="DB13" s="7" t="e">
        <f t="shared" si="7"/>
        <v>#N/A</v>
      </c>
      <c r="DH13" s="7" t="e">
        <f t="shared" si="8"/>
        <v>#N/A</v>
      </c>
      <c r="DI13" s="7" t="s">
        <v>393</v>
      </c>
      <c r="DJ13" s="7" t="str">
        <f>DP8</f>
        <v>SlidingFramesLeftRight</v>
      </c>
      <c r="DK13" s="7" t="str">
        <f>DV8</f>
        <v>SliidingBottomFrame</v>
      </c>
      <c r="DL13" s="7" t="str">
        <f>DU8</f>
        <v>SlidingTopFrame</v>
      </c>
      <c r="DS13" s="7" t="e">
        <f t="shared" si="10"/>
        <v>#N/A</v>
      </c>
      <c r="DW13" s="7" t="e">
        <f t="shared" si="11"/>
        <v>#N/A</v>
      </c>
      <c r="DX13" s="7" t="e">
        <f t="shared" si="12"/>
        <v>#N/A</v>
      </c>
      <c r="DZ13" s="7" t="str">
        <f t="shared" si="26"/>
        <v>EcoExternalAluminiumColour</v>
      </c>
      <c r="EB13" s="7" t="s">
        <v>510</v>
      </c>
      <c r="EF13" s="7" t="s">
        <v>33</v>
      </c>
      <c r="EG13" s="7">
        <v>0</v>
      </c>
      <c r="EH13" s="7">
        <f t="shared" si="27"/>
        <v>0</v>
      </c>
      <c r="EI13" s="7">
        <f>IF(T13="",0, VLOOKUP(M13,Data!$AY$3:$BA$120,3,FALSE))</f>
        <v>0</v>
      </c>
      <c r="EJ13" s="7">
        <f t="shared" si="28"/>
        <v>0</v>
      </c>
      <c r="EP13" s="7" t="e">
        <f t="shared" si="29"/>
        <v>#N/A</v>
      </c>
      <c r="ES13" s="7" t="e">
        <f t="shared" si="30"/>
        <v>#N/A</v>
      </c>
      <c r="FA13" s="7" t="e">
        <f t="shared" si="31"/>
        <v>#N/A</v>
      </c>
      <c r="FB13" s="7" t="e">
        <f t="shared" si="32"/>
        <v>#N/A</v>
      </c>
      <c r="FC13" s="7" t="e">
        <f t="shared" si="33"/>
        <v>#N/A</v>
      </c>
    </row>
    <row r="14" spans="1:159" ht="26.25" customHeight="1" x14ac:dyDescent="0.2">
      <c r="A14" s="14">
        <v>6</v>
      </c>
      <c r="B14" s="253"/>
      <c r="C14" s="260"/>
      <c r="D14" s="253"/>
      <c r="E14" s="254"/>
      <c r="F14" s="242"/>
      <c r="G14" s="242"/>
      <c r="H14" s="254"/>
      <c r="I14" s="254"/>
      <c r="J14" s="255"/>
      <c r="K14" s="255"/>
      <c r="L14" s="256"/>
      <c r="M14" s="255"/>
      <c r="N14" s="257"/>
      <c r="O14" s="257"/>
      <c r="P14" s="258"/>
      <c r="Q14" s="258"/>
      <c r="R14" s="258"/>
      <c r="S14" s="258"/>
      <c r="T14" s="258"/>
      <c r="U14" s="254"/>
      <c r="V14" s="254"/>
      <c r="W14" s="254"/>
      <c r="X14" s="250"/>
      <c r="Y14" s="257"/>
      <c r="Z14" s="263"/>
      <c r="AA14" s="262" t="str">
        <f t="shared" si="0"/>
        <v/>
      </c>
      <c r="AE14" s="198"/>
      <c r="AH14" s="7" t="str">
        <f t="shared" si="13"/>
        <v>AluminiumProductInOut</v>
      </c>
      <c r="AK14" s="7" t="e">
        <f t="shared" si="14"/>
        <v>#N/A</v>
      </c>
      <c r="AL14" s="7" t="e">
        <f t="shared" si="1"/>
        <v>#N/A</v>
      </c>
      <c r="AO14" s="7" t="s">
        <v>360</v>
      </c>
      <c r="AP14" s="7" t="str">
        <f>$AM$8</f>
        <v>FlushBoltYes</v>
      </c>
      <c r="AQ14" s="7" t="str">
        <f>$AS$8</f>
        <v>FlushBoltBiFoldSlinding</v>
      </c>
      <c r="AT14" s="7" t="e">
        <f t="shared" si="2"/>
        <v>#N/A</v>
      </c>
      <c r="AU14" s="7" t="b">
        <f>IF(L14=Data!$CD$1,Data!$CF$1, IF(L14=Data!$CD$2,Data!$CG$1,IF(L14=Data!$CD$3,Data!$CH$1,IF(L14=Data!$CD$4,Data!$CI$1,IF(L14=Data!$CD$5,Data!$CJ$1)))))</f>
        <v>0</v>
      </c>
      <c r="AV14" s="121" t="b">
        <f>IF(E14=Data!$E$1,Data!$A$1,IF('Eco Aluminium External Shutters'!E14=Data!$E$2,Data!$B$1,IF('Eco Aluminium External Shutters'!E14=Data!$E$3,Data!$C$1)))</f>
        <v>0</v>
      </c>
      <c r="AW14" s="121" t="b">
        <f>IF(E14=Data!$E$1,Data!$G$1, IF(E14=Data!$E$2,Data!$H$1, IF(E14=Data!$E$3,Data!$I$1)))</f>
        <v>0</v>
      </c>
      <c r="AX14" s="121" t="b">
        <f>IF(E14=Data!$E$1,Data!$K$1,IF(E14=Data!$E$2,Data!$L$1, IF(E14=Data!$E$3,Data!$M$1)))</f>
        <v>0</v>
      </c>
      <c r="AY14" s="121" t="b">
        <f>IF(E14=Data!$E$1,Data!$O$1, IF(E14=Data!$E$2,Data!$P$1, IF(E14=Data!$E$3,Data!$Q$1)))</f>
        <v>0</v>
      </c>
      <c r="AZ14" s="121" t="b">
        <f>IF(L14=Data!$AJ$2,Data!$AK$1,IF(L14=Data!$AJ$3,Data!$AL$1,IF(L14=Data!$AJ$4,Data!$AM$1,IF(L14=Data!$AJ$5,Data!$AN$1,IF(L14=Data!$AJ$6,Data!$AO$1, IF(L14=Data!$AJ$7,Data!$AP$1,IF(L14=Data!$AJ$8,Data!$AQ$1)))))))</f>
        <v>0</v>
      </c>
      <c r="BA14" s="121" t="b">
        <f>IF(L14=Data!$BO$1,Data!$BP$1, IF(L14=Data!$BO$2,Data!$BQ$1, IF(L14=Data!$BO$3,Data!$BR$1, IF(L14=Data!$BO$4,Data!$BS$1, IF(L14=Data!$BO$5,Data!$BT$1)))))</f>
        <v>0</v>
      </c>
      <c r="BB14" s="122">
        <f t="shared" si="3"/>
        <v>0</v>
      </c>
      <c r="BC14" s="122" t="e">
        <f>VLOOKUP(M14,Data!$AY$2:$AZ$120,2,FALSE)</f>
        <v>#N/A</v>
      </c>
      <c r="BD14" s="122" t="e">
        <f t="shared" si="4"/>
        <v>#N/A</v>
      </c>
      <c r="BE14" s="130" t="str">
        <f>IF(OR(AND(P14="",O14&lt;&gt;"")),VLOOKUP(O14,Data!$BC$2:$BD$6,2,FALSE),"")</f>
        <v/>
      </c>
      <c r="BF14" s="130" t="str">
        <f>IF(OR(AND(Q14="",O14&lt;&gt;"")),VLOOKUP(O14,Data!$BC$2:$BD$6,2,FALSE),"")</f>
        <v/>
      </c>
      <c r="BG14" s="130" t="str">
        <f>IF(OR(AND(R14="",O14&lt;&gt;"")),VLOOKUP(O14,Data!$BC$2:$BD$6,2,FALSE),"")</f>
        <v/>
      </c>
      <c r="BH14" s="130" t="str">
        <f>IF(OR(AND(S14="",O14&lt;&gt;"")),VLOOKUP(O14,Data!$BC$2:$BD$6,2,FALSE),"")</f>
        <v/>
      </c>
      <c r="BI14" s="132" t="b">
        <f>IF(L14=Data!$BF$2,Data!$BG$1, IF(L14=Data!$BF$3,Data!$BH$1, IF(L14=Data!$BF$4,Data!$BI$1, IF(L14=Data!$BF$5,Data!$BJ$1, IF(L14=Data!$BF$6,Data!$BK$1)))))</f>
        <v>0</v>
      </c>
      <c r="BJ14" s="132" t="str">
        <f>IF(OR(AND(D14&lt;830, Y14=Data!$BM$1)),"Yes","No")</f>
        <v>No</v>
      </c>
      <c r="BK14" s="132" t="e">
        <f>VLOOKUP(L14,Data!$BZ$1:$CA$5,2,FALSE)</f>
        <v>#N/A</v>
      </c>
      <c r="BL14" s="132" t="e">
        <f t="shared" si="5"/>
        <v>#DIV/0!</v>
      </c>
      <c r="BM14" s="132" t="e">
        <f t="shared" si="15"/>
        <v>#N/A</v>
      </c>
      <c r="BN14" s="132" t="e">
        <f t="shared" si="16"/>
        <v>#N/A</v>
      </c>
      <c r="BO14" s="188" t="str">
        <f>IF(SUM(--ISNUMBER( SEARCH({"t","T"},M14))),"Yes","No")</f>
        <v>No</v>
      </c>
      <c r="BP14" s="188" t="e">
        <f>VLOOKUP(T14,Data!$CL$2:$CO$9,2,FALSE)</f>
        <v>#N/A</v>
      </c>
      <c r="BQ14" s="188" t="e">
        <f>VLOOKUP(T14,Data!$CL$2:$CO$9,3,FALSE)</f>
        <v>#N/A</v>
      </c>
      <c r="BR14" s="188" t="e">
        <f>VLOOKUP(T14,Data!$CL$2:$CO$9,4,FALSE)</f>
        <v>#N/A</v>
      </c>
      <c r="BS14" s="132" t="e">
        <f t="shared" si="17"/>
        <v>#N/A</v>
      </c>
      <c r="BT14" s="132" t="e">
        <f t="shared" si="18"/>
        <v>#N/A</v>
      </c>
      <c r="BU14" s="132" t="e">
        <f t="shared" si="19"/>
        <v>#N/A</v>
      </c>
      <c r="BV14" s="132" t="str">
        <f t="shared" si="20"/>
        <v/>
      </c>
      <c r="BW14" s="132" t="str">
        <f t="shared" si="21"/>
        <v>No</v>
      </c>
      <c r="BX14" s="132" t="str">
        <f t="shared" si="22"/>
        <v>No</v>
      </c>
      <c r="BY14" s="132" t="str">
        <f t="shared" si="6"/>
        <v>No</v>
      </c>
      <c r="BZ14" s="7" t="s">
        <v>35</v>
      </c>
      <c r="CD14" s="7" t="s">
        <v>45</v>
      </c>
      <c r="CE14" s="7" t="s">
        <v>360</v>
      </c>
      <c r="CF14" s="7" t="b">
        <f t="shared" si="34"/>
        <v>0</v>
      </c>
      <c r="CK14" s="7" t="s">
        <v>499</v>
      </c>
      <c r="CL14" s="7" t="str">
        <f>$ER$8</f>
        <v>NoShapes</v>
      </c>
      <c r="CR14" s="7" t="e">
        <f t="shared" si="23"/>
        <v>#N/A</v>
      </c>
      <c r="CS14" s="7" t="e">
        <f t="shared" si="24"/>
        <v>#N/A</v>
      </c>
      <c r="CT14" s="7" t="e">
        <f t="shared" si="25"/>
        <v>#N/A</v>
      </c>
      <c r="CU14" s="7" t="s">
        <v>26</v>
      </c>
      <c r="CV14" s="7" t="s">
        <v>30</v>
      </c>
      <c r="CW14" s="7" t="str">
        <f>$CZ$8</f>
        <v>HingeColourNo</v>
      </c>
      <c r="CX14" s="7" t="str">
        <f>$DY$8</f>
        <v>FrameNA</v>
      </c>
      <c r="DB14" s="7" t="e">
        <f t="shared" si="7"/>
        <v>#N/A</v>
      </c>
      <c r="DH14" s="7" t="e">
        <f t="shared" si="8"/>
        <v>#N/A</v>
      </c>
      <c r="DI14" s="7" t="s">
        <v>394</v>
      </c>
      <c r="DJ14" s="7" t="str">
        <f>DQ8</f>
        <v>BiFoldFramesLeftRight</v>
      </c>
      <c r="DK14" s="7" t="str">
        <f>DV8</f>
        <v>SliidingBottomFrame</v>
      </c>
      <c r="DL14" s="7" t="str">
        <f>DU8</f>
        <v>SlidingTopFrame</v>
      </c>
      <c r="DS14" s="7" t="e">
        <f t="shared" si="10"/>
        <v>#N/A</v>
      </c>
      <c r="DW14" s="7" t="e">
        <f t="shared" si="11"/>
        <v>#N/A</v>
      </c>
      <c r="DX14" s="7" t="e">
        <f t="shared" si="12"/>
        <v>#N/A</v>
      </c>
      <c r="DZ14" s="7" t="str">
        <f t="shared" si="26"/>
        <v>EcoExternalAluminiumColour</v>
      </c>
      <c r="EB14" s="7" t="s">
        <v>511</v>
      </c>
      <c r="EF14" s="7" t="s">
        <v>35</v>
      </c>
      <c r="EG14" s="7">
        <v>0</v>
      </c>
      <c r="EH14" s="7">
        <f t="shared" si="27"/>
        <v>0</v>
      </c>
      <c r="EI14" s="7">
        <f>IF(T14="",0, VLOOKUP(M14,Data!$AY$3:$BA$120,3,FALSE))</f>
        <v>0</v>
      </c>
      <c r="EJ14" s="7">
        <f t="shared" si="28"/>
        <v>0</v>
      </c>
      <c r="EP14" s="7" t="e">
        <f t="shared" si="29"/>
        <v>#N/A</v>
      </c>
      <c r="ES14" s="7" t="e">
        <f t="shared" si="30"/>
        <v>#N/A</v>
      </c>
      <c r="FA14" s="7" t="e">
        <f t="shared" si="31"/>
        <v>#N/A</v>
      </c>
      <c r="FB14" s="7" t="e">
        <f t="shared" si="32"/>
        <v>#N/A</v>
      </c>
      <c r="FC14" s="7" t="e">
        <f t="shared" si="33"/>
        <v>#N/A</v>
      </c>
    </row>
    <row r="15" spans="1:159" ht="26.25" customHeight="1" x14ac:dyDescent="0.2">
      <c r="A15" s="14">
        <v>7</v>
      </c>
      <c r="B15" s="253"/>
      <c r="C15" s="260"/>
      <c r="D15" s="253"/>
      <c r="E15" s="254"/>
      <c r="F15" s="242"/>
      <c r="G15" s="242"/>
      <c r="H15" s="254"/>
      <c r="I15" s="254"/>
      <c r="J15" s="255"/>
      <c r="K15" s="255"/>
      <c r="L15" s="256"/>
      <c r="M15" s="255"/>
      <c r="N15" s="257"/>
      <c r="O15" s="257"/>
      <c r="P15" s="258"/>
      <c r="Q15" s="258"/>
      <c r="R15" s="258"/>
      <c r="S15" s="258"/>
      <c r="T15" s="258"/>
      <c r="U15" s="254"/>
      <c r="V15" s="254"/>
      <c r="W15" s="254"/>
      <c r="X15" s="250"/>
      <c r="Y15" s="257"/>
      <c r="Z15" s="263"/>
      <c r="AA15" s="262" t="str">
        <f t="shared" si="0"/>
        <v/>
      </c>
      <c r="AE15" s="198"/>
      <c r="AH15" s="7" t="str">
        <f t="shared" si="13"/>
        <v>AluminiumProductInOut</v>
      </c>
      <c r="AK15" s="7" t="e">
        <f t="shared" si="14"/>
        <v>#N/A</v>
      </c>
      <c r="AL15" s="7" t="e">
        <f t="shared" si="1"/>
        <v>#N/A</v>
      </c>
      <c r="AT15" s="7" t="e">
        <f t="shared" si="2"/>
        <v>#N/A</v>
      </c>
      <c r="AU15" s="7" t="b">
        <f>IF(L15=Data!$CD$1,Data!$CF$1, IF(L15=Data!$CD$2,Data!$CG$1,IF(L15=Data!$CD$3,Data!$CH$1,IF(L15=Data!$CD$4,Data!$CI$1,IF(L15=Data!$CD$5,Data!$CJ$1)))))</f>
        <v>0</v>
      </c>
      <c r="AV15" s="121" t="b">
        <f>IF(E15=Data!$E$1,Data!$A$1,IF('Eco Aluminium External Shutters'!E15=Data!$E$2,Data!$B$1,IF('Eco Aluminium External Shutters'!E15=Data!$E$3,Data!$C$1)))</f>
        <v>0</v>
      </c>
      <c r="AW15" s="121" t="b">
        <f>IF(E15=Data!$E$1,Data!$G$1, IF(E15=Data!$E$2,Data!$H$1, IF(E15=Data!$E$3,Data!$I$1)))</f>
        <v>0</v>
      </c>
      <c r="AX15" s="121" t="b">
        <f>IF(E15=Data!$E$1,Data!$K$1,IF(E15=Data!$E$2,Data!$L$1, IF(E15=Data!$E$3,Data!$M$1)))</f>
        <v>0</v>
      </c>
      <c r="AY15" s="121" t="b">
        <f>IF(E15=Data!$E$1,Data!$O$1, IF(E15=Data!$E$2,Data!$P$1, IF(E15=Data!$E$3,Data!$Q$1)))</f>
        <v>0</v>
      </c>
      <c r="AZ15" s="121" t="b">
        <f>IF(L15=Data!$AJ$2,Data!$AK$1,IF(L15=Data!$AJ$3,Data!$AL$1,IF(L15=Data!$AJ$4,Data!$AM$1,IF(L15=Data!$AJ$5,Data!$AN$1,IF(L15=Data!$AJ$6,Data!$AO$1, IF(L15=Data!$AJ$7,Data!$AP$1,IF(L15=Data!$AJ$8,Data!$AQ$1)))))))</f>
        <v>0</v>
      </c>
      <c r="BA15" s="121" t="b">
        <f>IF(L15=Data!$BO$1,Data!$BP$1, IF(L15=Data!$BO$2,Data!$BQ$1, IF(L15=Data!$BO$3,Data!$BR$1, IF(L15=Data!$BO$4,Data!$BS$1, IF(L15=Data!$BO$5,Data!$BT$1)))))</f>
        <v>0</v>
      </c>
      <c r="BB15" s="122">
        <f t="shared" si="3"/>
        <v>0</v>
      </c>
      <c r="BC15" s="122" t="e">
        <f>VLOOKUP(M15,Data!$AY$2:$AZ$120,2,FALSE)</f>
        <v>#N/A</v>
      </c>
      <c r="BD15" s="122" t="e">
        <f t="shared" si="4"/>
        <v>#N/A</v>
      </c>
      <c r="BE15" s="130" t="str">
        <f>IF(OR(AND(P15="",O15&lt;&gt;"")),VLOOKUP(O15,Data!$BC$2:$BD$6,2,FALSE),"")</f>
        <v/>
      </c>
      <c r="BF15" s="130" t="str">
        <f>IF(OR(AND(Q15="",O15&lt;&gt;"")),VLOOKUP(O15,Data!$BC$2:$BD$6,2,FALSE),"")</f>
        <v/>
      </c>
      <c r="BG15" s="130" t="str">
        <f>IF(OR(AND(R15="",O15&lt;&gt;"")),VLOOKUP(O15,Data!$BC$2:$BD$6,2,FALSE),"")</f>
        <v/>
      </c>
      <c r="BH15" s="130" t="str">
        <f>IF(OR(AND(S15="",O15&lt;&gt;"")),VLOOKUP(O15,Data!$BC$2:$BD$6,2,FALSE),"")</f>
        <v/>
      </c>
      <c r="BI15" s="132" t="b">
        <f>IF(L15=Data!$BF$2,Data!$BG$1, IF(L15=Data!$BF$3,Data!$BH$1, IF(L15=Data!$BF$4,Data!$BI$1, IF(L15=Data!$BF$5,Data!$BJ$1, IF(L15=Data!$BF$6,Data!$BK$1)))))</f>
        <v>0</v>
      </c>
      <c r="BJ15" s="132" t="str">
        <f>IF(OR(AND(D15&lt;830, Y15=Data!$BM$1)),"Yes","No")</f>
        <v>No</v>
      </c>
      <c r="BK15" s="132" t="e">
        <f>VLOOKUP(L15,Data!$BZ$1:$CA$5,2,FALSE)</f>
        <v>#N/A</v>
      </c>
      <c r="BL15" s="132" t="e">
        <f t="shared" si="5"/>
        <v>#DIV/0!</v>
      </c>
      <c r="BM15" s="132" t="e">
        <f t="shared" si="15"/>
        <v>#N/A</v>
      </c>
      <c r="BN15" s="132" t="e">
        <f t="shared" si="16"/>
        <v>#N/A</v>
      </c>
      <c r="BO15" s="188" t="str">
        <f>IF(SUM(--ISNUMBER( SEARCH({"t","T"},M15))),"Yes","No")</f>
        <v>No</v>
      </c>
      <c r="BP15" s="188" t="e">
        <f>VLOOKUP(T15,Data!$CL$2:$CO$9,2,FALSE)</f>
        <v>#N/A</v>
      </c>
      <c r="BQ15" s="188" t="e">
        <f>VLOOKUP(T15,Data!$CL$2:$CO$9,3,FALSE)</f>
        <v>#N/A</v>
      </c>
      <c r="BR15" s="188" t="e">
        <f>VLOOKUP(T15,Data!$CL$2:$CO$9,4,FALSE)</f>
        <v>#N/A</v>
      </c>
      <c r="BS15" s="132" t="e">
        <f t="shared" si="17"/>
        <v>#N/A</v>
      </c>
      <c r="BT15" s="132" t="e">
        <f t="shared" si="18"/>
        <v>#N/A</v>
      </c>
      <c r="BU15" s="132" t="e">
        <f t="shared" si="19"/>
        <v>#N/A</v>
      </c>
      <c r="BV15" s="132" t="str">
        <f t="shared" si="20"/>
        <v/>
      </c>
      <c r="BW15" s="132" t="str">
        <f t="shared" si="21"/>
        <v>No</v>
      </c>
      <c r="BX15" s="132" t="str">
        <f t="shared" si="22"/>
        <v>No</v>
      </c>
      <c r="BY15" s="132" t="str">
        <f t="shared" si="6"/>
        <v>No</v>
      </c>
      <c r="CD15" s="7" t="s">
        <v>360</v>
      </c>
      <c r="CF15" s="7" t="b">
        <f t="shared" si="34"/>
        <v>0</v>
      </c>
      <c r="CK15" s="7" t="s">
        <v>383</v>
      </c>
      <c r="CL15" s="7" t="str">
        <f>$EQ$8</f>
        <v>Shaped</v>
      </c>
      <c r="CR15" s="7" t="e">
        <f t="shared" si="23"/>
        <v>#N/A</v>
      </c>
      <c r="CS15" s="7" t="e">
        <f t="shared" si="24"/>
        <v>#N/A</v>
      </c>
      <c r="CT15" s="7" t="e">
        <f t="shared" si="25"/>
        <v>#N/A</v>
      </c>
      <c r="CU15" s="7" t="s">
        <v>360</v>
      </c>
      <c r="CV15" s="7" t="s">
        <v>19</v>
      </c>
      <c r="CW15" s="7" t="str">
        <f>$CY$8</f>
        <v>HingeColourYes</v>
      </c>
      <c r="CX15" s="7" t="str">
        <f>DF8</f>
        <v>BiFoldFrames</v>
      </c>
      <c r="DB15" s="7" t="e">
        <f t="shared" si="7"/>
        <v>#N/A</v>
      </c>
      <c r="DH15" s="7" t="e">
        <f t="shared" si="8"/>
        <v>#N/A</v>
      </c>
      <c r="DI15" s="7" t="s">
        <v>26</v>
      </c>
      <c r="DJ15" s="7" t="str">
        <f>$DY$8</f>
        <v>FrameNA</v>
      </c>
      <c r="DK15" s="7" t="str">
        <f>$DY$8</f>
        <v>FrameNA</v>
      </c>
      <c r="DL15" s="7" t="str">
        <f>$DY$8</f>
        <v>FrameNA</v>
      </c>
      <c r="DS15" s="7" t="e">
        <f t="shared" si="10"/>
        <v>#N/A</v>
      </c>
      <c r="DW15" s="7" t="e">
        <f t="shared" si="11"/>
        <v>#N/A</v>
      </c>
      <c r="DX15" s="7" t="e">
        <f t="shared" si="12"/>
        <v>#N/A</v>
      </c>
      <c r="DZ15" s="7" t="str">
        <f t="shared" si="26"/>
        <v>EcoExternalAluminiumColour</v>
      </c>
      <c r="EB15" s="7" t="s">
        <v>512</v>
      </c>
      <c r="EI15" s="7">
        <f>IF(T15="",0, VLOOKUP(M15,Data!$AY$3:$BA$120,3,FALSE))</f>
        <v>0</v>
      </c>
      <c r="EJ15" s="7">
        <f t="shared" si="28"/>
        <v>0</v>
      </c>
      <c r="EP15" s="7" t="e">
        <f t="shared" si="29"/>
        <v>#N/A</v>
      </c>
      <c r="ES15" s="7" t="e">
        <f t="shared" si="30"/>
        <v>#N/A</v>
      </c>
      <c r="FA15" s="7" t="e">
        <f t="shared" si="31"/>
        <v>#N/A</v>
      </c>
      <c r="FB15" s="7" t="e">
        <f t="shared" si="32"/>
        <v>#N/A</v>
      </c>
      <c r="FC15" s="7" t="e">
        <f t="shared" si="33"/>
        <v>#N/A</v>
      </c>
    </row>
    <row r="16" spans="1:159" ht="26.25" customHeight="1" x14ac:dyDescent="0.2">
      <c r="A16" s="14">
        <v>8</v>
      </c>
      <c r="B16" s="253"/>
      <c r="C16" s="260"/>
      <c r="D16" s="253"/>
      <c r="E16" s="254"/>
      <c r="F16" s="242"/>
      <c r="G16" s="242"/>
      <c r="H16" s="254"/>
      <c r="I16" s="254"/>
      <c r="J16" s="255"/>
      <c r="K16" s="255"/>
      <c r="L16" s="256"/>
      <c r="M16" s="255"/>
      <c r="N16" s="257"/>
      <c r="O16" s="257"/>
      <c r="P16" s="258"/>
      <c r="Q16" s="258"/>
      <c r="R16" s="258"/>
      <c r="S16" s="258"/>
      <c r="T16" s="258"/>
      <c r="U16" s="254"/>
      <c r="V16" s="254"/>
      <c r="W16" s="254"/>
      <c r="X16" s="250"/>
      <c r="Y16" s="257"/>
      <c r="Z16" s="263"/>
      <c r="AA16" s="262" t="str">
        <f t="shared" si="0"/>
        <v/>
      </c>
      <c r="AE16" s="198"/>
      <c r="AH16" s="7" t="str">
        <f t="shared" si="13"/>
        <v>AluminiumProductInOut</v>
      </c>
      <c r="AK16" s="7" t="e">
        <f t="shared" si="14"/>
        <v>#N/A</v>
      </c>
      <c r="AL16" s="7" t="e">
        <f t="shared" si="1"/>
        <v>#N/A</v>
      </c>
      <c r="AT16" s="7" t="e">
        <f t="shared" si="2"/>
        <v>#N/A</v>
      </c>
      <c r="AU16" s="7" t="b">
        <f>IF(L16=Data!$CD$1,Data!$CF$1, IF(L16=Data!$CD$2,Data!$CG$1,IF(L16=Data!$CD$3,Data!$CH$1,IF(L16=Data!$CD$4,Data!$CI$1,IF(L16=Data!$CD$5,Data!$CJ$1)))))</f>
        <v>0</v>
      </c>
      <c r="AV16" s="121" t="b">
        <f>IF(E16=Data!$E$1,Data!$A$1,IF('Eco Aluminium External Shutters'!E16=Data!$E$2,Data!$B$1,IF('Eco Aluminium External Shutters'!E16=Data!$E$3,Data!$C$1)))</f>
        <v>0</v>
      </c>
      <c r="AW16" s="121" t="b">
        <f>IF(E16=Data!$E$1,Data!$G$1, IF(E16=Data!$E$2,Data!$H$1, IF(E16=Data!$E$3,Data!$I$1)))</f>
        <v>0</v>
      </c>
      <c r="AX16" s="121" t="b">
        <f>IF(E16=Data!$E$1,Data!$K$1,IF(E16=Data!$E$2,Data!$L$1, IF(E16=Data!$E$3,Data!$M$1)))</f>
        <v>0</v>
      </c>
      <c r="AY16" s="121" t="b">
        <f>IF(E16=Data!$E$1,Data!$O$1, IF(E16=Data!$E$2,Data!$P$1, IF(E16=Data!$E$3,Data!$Q$1)))</f>
        <v>0</v>
      </c>
      <c r="AZ16" s="121" t="b">
        <f>IF(L16=Data!$AJ$2,Data!$AK$1,IF(L16=Data!$AJ$3,Data!$AL$1,IF(L16=Data!$AJ$4,Data!$AM$1,IF(L16=Data!$AJ$5,Data!$AN$1,IF(L16=Data!$AJ$6,Data!$AO$1, IF(L16=Data!$AJ$7,Data!$AP$1,IF(L16=Data!$AJ$8,Data!$AQ$1)))))))</f>
        <v>0</v>
      </c>
      <c r="BA16" s="121" t="b">
        <f>IF(L16=Data!$BO$1,Data!$BP$1, IF(L16=Data!$BO$2,Data!$BQ$1, IF(L16=Data!$BO$3,Data!$BR$1, IF(L16=Data!$BO$4,Data!$BS$1, IF(L16=Data!$BO$5,Data!$BT$1)))))</f>
        <v>0</v>
      </c>
      <c r="BB16" s="122">
        <f t="shared" si="3"/>
        <v>0</v>
      </c>
      <c r="BC16" s="122" t="e">
        <f>VLOOKUP(M16,Data!$AY$2:$AZ$120,2,FALSE)</f>
        <v>#N/A</v>
      </c>
      <c r="BD16" s="122" t="e">
        <f t="shared" si="4"/>
        <v>#N/A</v>
      </c>
      <c r="BE16" s="130" t="str">
        <f>IF(OR(AND(P16="",O16&lt;&gt;"")),VLOOKUP(O16,Data!$BC$2:$BD$6,2,FALSE),"")</f>
        <v/>
      </c>
      <c r="BF16" s="130" t="str">
        <f>IF(OR(AND(Q16="",O16&lt;&gt;"")),VLOOKUP(O16,Data!$BC$2:$BD$6,2,FALSE),"")</f>
        <v/>
      </c>
      <c r="BG16" s="130" t="str">
        <f>IF(OR(AND(R16="",O16&lt;&gt;"")),VLOOKUP(O16,Data!$BC$2:$BD$6,2,FALSE),"")</f>
        <v/>
      </c>
      <c r="BH16" s="130" t="str">
        <f>IF(OR(AND(S16="",O16&lt;&gt;"")),VLOOKUP(O16,Data!$BC$2:$BD$6,2,FALSE),"")</f>
        <v/>
      </c>
      <c r="BI16" s="132" t="b">
        <f>IF(L16=Data!$BF$2,Data!$BG$1, IF(L16=Data!$BF$3,Data!$BH$1, IF(L16=Data!$BF$4,Data!$BI$1, IF(L16=Data!$BF$5,Data!$BJ$1, IF(L16=Data!$BF$6,Data!$BK$1)))))</f>
        <v>0</v>
      </c>
      <c r="BJ16" s="132" t="str">
        <f>IF(OR(AND(D16&lt;830, Y16=Data!$BM$1)),"Yes","No")</f>
        <v>No</v>
      </c>
      <c r="BK16" s="132" t="e">
        <f>VLOOKUP(L16,Data!$BZ$1:$CA$5,2,FALSE)</f>
        <v>#N/A</v>
      </c>
      <c r="BL16" s="132" t="e">
        <f t="shared" si="5"/>
        <v>#DIV/0!</v>
      </c>
      <c r="BM16" s="132" t="e">
        <f t="shared" si="15"/>
        <v>#N/A</v>
      </c>
      <c r="BN16" s="132" t="e">
        <f t="shared" si="16"/>
        <v>#N/A</v>
      </c>
      <c r="BO16" s="188" t="str">
        <f>IF(SUM(--ISNUMBER( SEARCH({"t","T"},M16))),"Yes","No")</f>
        <v>No</v>
      </c>
      <c r="BP16" s="188" t="e">
        <f>VLOOKUP(T16,Data!$CL$2:$CO$9,2,FALSE)</f>
        <v>#N/A</v>
      </c>
      <c r="BQ16" s="188" t="e">
        <f>VLOOKUP(T16,Data!$CL$2:$CO$9,3,FALSE)</f>
        <v>#N/A</v>
      </c>
      <c r="BR16" s="188" t="e">
        <f>VLOOKUP(T16,Data!$CL$2:$CO$9,4,FALSE)</f>
        <v>#N/A</v>
      </c>
      <c r="BS16" s="132" t="e">
        <f t="shared" si="17"/>
        <v>#N/A</v>
      </c>
      <c r="BT16" s="132" t="e">
        <f t="shared" si="18"/>
        <v>#N/A</v>
      </c>
      <c r="BU16" s="132" t="e">
        <f t="shared" si="19"/>
        <v>#N/A</v>
      </c>
      <c r="BV16" s="132" t="str">
        <f t="shared" si="20"/>
        <v/>
      </c>
      <c r="BW16" s="132" t="str">
        <f t="shared" si="21"/>
        <v>No</v>
      </c>
      <c r="BX16" s="132" t="str">
        <f t="shared" si="22"/>
        <v>No</v>
      </c>
      <c r="BY16" s="132" t="str">
        <f t="shared" si="6"/>
        <v>No</v>
      </c>
      <c r="CF16" s="7" t="b">
        <f t="shared" si="34"/>
        <v>0</v>
      </c>
      <c r="CK16" s="7" t="s">
        <v>544</v>
      </c>
      <c r="CL16" s="7" t="str">
        <f>$ER$8</f>
        <v>NoShapes</v>
      </c>
      <c r="CR16" s="7" t="e">
        <f t="shared" si="23"/>
        <v>#N/A</v>
      </c>
      <c r="CS16" s="7" t="e">
        <f t="shared" si="24"/>
        <v>#N/A</v>
      </c>
      <c r="CT16" s="7" t="e">
        <f t="shared" si="25"/>
        <v>#N/A</v>
      </c>
      <c r="DB16" s="7" t="e">
        <f t="shared" si="7"/>
        <v>#N/A</v>
      </c>
      <c r="DH16" s="7" t="e">
        <f t="shared" si="8"/>
        <v>#N/A</v>
      </c>
      <c r="DI16" s="7" t="s">
        <v>395</v>
      </c>
      <c r="DJ16" s="7" t="str">
        <f>DR8</f>
        <v>PanelOnly</v>
      </c>
      <c r="DK16" s="7" t="str">
        <f>$DR$8</f>
        <v>PanelOnly</v>
      </c>
      <c r="DL16" s="7" t="str">
        <f>$DR$8</f>
        <v>PanelOnly</v>
      </c>
      <c r="DS16" s="7" t="e">
        <f t="shared" si="10"/>
        <v>#N/A</v>
      </c>
      <c r="DW16" s="7" t="e">
        <f t="shared" si="11"/>
        <v>#N/A</v>
      </c>
      <c r="DX16" s="7" t="e">
        <f t="shared" si="12"/>
        <v>#N/A</v>
      </c>
      <c r="DZ16" s="7" t="str">
        <f t="shared" si="26"/>
        <v>EcoExternalAluminiumColour</v>
      </c>
      <c r="EB16" s="7" t="s">
        <v>513</v>
      </c>
      <c r="EI16" s="7">
        <f>IF(T16="",0, VLOOKUP(M16,Data!$AY$3:$BA$120,3,FALSE))</f>
        <v>0</v>
      </c>
      <c r="EJ16" s="7">
        <f t="shared" si="28"/>
        <v>0</v>
      </c>
      <c r="EP16" s="7" t="e">
        <f t="shared" si="29"/>
        <v>#N/A</v>
      </c>
      <c r="ES16" s="7" t="e">
        <f t="shared" si="30"/>
        <v>#N/A</v>
      </c>
      <c r="FA16" s="7" t="e">
        <f t="shared" si="31"/>
        <v>#N/A</v>
      </c>
      <c r="FB16" s="7" t="e">
        <f t="shared" si="32"/>
        <v>#N/A</v>
      </c>
      <c r="FC16" s="7" t="e">
        <f t="shared" si="33"/>
        <v>#N/A</v>
      </c>
    </row>
    <row r="17" spans="1:159" ht="26.25" customHeight="1" x14ac:dyDescent="0.2">
      <c r="A17" s="14">
        <v>9</v>
      </c>
      <c r="B17" s="253"/>
      <c r="C17" s="260"/>
      <c r="D17" s="253"/>
      <c r="E17" s="254"/>
      <c r="F17" s="242"/>
      <c r="G17" s="242"/>
      <c r="H17" s="254"/>
      <c r="I17" s="254"/>
      <c r="J17" s="255"/>
      <c r="K17" s="255"/>
      <c r="L17" s="256"/>
      <c r="M17" s="255"/>
      <c r="N17" s="257"/>
      <c r="O17" s="257"/>
      <c r="P17" s="258"/>
      <c r="Q17" s="258"/>
      <c r="R17" s="258"/>
      <c r="S17" s="258"/>
      <c r="T17" s="258"/>
      <c r="U17" s="254"/>
      <c r="V17" s="254"/>
      <c r="W17" s="254"/>
      <c r="X17" s="250"/>
      <c r="Y17" s="257"/>
      <c r="Z17" s="263"/>
      <c r="AA17" s="262" t="str">
        <f t="shared" si="0"/>
        <v/>
      </c>
      <c r="AE17" s="198"/>
      <c r="AH17" s="7" t="str">
        <f t="shared" si="13"/>
        <v>AluminiumProductInOut</v>
      </c>
      <c r="AK17" s="7" t="e">
        <f t="shared" si="14"/>
        <v>#N/A</v>
      </c>
      <c r="AL17" s="7" t="e">
        <f t="shared" si="1"/>
        <v>#N/A</v>
      </c>
      <c r="AT17" s="7" t="e">
        <f t="shared" si="2"/>
        <v>#N/A</v>
      </c>
      <c r="AU17" s="7" t="b">
        <f>IF(L17=Data!$CD$1,Data!$CF$1, IF(L17=Data!$CD$2,Data!$CG$1,IF(L17=Data!$CD$3,Data!$CH$1,IF(L17=Data!$CD$4,Data!$CI$1,IF(L17=Data!$CD$5,Data!$CJ$1)))))</f>
        <v>0</v>
      </c>
      <c r="AV17" s="121" t="b">
        <f>IF(E17=Data!$E$1,Data!$A$1,IF('Eco Aluminium External Shutters'!E17=Data!$E$2,Data!$B$1,IF('Eco Aluminium External Shutters'!E17=Data!$E$3,Data!$C$1)))</f>
        <v>0</v>
      </c>
      <c r="AW17" s="121" t="b">
        <f>IF(E17=Data!$E$1,Data!$G$1, IF(E17=Data!$E$2,Data!$H$1, IF(E17=Data!$E$3,Data!$I$1)))</f>
        <v>0</v>
      </c>
      <c r="AX17" s="121" t="b">
        <f>IF(E17=Data!$E$1,Data!$K$1,IF(E17=Data!$E$2,Data!$L$1, IF(E17=Data!$E$3,Data!$M$1)))</f>
        <v>0</v>
      </c>
      <c r="AY17" s="121" t="b">
        <f>IF(E17=Data!$E$1,Data!$O$1, IF(E17=Data!$E$2,Data!$P$1, IF(E17=Data!$E$3,Data!$Q$1)))</f>
        <v>0</v>
      </c>
      <c r="AZ17" s="121" t="b">
        <f>IF(L17=Data!$AJ$2,Data!$AK$1,IF(L17=Data!$AJ$3,Data!$AL$1,IF(L17=Data!$AJ$4,Data!$AM$1,IF(L17=Data!$AJ$5,Data!$AN$1,IF(L17=Data!$AJ$6,Data!$AO$1, IF(L17=Data!$AJ$7,Data!$AP$1,IF(L17=Data!$AJ$8,Data!$AQ$1)))))))</f>
        <v>0</v>
      </c>
      <c r="BA17" s="121" t="b">
        <f>IF(L17=Data!$BO$1,Data!$BP$1, IF(L17=Data!$BO$2,Data!$BQ$1, IF(L17=Data!$BO$3,Data!$BR$1, IF(L17=Data!$BO$4,Data!$BS$1, IF(L17=Data!$BO$5,Data!$BT$1)))))</f>
        <v>0</v>
      </c>
      <c r="BB17" s="122">
        <f t="shared" ref="BB17:BB23" si="35">LEN(M17)</f>
        <v>0</v>
      </c>
      <c r="BC17" s="122" t="e">
        <f>VLOOKUP(M17,Data!$AY$2:$AZ$120,2,FALSE)</f>
        <v>#N/A</v>
      </c>
      <c r="BD17" s="122" t="e">
        <f t="shared" ref="BD17:BD23" si="36">IF(F17&lt;&gt;BC17,"Failed","Passed")</f>
        <v>#N/A</v>
      </c>
      <c r="BE17" s="130" t="str">
        <f>IF(OR(AND(P17="",O17&lt;&gt;"")),VLOOKUP(O17,Data!$BC$2:$BD$6,2,FALSE),"")</f>
        <v/>
      </c>
      <c r="BF17" s="130" t="str">
        <f>IF(OR(AND(Q17="",O17&lt;&gt;"")),VLOOKUP(O17,Data!$BC$2:$BD$6,2,FALSE),"")</f>
        <v/>
      </c>
      <c r="BG17" s="130" t="str">
        <f>IF(OR(AND(R17="",O17&lt;&gt;"")),VLOOKUP(O17,Data!$BC$2:$BD$6,2,FALSE),"")</f>
        <v/>
      </c>
      <c r="BH17" s="130" t="str">
        <f>IF(OR(AND(S17="",O17&lt;&gt;"")),VLOOKUP(O17,Data!$BC$2:$BD$6,2,FALSE),"")</f>
        <v/>
      </c>
      <c r="BI17" s="132" t="b">
        <f>IF(L17=Data!$BF$2,Data!$BG$1, IF(L17=Data!$BF$3,Data!$BH$1, IF(L17=Data!$BF$4,Data!$BI$1, IF(L17=Data!$BF$5,Data!$BJ$1, IF(L17=Data!$BF$6,Data!$BK$1)))))</f>
        <v>0</v>
      </c>
      <c r="BJ17" s="132" t="str">
        <f>IF(OR(AND(D17&lt;830, Y17=Data!$BM$1)),"Yes","No")</f>
        <v>No</v>
      </c>
      <c r="BK17" s="132" t="e">
        <f>VLOOKUP(L17,Data!$BZ$1:$CA$5,2,FALSE)</f>
        <v>#N/A</v>
      </c>
      <c r="BL17" s="132" t="e">
        <f t="shared" ref="BL17:BL23" si="37">IF(E17="MS",C17,(C17/F17))</f>
        <v>#DIV/0!</v>
      </c>
      <c r="BM17" s="132" t="e">
        <f t="shared" ref="BM17:BM23" si="38">BK17-BL17</f>
        <v>#N/A</v>
      </c>
      <c r="BN17" s="132" t="e">
        <f t="shared" ref="BN17:BN23" si="39">IF(BM17&lt;0, "Oversize", "OK")</f>
        <v>#N/A</v>
      </c>
      <c r="BO17" s="188" t="str">
        <f>IF(SUM(--ISNUMBER( SEARCH({"t","T"},M17))),"Yes","No")</f>
        <v>No</v>
      </c>
      <c r="BP17" s="188" t="e">
        <f>VLOOKUP(T17,Data!$CL$2:$CO$9,2,FALSE)</f>
        <v>#N/A</v>
      </c>
      <c r="BQ17" s="188" t="e">
        <f>VLOOKUP(T17,Data!$CL$2:$CO$9,3,FALSE)</f>
        <v>#N/A</v>
      </c>
      <c r="BR17" s="188" t="e">
        <f>VLOOKUP(T17,Data!$CL$2:$CO$9,4,FALSE)</f>
        <v>#N/A</v>
      </c>
      <c r="BS17" s="132" t="e">
        <f t="shared" ref="BS17:BS23" si="40">IF(OR(AND(BP17=1,U17="")), "Error", "OK")</f>
        <v>#N/A</v>
      </c>
      <c r="BT17" s="132" t="e">
        <f t="shared" ref="BT17:BT23" si="41">IF(OR(AND(BQ17=1,V17="")), "Error", "OK")</f>
        <v>#N/A</v>
      </c>
      <c r="BU17" s="132" t="e">
        <f t="shared" ref="BU17:BU23" si="42">IF(OR(AND(BR17=1,W17="")), "Error", "OK")</f>
        <v>#N/A</v>
      </c>
      <c r="BV17" s="132" t="str">
        <f t="shared" ref="BV17:BV23" si="43">IF(COUNTIF(BS17:BU17,$BV$7),"Required","")</f>
        <v/>
      </c>
      <c r="BW17" s="132" t="str">
        <f t="shared" ref="BW17:BW23" si="44">IF(OR(AND(BO17="Yes"), AND(BV17="Required")),"Yes","No")</f>
        <v>No</v>
      </c>
      <c r="BX17" s="132" t="str">
        <f t="shared" ref="BX17:BX23" si="45">IF(OR(AND(T17="", BW17="Yes")),"Highlight","No")</f>
        <v>No</v>
      </c>
      <c r="BY17" s="132" t="str">
        <f t="shared" ref="BY17:BY23" si="46">IF(OR(AND(D17&gt;1800, J17="")), "Yes","No")</f>
        <v>No</v>
      </c>
      <c r="CF17" s="7" t="b">
        <f t="shared" si="34"/>
        <v>0</v>
      </c>
      <c r="CK17" s="7" t="s">
        <v>504</v>
      </c>
      <c r="CL17" s="7" t="str">
        <f>$EQ$8</f>
        <v>Shaped</v>
      </c>
      <c r="CR17" s="7" t="e">
        <f t="shared" si="23"/>
        <v>#N/A</v>
      </c>
      <c r="CS17" s="7" t="e">
        <f t="shared" si="24"/>
        <v>#N/A</v>
      </c>
      <c r="CT17" s="7" t="e">
        <f t="shared" si="25"/>
        <v>#N/A</v>
      </c>
      <c r="DB17" s="7" t="e">
        <f t="shared" si="7"/>
        <v>#N/A</v>
      </c>
      <c r="DH17" s="7" t="e">
        <f t="shared" si="8"/>
        <v>#N/A</v>
      </c>
      <c r="DS17" s="7" t="e">
        <f t="shared" si="10"/>
        <v>#N/A</v>
      </c>
      <c r="DW17" s="7" t="e">
        <f t="shared" si="11"/>
        <v>#N/A</v>
      </c>
      <c r="DX17" s="7" t="e">
        <f t="shared" si="12"/>
        <v>#N/A</v>
      </c>
      <c r="DZ17" s="7" t="str">
        <f t="shared" si="26"/>
        <v>EcoExternalAluminiumColour</v>
      </c>
      <c r="EB17" s="7" t="s">
        <v>544</v>
      </c>
      <c r="EI17" s="7">
        <f>IF(T17="",0, VLOOKUP(M17,Data!$AY$3:$BA$120,3,FALSE))</f>
        <v>0</v>
      </c>
      <c r="EJ17" s="7">
        <f t="shared" si="28"/>
        <v>0</v>
      </c>
      <c r="EP17" s="7" t="e">
        <f t="shared" si="29"/>
        <v>#N/A</v>
      </c>
      <c r="ES17" s="7" t="e">
        <f t="shared" si="30"/>
        <v>#N/A</v>
      </c>
      <c r="FA17" s="7" t="e">
        <f t="shared" si="31"/>
        <v>#N/A</v>
      </c>
      <c r="FB17" s="7" t="e">
        <f t="shared" si="32"/>
        <v>#N/A</v>
      </c>
      <c r="FC17" s="7" t="e">
        <f t="shared" si="33"/>
        <v>#N/A</v>
      </c>
    </row>
    <row r="18" spans="1:159" ht="26.25" customHeight="1" x14ac:dyDescent="0.2">
      <c r="A18" s="14">
        <v>10</v>
      </c>
      <c r="B18" s="253"/>
      <c r="C18" s="260"/>
      <c r="D18" s="253"/>
      <c r="E18" s="254"/>
      <c r="F18" s="242"/>
      <c r="G18" s="242"/>
      <c r="H18" s="254"/>
      <c r="I18" s="254"/>
      <c r="J18" s="255"/>
      <c r="K18" s="255"/>
      <c r="L18" s="256"/>
      <c r="M18" s="255"/>
      <c r="N18" s="257"/>
      <c r="O18" s="257"/>
      <c r="P18" s="258"/>
      <c r="Q18" s="258"/>
      <c r="R18" s="258"/>
      <c r="S18" s="258"/>
      <c r="T18" s="258"/>
      <c r="U18" s="254"/>
      <c r="V18" s="254"/>
      <c r="W18" s="254"/>
      <c r="X18" s="250"/>
      <c r="Y18" s="257"/>
      <c r="Z18" s="263"/>
      <c r="AA18" s="262" t="str">
        <f t="shared" si="0"/>
        <v/>
      </c>
      <c r="AE18" s="198"/>
      <c r="AH18" s="7" t="str">
        <f t="shared" si="13"/>
        <v>AluminiumProductInOut</v>
      </c>
      <c r="AK18" s="7" t="e">
        <f t="shared" si="14"/>
        <v>#N/A</v>
      </c>
      <c r="AL18" s="7" t="e">
        <f t="shared" si="1"/>
        <v>#N/A</v>
      </c>
      <c r="AT18" s="7" t="e">
        <f t="shared" si="2"/>
        <v>#N/A</v>
      </c>
      <c r="AU18" s="7" t="b">
        <f>IF(L18=Data!$CD$1,Data!$CF$1, IF(L18=Data!$CD$2,Data!$CG$1,IF(L18=Data!$CD$3,Data!$CH$1,IF(L18=Data!$CD$4,Data!$CI$1,IF(L18=Data!$CD$5,Data!$CJ$1)))))</f>
        <v>0</v>
      </c>
      <c r="AV18" s="121" t="b">
        <f>IF(E18=Data!$E$1,Data!$A$1,IF('Eco Aluminium External Shutters'!E18=Data!$E$2,Data!$B$1,IF('Eco Aluminium External Shutters'!E18=Data!$E$3,Data!$C$1)))</f>
        <v>0</v>
      </c>
      <c r="AW18" s="121" t="b">
        <f>IF(E18=Data!$E$1,Data!$G$1, IF(E18=Data!$E$2,Data!$H$1, IF(E18=Data!$E$3,Data!$I$1)))</f>
        <v>0</v>
      </c>
      <c r="AX18" s="121" t="b">
        <f>IF(E18=Data!$E$1,Data!$K$1,IF(E18=Data!$E$2,Data!$L$1, IF(E18=Data!$E$3,Data!$M$1)))</f>
        <v>0</v>
      </c>
      <c r="AY18" s="121" t="b">
        <f>IF(E18=Data!$E$1,Data!$O$1, IF(E18=Data!$E$2,Data!$P$1, IF(E18=Data!$E$3,Data!$Q$1)))</f>
        <v>0</v>
      </c>
      <c r="AZ18" s="121" t="b">
        <f>IF(L18=Data!$AJ$2,Data!$AK$1,IF(L18=Data!$AJ$3,Data!$AL$1,IF(L18=Data!$AJ$4,Data!$AM$1,IF(L18=Data!$AJ$5,Data!$AN$1,IF(L18=Data!$AJ$6,Data!$AO$1, IF(L18=Data!$AJ$7,Data!$AP$1,IF(L18=Data!$AJ$8,Data!$AQ$1)))))))</f>
        <v>0</v>
      </c>
      <c r="BA18" s="121" t="b">
        <f>IF(L18=Data!$BO$1,Data!$BP$1, IF(L18=Data!$BO$2,Data!$BQ$1, IF(L18=Data!$BO$3,Data!$BR$1, IF(L18=Data!$BO$4,Data!$BS$1, IF(L18=Data!$BO$5,Data!$BT$1)))))</f>
        <v>0</v>
      </c>
      <c r="BB18" s="122">
        <f t="shared" si="35"/>
        <v>0</v>
      </c>
      <c r="BC18" s="122" t="e">
        <f>VLOOKUP(M18,Data!$AY$2:$AZ$120,2,FALSE)</f>
        <v>#N/A</v>
      </c>
      <c r="BD18" s="122" t="e">
        <f t="shared" si="36"/>
        <v>#N/A</v>
      </c>
      <c r="BE18" s="130" t="str">
        <f>IF(OR(AND(P18="",O18&lt;&gt;"")),VLOOKUP(O18,Data!$BC$2:$BD$6,2,FALSE),"")</f>
        <v/>
      </c>
      <c r="BF18" s="130" t="str">
        <f>IF(OR(AND(Q18="",O18&lt;&gt;"")),VLOOKUP(O18,Data!$BC$2:$BD$6,2,FALSE),"")</f>
        <v/>
      </c>
      <c r="BG18" s="130" t="str">
        <f>IF(OR(AND(R18="",O18&lt;&gt;"")),VLOOKUP(O18,Data!$BC$2:$BD$6,2,FALSE),"")</f>
        <v/>
      </c>
      <c r="BH18" s="130" t="str">
        <f>IF(OR(AND(S18="",O18&lt;&gt;"")),VLOOKUP(O18,Data!$BC$2:$BD$6,2,FALSE),"")</f>
        <v/>
      </c>
      <c r="BI18" s="132" t="b">
        <f>IF(L18=Data!$BF$2,Data!$BG$1, IF(L18=Data!$BF$3,Data!$BH$1, IF(L18=Data!$BF$4,Data!$BI$1, IF(L18=Data!$BF$5,Data!$BJ$1, IF(L18=Data!$BF$6,Data!$BK$1)))))</f>
        <v>0</v>
      </c>
      <c r="BJ18" s="132" t="str">
        <f>IF(OR(AND(D18&lt;830, Y18=Data!$BM$1)),"Yes","No")</f>
        <v>No</v>
      </c>
      <c r="BK18" s="132" t="e">
        <f>VLOOKUP(L18,Data!$BZ$1:$CA$5,2,FALSE)</f>
        <v>#N/A</v>
      </c>
      <c r="BL18" s="132" t="e">
        <f t="shared" si="37"/>
        <v>#DIV/0!</v>
      </c>
      <c r="BM18" s="132" t="e">
        <f t="shared" si="38"/>
        <v>#N/A</v>
      </c>
      <c r="BN18" s="132" t="e">
        <f t="shared" si="39"/>
        <v>#N/A</v>
      </c>
      <c r="BO18" s="188" t="str">
        <f>IF(SUM(--ISNUMBER( SEARCH({"t","T"},M18))),"Yes","No")</f>
        <v>No</v>
      </c>
      <c r="BP18" s="188" t="e">
        <f>VLOOKUP(T18,Data!$CL$2:$CO$9,2,FALSE)</f>
        <v>#N/A</v>
      </c>
      <c r="BQ18" s="188" t="e">
        <f>VLOOKUP(T18,Data!$CL$2:$CO$9,3,FALSE)</f>
        <v>#N/A</v>
      </c>
      <c r="BR18" s="188" t="e">
        <f>VLOOKUP(T18,Data!$CL$2:$CO$9,4,FALSE)</f>
        <v>#N/A</v>
      </c>
      <c r="BS18" s="132" t="e">
        <f t="shared" si="40"/>
        <v>#N/A</v>
      </c>
      <c r="BT18" s="132" t="e">
        <f t="shared" si="41"/>
        <v>#N/A</v>
      </c>
      <c r="BU18" s="132" t="e">
        <f t="shared" si="42"/>
        <v>#N/A</v>
      </c>
      <c r="BV18" s="132" t="str">
        <f t="shared" si="43"/>
        <v/>
      </c>
      <c r="BW18" s="132" t="str">
        <f t="shared" si="44"/>
        <v>No</v>
      </c>
      <c r="BX18" s="132" t="str">
        <f t="shared" si="45"/>
        <v>No</v>
      </c>
      <c r="BY18" s="132" t="str">
        <f t="shared" si="46"/>
        <v>No</v>
      </c>
      <c r="CF18" s="7" t="b">
        <f t="shared" si="34"/>
        <v>0</v>
      </c>
      <c r="CR18" s="7" t="e">
        <f t="shared" si="23"/>
        <v>#N/A</v>
      </c>
      <c r="CS18" s="7" t="e">
        <f t="shared" si="24"/>
        <v>#N/A</v>
      </c>
      <c r="CT18" s="7" t="e">
        <f t="shared" si="25"/>
        <v>#N/A</v>
      </c>
      <c r="DB18" s="7" t="e">
        <f t="shared" si="7"/>
        <v>#N/A</v>
      </c>
      <c r="DH18" s="7" t="e">
        <f t="shared" si="8"/>
        <v>#N/A</v>
      </c>
      <c r="DS18" s="7" t="e">
        <f t="shared" si="10"/>
        <v>#N/A</v>
      </c>
      <c r="DW18" s="7" t="e">
        <f t="shared" si="11"/>
        <v>#N/A</v>
      </c>
      <c r="DX18" s="7" t="e">
        <f t="shared" si="12"/>
        <v>#N/A</v>
      </c>
      <c r="DZ18" s="7" t="str">
        <f t="shared" si="26"/>
        <v>EcoExternalAluminiumColour</v>
      </c>
      <c r="EI18" s="7">
        <f>IF(T18="",0, VLOOKUP(M18,Data!$AY$3:$BA$120,3,FALSE))</f>
        <v>0</v>
      </c>
      <c r="EJ18" s="7">
        <f t="shared" si="28"/>
        <v>0</v>
      </c>
      <c r="EP18" s="7" t="e">
        <f t="shared" si="29"/>
        <v>#N/A</v>
      </c>
      <c r="ES18" s="7" t="e">
        <f t="shared" si="30"/>
        <v>#N/A</v>
      </c>
      <c r="FA18" s="7" t="e">
        <f t="shared" si="31"/>
        <v>#N/A</v>
      </c>
      <c r="FB18" s="7" t="e">
        <f t="shared" si="32"/>
        <v>#N/A</v>
      </c>
      <c r="FC18" s="7" t="e">
        <f t="shared" si="33"/>
        <v>#N/A</v>
      </c>
    </row>
    <row r="19" spans="1:159" ht="26.25" customHeight="1" x14ac:dyDescent="0.2">
      <c r="A19" s="14">
        <v>11</v>
      </c>
      <c r="B19" s="253"/>
      <c r="C19" s="260"/>
      <c r="D19" s="253"/>
      <c r="E19" s="254"/>
      <c r="F19" s="242"/>
      <c r="G19" s="242"/>
      <c r="H19" s="254"/>
      <c r="I19" s="254"/>
      <c r="J19" s="255"/>
      <c r="K19" s="255"/>
      <c r="L19" s="256"/>
      <c r="M19" s="255"/>
      <c r="N19" s="257"/>
      <c r="O19" s="257"/>
      <c r="P19" s="258"/>
      <c r="Q19" s="258"/>
      <c r="R19" s="258"/>
      <c r="S19" s="258"/>
      <c r="T19" s="258"/>
      <c r="U19" s="254"/>
      <c r="V19" s="254"/>
      <c r="W19" s="254"/>
      <c r="X19" s="250"/>
      <c r="Y19" s="257"/>
      <c r="Z19" s="263"/>
      <c r="AA19" s="262" t="str">
        <f t="shared" si="0"/>
        <v/>
      </c>
      <c r="AE19" s="198"/>
      <c r="AH19" s="7" t="str">
        <f t="shared" si="13"/>
        <v>AluminiumProductInOut</v>
      </c>
      <c r="AK19" s="7" t="e">
        <f t="shared" si="14"/>
        <v>#N/A</v>
      </c>
      <c r="AL19" s="7" t="e">
        <f t="shared" si="1"/>
        <v>#N/A</v>
      </c>
      <c r="AT19" s="7" t="e">
        <f t="shared" si="2"/>
        <v>#N/A</v>
      </c>
      <c r="AU19" s="7" t="b">
        <f>IF(L19=Data!$CD$1,Data!$CF$1, IF(L19=Data!$CD$2,Data!$CG$1,IF(L19=Data!$CD$3,Data!$CH$1,IF(L19=Data!$CD$4,Data!$CI$1,IF(L19=Data!$CD$5,Data!$CJ$1)))))</f>
        <v>0</v>
      </c>
      <c r="AV19" s="121" t="b">
        <f>IF(E19=Data!$E$1,Data!$A$1,IF('Eco Aluminium External Shutters'!E19=Data!$E$2,Data!$B$1,IF('Eco Aluminium External Shutters'!E19=Data!$E$3,Data!$C$1)))</f>
        <v>0</v>
      </c>
      <c r="AW19" s="121" t="b">
        <f>IF(E19=Data!$E$1,Data!$G$1, IF(E19=Data!$E$2,Data!$H$1, IF(E19=Data!$E$3,Data!$I$1)))</f>
        <v>0</v>
      </c>
      <c r="AX19" s="121" t="b">
        <f>IF(E19=Data!$E$1,Data!$K$1,IF(E19=Data!$E$2,Data!$L$1, IF(E19=Data!$E$3,Data!$M$1)))</f>
        <v>0</v>
      </c>
      <c r="AY19" s="121" t="b">
        <f>IF(E19=Data!$E$1,Data!$O$1, IF(E19=Data!$E$2,Data!$P$1, IF(E19=Data!$E$3,Data!$Q$1)))</f>
        <v>0</v>
      </c>
      <c r="AZ19" s="121" t="b">
        <f>IF(L19=Data!$AJ$2,Data!$AK$1,IF(L19=Data!$AJ$3,Data!$AL$1,IF(L19=Data!$AJ$4,Data!$AM$1,IF(L19=Data!$AJ$5,Data!$AN$1,IF(L19=Data!$AJ$6,Data!$AO$1, IF(L19=Data!$AJ$7,Data!$AP$1,IF(L19=Data!$AJ$8,Data!$AQ$1)))))))</f>
        <v>0</v>
      </c>
      <c r="BA19" s="121" t="b">
        <f>IF(L19=Data!$BO$1,Data!$BP$1, IF(L19=Data!$BO$2,Data!$BQ$1, IF(L19=Data!$BO$3,Data!$BR$1, IF(L19=Data!$BO$4,Data!$BS$1, IF(L19=Data!$BO$5,Data!$BT$1)))))</f>
        <v>0</v>
      </c>
      <c r="BB19" s="122">
        <f t="shared" si="35"/>
        <v>0</v>
      </c>
      <c r="BC19" s="122" t="e">
        <f>VLOOKUP(M19,Data!$AY$2:$AZ$120,2,FALSE)</f>
        <v>#N/A</v>
      </c>
      <c r="BD19" s="122" t="e">
        <f t="shared" si="36"/>
        <v>#N/A</v>
      </c>
      <c r="BE19" s="130" t="str">
        <f>IF(OR(AND(P19="",O19&lt;&gt;"")),VLOOKUP(O19,Data!$BC$2:$BD$6,2,FALSE),"")</f>
        <v/>
      </c>
      <c r="BF19" s="130" t="str">
        <f>IF(OR(AND(Q19="",O19&lt;&gt;"")),VLOOKUP(O19,Data!$BC$2:$BD$6,2,FALSE),"")</f>
        <v/>
      </c>
      <c r="BG19" s="130" t="str">
        <f>IF(OR(AND(R19="",O19&lt;&gt;"")),VLOOKUP(O19,Data!$BC$2:$BD$6,2,FALSE),"")</f>
        <v/>
      </c>
      <c r="BH19" s="130" t="str">
        <f>IF(OR(AND(S19="",O19&lt;&gt;"")),VLOOKUP(O19,Data!$BC$2:$BD$6,2,FALSE),"")</f>
        <v/>
      </c>
      <c r="BI19" s="132" t="b">
        <f>IF(L19=Data!$BF$2,Data!$BG$1, IF(L19=Data!$BF$3,Data!$BH$1, IF(L19=Data!$BF$4,Data!$BI$1, IF(L19=Data!$BF$5,Data!$BJ$1, IF(L19=Data!$BF$6,Data!$BK$1)))))</f>
        <v>0</v>
      </c>
      <c r="BJ19" s="132" t="str">
        <f>IF(OR(AND(D19&lt;830, Y19=Data!$BM$1)),"Yes","No")</f>
        <v>No</v>
      </c>
      <c r="BK19" s="132" t="e">
        <f>VLOOKUP(L19,Data!$BZ$1:$CA$5,2,FALSE)</f>
        <v>#N/A</v>
      </c>
      <c r="BL19" s="132" t="e">
        <f t="shared" si="37"/>
        <v>#DIV/0!</v>
      </c>
      <c r="BM19" s="132" t="e">
        <f t="shared" si="38"/>
        <v>#N/A</v>
      </c>
      <c r="BN19" s="132" t="e">
        <f t="shared" si="39"/>
        <v>#N/A</v>
      </c>
      <c r="BO19" s="188" t="str">
        <f>IF(SUM(--ISNUMBER( SEARCH({"t","T"},M19))),"Yes","No")</f>
        <v>No</v>
      </c>
      <c r="BP19" s="188" t="e">
        <f>VLOOKUP(T19,Data!$CL$2:$CO$9,2,FALSE)</f>
        <v>#N/A</v>
      </c>
      <c r="BQ19" s="188" t="e">
        <f>VLOOKUP(T19,Data!$CL$2:$CO$9,3,FALSE)</f>
        <v>#N/A</v>
      </c>
      <c r="BR19" s="188" t="e">
        <f>VLOOKUP(T19,Data!$CL$2:$CO$9,4,FALSE)</f>
        <v>#N/A</v>
      </c>
      <c r="BS19" s="132" t="e">
        <f t="shared" si="40"/>
        <v>#N/A</v>
      </c>
      <c r="BT19" s="132" t="e">
        <f t="shared" si="41"/>
        <v>#N/A</v>
      </c>
      <c r="BU19" s="132" t="e">
        <f t="shared" si="42"/>
        <v>#N/A</v>
      </c>
      <c r="BV19" s="132" t="str">
        <f t="shared" si="43"/>
        <v/>
      </c>
      <c r="BW19" s="132" t="str">
        <f t="shared" si="44"/>
        <v>No</v>
      </c>
      <c r="BX19" s="132" t="str">
        <f t="shared" si="45"/>
        <v>No</v>
      </c>
      <c r="BY19" s="132" t="str">
        <f t="shared" si="46"/>
        <v>No</v>
      </c>
      <c r="CF19" s="7" t="b">
        <f t="shared" si="34"/>
        <v>0</v>
      </c>
      <c r="CR19" s="7" t="e">
        <f t="shared" si="23"/>
        <v>#N/A</v>
      </c>
      <c r="CS19" s="7" t="e">
        <f t="shared" si="24"/>
        <v>#N/A</v>
      </c>
      <c r="CT19" s="7" t="e">
        <f t="shared" si="25"/>
        <v>#N/A</v>
      </c>
      <c r="DB19" s="7" t="e">
        <f t="shared" si="7"/>
        <v>#N/A</v>
      </c>
      <c r="DH19" s="7" t="e">
        <f t="shared" si="8"/>
        <v>#N/A</v>
      </c>
      <c r="DS19" s="7" t="e">
        <f t="shared" si="10"/>
        <v>#N/A</v>
      </c>
      <c r="DW19" s="7" t="e">
        <f t="shared" si="11"/>
        <v>#N/A</v>
      </c>
      <c r="DX19" s="7" t="e">
        <f t="shared" si="12"/>
        <v>#N/A</v>
      </c>
      <c r="DZ19" s="7" t="str">
        <f t="shared" si="26"/>
        <v>EcoExternalAluminiumColour</v>
      </c>
      <c r="EI19" s="7">
        <f>IF(T19="",0, VLOOKUP(M19,Data!$AY$3:$BA$120,3,FALSE))</f>
        <v>0</v>
      </c>
      <c r="EJ19" s="7">
        <f t="shared" si="28"/>
        <v>0</v>
      </c>
      <c r="EP19" s="7" t="e">
        <f t="shared" si="29"/>
        <v>#N/A</v>
      </c>
      <c r="ES19" s="7" t="e">
        <f t="shared" si="30"/>
        <v>#N/A</v>
      </c>
      <c r="FA19" s="7" t="e">
        <f t="shared" si="31"/>
        <v>#N/A</v>
      </c>
      <c r="FB19" s="7" t="e">
        <f t="shared" si="32"/>
        <v>#N/A</v>
      </c>
      <c r="FC19" s="7" t="e">
        <f t="shared" si="33"/>
        <v>#N/A</v>
      </c>
    </row>
    <row r="20" spans="1:159" ht="26.25" customHeight="1" x14ac:dyDescent="0.2">
      <c r="A20" s="14">
        <v>12</v>
      </c>
      <c r="B20" s="253"/>
      <c r="C20" s="260"/>
      <c r="D20" s="253"/>
      <c r="E20" s="254"/>
      <c r="F20" s="242"/>
      <c r="G20" s="242"/>
      <c r="H20" s="254"/>
      <c r="I20" s="254"/>
      <c r="J20" s="255"/>
      <c r="K20" s="255"/>
      <c r="L20" s="256"/>
      <c r="M20" s="255"/>
      <c r="N20" s="257"/>
      <c r="O20" s="257"/>
      <c r="P20" s="258"/>
      <c r="Q20" s="258"/>
      <c r="R20" s="258"/>
      <c r="S20" s="258"/>
      <c r="T20" s="258"/>
      <c r="U20" s="254"/>
      <c r="V20" s="254"/>
      <c r="W20" s="254"/>
      <c r="X20" s="250"/>
      <c r="Y20" s="257"/>
      <c r="Z20" s="263"/>
      <c r="AA20" s="262" t="str">
        <f t="shared" si="0"/>
        <v/>
      </c>
      <c r="AE20" s="198"/>
      <c r="AH20" s="7" t="str">
        <f t="shared" si="13"/>
        <v>AluminiumProductInOut</v>
      </c>
      <c r="AK20" s="7" t="e">
        <f t="shared" si="14"/>
        <v>#N/A</v>
      </c>
      <c r="AL20" s="7" t="e">
        <f t="shared" si="1"/>
        <v>#N/A</v>
      </c>
      <c r="AT20" s="7" t="e">
        <f t="shared" si="2"/>
        <v>#N/A</v>
      </c>
      <c r="AU20" s="7" t="b">
        <f>IF(L20=Data!$CD$1,Data!$CF$1, IF(L20=Data!$CD$2,Data!$CG$1,IF(L20=Data!$CD$3,Data!$CH$1,IF(L20=Data!$CD$4,Data!$CI$1,IF(L20=Data!$CD$5,Data!$CJ$1)))))</f>
        <v>0</v>
      </c>
      <c r="AV20" s="121" t="b">
        <f>IF(E20=Data!$E$1,Data!$A$1,IF('Eco Aluminium External Shutters'!E20=Data!$E$2,Data!$B$1,IF('Eco Aluminium External Shutters'!E20=Data!$E$3,Data!$C$1)))</f>
        <v>0</v>
      </c>
      <c r="AW20" s="121" t="b">
        <f>IF(E20=Data!$E$1,Data!$G$1, IF(E20=Data!$E$2,Data!$H$1, IF(E20=Data!$E$3,Data!$I$1)))</f>
        <v>0</v>
      </c>
      <c r="AX20" s="121" t="b">
        <f>IF(E20=Data!$E$1,Data!$K$1,IF(E20=Data!$E$2,Data!$L$1, IF(E20=Data!$E$3,Data!$M$1)))</f>
        <v>0</v>
      </c>
      <c r="AY20" s="121" t="b">
        <f>IF(E20=Data!$E$1,Data!$O$1, IF(E20=Data!$E$2,Data!$P$1, IF(E20=Data!$E$3,Data!$Q$1)))</f>
        <v>0</v>
      </c>
      <c r="AZ20" s="121" t="b">
        <f>IF(L20=Data!$AJ$2,Data!$AK$1,IF(L20=Data!$AJ$3,Data!$AL$1,IF(L20=Data!$AJ$4,Data!$AM$1,IF(L20=Data!$AJ$5,Data!$AN$1,IF(L20=Data!$AJ$6,Data!$AO$1, IF(L20=Data!$AJ$7,Data!$AP$1,IF(L20=Data!$AJ$8,Data!$AQ$1)))))))</f>
        <v>0</v>
      </c>
      <c r="BA20" s="121" t="b">
        <f>IF(L20=Data!$BO$1,Data!$BP$1, IF(L20=Data!$BO$2,Data!$BQ$1, IF(L20=Data!$BO$3,Data!$BR$1, IF(L20=Data!$BO$4,Data!$BS$1, IF(L20=Data!$BO$5,Data!$BT$1)))))</f>
        <v>0</v>
      </c>
      <c r="BB20" s="122">
        <f t="shared" si="35"/>
        <v>0</v>
      </c>
      <c r="BC20" s="122" t="e">
        <f>VLOOKUP(M20,Data!$AY$2:$AZ$120,2,FALSE)</f>
        <v>#N/A</v>
      </c>
      <c r="BD20" s="122" t="e">
        <f t="shared" si="36"/>
        <v>#N/A</v>
      </c>
      <c r="BE20" s="130" t="str">
        <f>IF(OR(AND(P20="",O20&lt;&gt;"")),VLOOKUP(O20,Data!$BC$2:$BD$6,2,FALSE),"")</f>
        <v/>
      </c>
      <c r="BF20" s="130" t="str">
        <f>IF(OR(AND(Q20="",O20&lt;&gt;"")),VLOOKUP(O20,Data!$BC$2:$BD$6,2,FALSE),"")</f>
        <v/>
      </c>
      <c r="BG20" s="130" t="str">
        <f>IF(OR(AND(R20="",O20&lt;&gt;"")),VLOOKUP(O20,Data!$BC$2:$BD$6,2,FALSE),"")</f>
        <v/>
      </c>
      <c r="BH20" s="130" t="str">
        <f>IF(OR(AND(S20="",O20&lt;&gt;"")),VLOOKUP(O20,Data!$BC$2:$BD$6,2,FALSE),"")</f>
        <v/>
      </c>
      <c r="BI20" s="132" t="b">
        <f>IF(L20=Data!$BF$2,Data!$BG$1, IF(L20=Data!$BF$3,Data!$BH$1, IF(L20=Data!$BF$4,Data!$BI$1, IF(L20=Data!$BF$5,Data!$BJ$1, IF(L20=Data!$BF$6,Data!$BK$1)))))</f>
        <v>0</v>
      </c>
      <c r="BJ20" s="132" t="str">
        <f>IF(OR(AND(D20&lt;830, Y20=Data!$BM$1)),"Yes","No")</f>
        <v>No</v>
      </c>
      <c r="BK20" s="132" t="e">
        <f>VLOOKUP(L20,Data!$BZ$1:$CA$5,2,FALSE)</f>
        <v>#N/A</v>
      </c>
      <c r="BL20" s="132" t="e">
        <f t="shared" si="37"/>
        <v>#DIV/0!</v>
      </c>
      <c r="BM20" s="132" t="e">
        <f t="shared" si="38"/>
        <v>#N/A</v>
      </c>
      <c r="BN20" s="132" t="e">
        <f t="shared" si="39"/>
        <v>#N/A</v>
      </c>
      <c r="BO20" s="188" t="str">
        <f>IF(SUM(--ISNUMBER( SEARCH({"t","T"},M20))),"Yes","No")</f>
        <v>No</v>
      </c>
      <c r="BP20" s="188" t="e">
        <f>VLOOKUP(T20,Data!$CL$2:$CO$9,2,FALSE)</f>
        <v>#N/A</v>
      </c>
      <c r="BQ20" s="188" t="e">
        <f>VLOOKUP(T20,Data!$CL$2:$CO$9,3,FALSE)</f>
        <v>#N/A</v>
      </c>
      <c r="BR20" s="188" t="e">
        <f>VLOOKUP(T20,Data!$CL$2:$CO$9,4,FALSE)</f>
        <v>#N/A</v>
      </c>
      <c r="BS20" s="132" t="e">
        <f t="shared" si="40"/>
        <v>#N/A</v>
      </c>
      <c r="BT20" s="132" t="e">
        <f t="shared" si="41"/>
        <v>#N/A</v>
      </c>
      <c r="BU20" s="132" t="e">
        <f t="shared" si="42"/>
        <v>#N/A</v>
      </c>
      <c r="BV20" s="132" t="str">
        <f t="shared" si="43"/>
        <v/>
      </c>
      <c r="BW20" s="132" t="str">
        <f t="shared" si="44"/>
        <v>No</v>
      </c>
      <c r="BX20" s="132" t="str">
        <f t="shared" si="45"/>
        <v>No</v>
      </c>
      <c r="BY20" s="132" t="str">
        <f t="shared" si="46"/>
        <v>No</v>
      </c>
      <c r="CF20" s="7" t="b">
        <f t="shared" si="34"/>
        <v>0</v>
      </c>
      <c r="CR20" s="7" t="e">
        <f t="shared" si="23"/>
        <v>#N/A</v>
      </c>
      <c r="CS20" s="7" t="e">
        <f t="shared" si="24"/>
        <v>#N/A</v>
      </c>
      <c r="CT20" s="7" t="e">
        <f t="shared" si="25"/>
        <v>#N/A</v>
      </c>
      <c r="DB20" s="7" t="e">
        <f t="shared" si="7"/>
        <v>#N/A</v>
      </c>
      <c r="DH20" s="7" t="e">
        <f t="shared" si="8"/>
        <v>#N/A</v>
      </c>
      <c r="DS20" s="7" t="e">
        <f t="shared" si="10"/>
        <v>#N/A</v>
      </c>
      <c r="DW20" s="7" t="e">
        <f t="shared" si="11"/>
        <v>#N/A</v>
      </c>
      <c r="DX20" s="7" t="e">
        <f t="shared" si="12"/>
        <v>#N/A</v>
      </c>
      <c r="DZ20" s="7" t="str">
        <f t="shared" si="26"/>
        <v>EcoExternalAluminiumColour</v>
      </c>
      <c r="EI20" s="7">
        <f>IF(T20="",0, VLOOKUP(M20,Data!$AY$3:$BA$120,3,FALSE))</f>
        <v>0</v>
      </c>
      <c r="EJ20" s="7">
        <f t="shared" si="28"/>
        <v>0</v>
      </c>
      <c r="EP20" s="7" t="e">
        <f t="shared" si="29"/>
        <v>#N/A</v>
      </c>
      <c r="ES20" s="7" t="e">
        <f t="shared" si="30"/>
        <v>#N/A</v>
      </c>
      <c r="FA20" s="7" t="e">
        <f t="shared" si="31"/>
        <v>#N/A</v>
      </c>
      <c r="FB20" s="7" t="e">
        <f t="shared" si="32"/>
        <v>#N/A</v>
      </c>
      <c r="FC20" s="7" t="e">
        <f t="shared" si="33"/>
        <v>#N/A</v>
      </c>
    </row>
    <row r="21" spans="1:159" ht="26.25" customHeight="1" x14ac:dyDescent="0.2">
      <c r="A21" s="14">
        <v>13</v>
      </c>
      <c r="B21" s="253"/>
      <c r="C21" s="260"/>
      <c r="D21" s="253"/>
      <c r="E21" s="254"/>
      <c r="F21" s="242"/>
      <c r="G21" s="242"/>
      <c r="H21" s="254"/>
      <c r="I21" s="254"/>
      <c r="J21" s="255"/>
      <c r="K21" s="255"/>
      <c r="L21" s="256"/>
      <c r="M21" s="255"/>
      <c r="N21" s="257"/>
      <c r="O21" s="257"/>
      <c r="P21" s="258"/>
      <c r="Q21" s="258"/>
      <c r="R21" s="258"/>
      <c r="S21" s="258"/>
      <c r="T21" s="258"/>
      <c r="U21" s="254"/>
      <c r="V21" s="254"/>
      <c r="W21" s="254"/>
      <c r="X21" s="250"/>
      <c r="Y21" s="257"/>
      <c r="Z21" s="263"/>
      <c r="AA21" s="262" t="str">
        <f t="shared" si="0"/>
        <v/>
      </c>
      <c r="AE21" s="198"/>
      <c r="AH21" s="7" t="str">
        <f t="shared" si="13"/>
        <v>AluminiumProductInOut</v>
      </c>
      <c r="AK21" s="7" t="e">
        <f t="shared" si="14"/>
        <v>#N/A</v>
      </c>
      <c r="AL21" s="7" t="e">
        <f t="shared" si="1"/>
        <v>#N/A</v>
      </c>
      <c r="AT21" s="7" t="e">
        <f t="shared" si="2"/>
        <v>#N/A</v>
      </c>
      <c r="AU21" s="7" t="b">
        <f>IF(L21=Data!$CD$1,Data!$CF$1, IF(L21=Data!$CD$2,Data!$CG$1,IF(L21=Data!$CD$3,Data!$CH$1,IF(L21=Data!$CD$4,Data!$CI$1,IF(L21=Data!$CD$5,Data!$CJ$1)))))</f>
        <v>0</v>
      </c>
      <c r="AV21" s="121" t="b">
        <f>IF(E21=Data!$E$1,Data!$A$1,IF('Eco Aluminium External Shutters'!E21=Data!$E$2,Data!$B$1,IF('Eco Aluminium External Shutters'!E21=Data!$E$3,Data!$C$1)))</f>
        <v>0</v>
      </c>
      <c r="AW21" s="121" t="b">
        <f>IF(E21=Data!$E$1,Data!$G$1, IF(E21=Data!$E$2,Data!$H$1, IF(E21=Data!$E$3,Data!$I$1)))</f>
        <v>0</v>
      </c>
      <c r="AX21" s="121" t="b">
        <f>IF(E21=Data!$E$1,Data!$K$1,IF(E21=Data!$E$2,Data!$L$1, IF(E21=Data!$E$3,Data!$M$1)))</f>
        <v>0</v>
      </c>
      <c r="AY21" s="121" t="b">
        <f>IF(E21=Data!$E$1,Data!$O$1, IF(E21=Data!$E$2,Data!$P$1, IF(E21=Data!$E$3,Data!$Q$1)))</f>
        <v>0</v>
      </c>
      <c r="AZ21" s="121" t="b">
        <f>IF(L21=Data!$AJ$2,Data!$AK$1,IF(L21=Data!$AJ$3,Data!$AL$1,IF(L21=Data!$AJ$4,Data!$AM$1,IF(L21=Data!$AJ$5,Data!$AN$1,IF(L21=Data!$AJ$6,Data!$AO$1, IF(L21=Data!$AJ$7,Data!$AP$1,IF(L21=Data!$AJ$8,Data!$AQ$1)))))))</f>
        <v>0</v>
      </c>
      <c r="BA21" s="121" t="b">
        <f>IF(L21=Data!$BO$1,Data!$BP$1, IF(L21=Data!$BO$2,Data!$BQ$1, IF(L21=Data!$BO$3,Data!$BR$1, IF(L21=Data!$BO$4,Data!$BS$1, IF(L21=Data!$BO$5,Data!$BT$1)))))</f>
        <v>0</v>
      </c>
      <c r="BB21" s="122">
        <f t="shared" si="35"/>
        <v>0</v>
      </c>
      <c r="BC21" s="122" t="e">
        <f>VLOOKUP(M21,Data!$AY$2:$AZ$120,2,FALSE)</f>
        <v>#N/A</v>
      </c>
      <c r="BD21" s="122" t="e">
        <f t="shared" si="36"/>
        <v>#N/A</v>
      </c>
      <c r="BE21" s="130" t="str">
        <f>IF(OR(AND(P21="",O21&lt;&gt;"")),VLOOKUP(O21,Data!$BC$2:$BD$6,2,FALSE),"")</f>
        <v/>
      </c>
      <c r="BF21" s="130" t="str">
        <f>IF(OR(AND(Q21="",O21&lt;&gt;"")),VLOOKUP(O21,Data!$BC$2:$BD$6,2,FALSE),"")</f>
        <v/>
      </c>
      <c r="BG21" s="130" t="str">
        <f>IF(OR(AND(R21="",O21&lt;&gt;"")),VLOOKUP(O21,Data!$BC$2:$BD$6,2,FALSE),"")</f>
        <v/>
      </c>
      <c r="BH21" s="130" t="str">
        <f>IF(OR(AND(S21="",O21&lt;&gt;"")),VLOOKUP(O21,Data!$BC$2:$BD$6,2,FALSE),"")</f>
        <v/>
      </c>
      <c r="BI21" s="132" t="b">
        <f>IF(L21=Data!$BF$2,Data!$BG$1, IF(L21=Data!$BF$3,Data!$BH$1, IF(L21=Data!$BF$4,Data!$BI$1, IF(L21=Data!$BF$5,Data!$BJ$1, IF(L21=Data!$BF$6,Data!$BK$1)))))</f>
        <v>0</v>
      </c>
      <c r="BJ21" s="132" t="str">
        <f>IF(OR(AND(D21&lt;830, Y21=Data!$BM$1)),"Yes","No")</f>
        <v>No</v>
      </c>
      <c r="BK21" s="132" t="e">
        <f>VLOOKUP(L21,Data!$BZ$1:$CA$5,2,FALSE)</f>
        <v>#N/A</v>
      </c>
      <c r="BL21" s="132" t="e">
        <f t="shared" si="37"/>
        <v>#DIV/0!</v>
      </c>
      <c r="BM21" s="132" t="e">
        <f t="shared" si="38"/>
        <v>#N/A</v>
      </c>
      <c r="BN21" s="132" t="e">
        <f t="shared" si="39"/>
        <v>#N/A</v>
      </c>
      <c r="BO21" s="188" t="str">
        <f>IF(SUM(--ISNUMBER( SEARCH({"t","T"},M21))),"Yes","No")</f>
        <v>No</v>
      </c>
      <c r="BP21" s="188" t="e">
        <f>VLOOKUP(T21,Data!$CL$2:$CO$9,2,FALSE)</f>
        <v>#N/A</v>
      </c>
      <c r="BQ21" s="188" t="e">
        <f>VLOOKUP(T21,Data!$CL$2:$CO$9,3,FALSE)</f>
        <v>#N/A</v>
      </c>
      <c r="BR21" s="188" t="e">
        <f>VLOOKUP(T21,Data!$CL$2:$CO$9,4,FALSE)</f>
        <v>#N/A</v>
      </c>
      <c r="BS21" s="132" t="e">
        <f t="shared" si="40"/>
        <v>#N/A</v>
      </c>
      <c r="BT21" s="132" t="e">
        <f t="shared" si="41"/>
        <v>#N/A</v>
      </c>
      <c r="BU21" s="132" t="e">
        <f t="shared" si="42"/>
        <v>#N/A</v>
      </c>
      <c r="BV21" s="132" t="str">
        <f t="shared" si="43"/>
        <v/>
      </c>
      <c r="BW21" s="132" t="str">
        <f t="shared" si="44"/>
        <v>No</v>
      </c>
      <c r="BX21" s="132" t="str">
        <f t="shared" si="45"/>
        <v>No</v>
      </c>
      <c r="BY21" s="132" t="str">
        <f t="shared" si="46"/>
        <v>No</v>
      </c>
      <c r="CF21" s="7" t="b">
        <f t="shared" si="34"/>
        <v>0</v>
      </c>
      <c r="CR21" s="7" t="e">
        <f t="shared" si="23"/>
        <v>#N/A</v>
      </c>
      <c r="CS21" s="7" t="e">
        <f t="shared" si="24"/>
        <v>#N/A</v>
      </c>
      <c r="CT21" s="7" t="e">
        <f t="shared" si="25"/>
        <v>#N/A</v>
      </c>
      <c r="DB21" s="7" t="e">
        <f t="shared" si="7"/>
        <v>#N/A</v>
      </c>
      <c r="DH21" s="7" t="e">
        <f t="shared" si="8"/>
        <v>#N/A</v>
      </c>
      <c r="DS21" s="7" t="e">
        <f t="shared" si="10"/>
        <v>#N/A</v>
      </c>
      <c r="DW21" s="7" t="e">
        <f t="shared" si="11"/>
        <v>#N/A</v>
      </c>
      <c r="DX21" s="7" t="e">
        <f t="shared" si="12"/>
        <v>#N/A</v>
      </c>
      <c r="DZ21" s="7" t="str">
        <f t="shared" si="26"/>
        <v>EcoExternalAluminiumColour</v>
      </c>
      <c r="EI21" s="7">
        <f>IF(T21="",0, VLOOKUP(M21,Data!$AY$3:$BA$120,3,FALSE))</f>
        <v>0</v>
      </c>
      <c r="EJ21" s="7">
        <f t="shared" si="28"/>
        <v>0</v>
      </c>
      <c r="EP21" s="7" t="e">
        <f t="shared" si="29"/>
        <v>#N/A</v>
      </c>
      <c r="ES21" s="7" t="e">
        <f t="shared" si="30"/>
        <v>#N/A</v>
      </c>
      <c r="FA21" s="7" t="e">
        <f t="shared" si="31"/>
        <v>#N/A</v>
      </c>
      <c r="FB21" s="7" t="e">
        <f t="shared" si="32"/>
        <v>#N/A</v>
      </c>
      <c r="FC21" s="7" t="e">
        <f t="shared" si="33"/>
        <v>#N/A</v>
      </c>
    </row>
    <row r="22" spans="1:159" ht="26.25" customHeight="1" x14ac:dyDescent="0.2">
      <c r="A22" s="14">
        <v>14</v>
      </c>
      <c r="B22" s="253"/>
      <c r="C22" s="260"/>
      <c r="D22" s="253"/>
      <c r="E22" s="254"/>
      <c r="F22" s="242"/>
      <c r="G22" s="242"/>
      <c r="H22" s="254"/>
      <c r="I22" s="254"/>
      <c r="J22" s="255"/>
      <c r="K22" s="255"/>
      <c r="L22" s="256"/>
      <c r="M22" s="255"/>
      <c r="N22" s="257"/>
      <c r="O22" s="257"/>
      <c r="P22" s="258"/>
      <c r="Q22" s="258"/>
      <c r="R22" s="258"/>
      <c r="S22" s="258"/>
      <c r="T22" s="258"/>
      <c r="U22" s="254"/>
      <c r="V22" s="254"/>
      <c r="W22" s="254"/>
      <c r="X22" s="250"/>
      <c r="Y22" s="257"/>
      <c r="Z22" s="263"/>
      <c r="AA22" s="262" t="str">
        <f t="shared" si="0"/>
        <v/>
      </c>
      <c r="AE22" s="198"/>
      <c r="AH22" s="7" t="str">
        <f t="shared" si="13"/>
        <v>AluminiumProductInOut</v>
      </c>
      <c r="AK22" s="7" t="e">
        <f t="shared" si="14"/>
        <v>#N/A</v>
      </c>
      <c r="AL22" s="7" t="e">
        <f t="shared" si="1"/>
        <v>#N/A</v>
      </c>
      <c r="AT22" s="7" t="e">
        <f t="shared" si="2"/>
        <v>#N/A</v>
      </c>
      <c r="AU22" s="7" t="b">
        <f>IF(L22=Data!$CD$1,Data!$CF$1, IF(L22=Data!$CD$2,Data!$CG$1,IF(L22=Data!$CD$3,Data!$CH$1,IF(L22=Data!$CD$4,Data!$CI$1,IF(L22=Data!$CD$5,Data!$CJ$1)))))</f>
        <v>0</v>
      </c>
      <c r="AV22" s="121" t="b">
        <f>IF(E22=Data!$E$1,Data!$A$1,IF('Eco Aluminium External Shutters'!E22=Data!$E$2,Data!$B$1,IF('Eco Aluminium External Shutters'!E22=Data!$E$3,Data!$C$1)))</f>
        <v>0</v>
      </c>
      <c r="AW22" s="121" t="b">
        <f>IF(E22=Data!$E$1,Data!$G$1, IF(E22=Data!$E$2,Data!$H$1, IF(E22=Data!$E$3,Data!$I$1)))</f>
        <v>0</v>
      </c>
      <c r="AX22" s="121" t="b">
        <f>IF(E22=Data!$E$1,Data!$K$1,IF(E22=Data!$E$2,Data!$L$1, IF(E22=Data!$E$3,Data!$M$1)))</f>
        <v>0</v>
      </c>
      <c r="AY22" s="121" t="b">
        <f>IF(E22=Data!$E$1,Data!$O$1, IF(E22=Data!$E$2,Data!$P$1, IF(E22=Data!$E$3,Data!$Q$1)))</f>
        <v>0</v>
      </c>
      <c r="AZ22" s="121" t="b">
        <f>IF(L22=Data!$AJ$2,Data!$AK$1,IF(L22=Data!$AJ$3,Data!$AL$1,IF(L22=Data!$AJ$4,Data!$AM$1,IF(L22=Data!$AJ$5,Data!$AN$1,IF(L22=Data!$AJ$6,Data!$AO$1, IF(L22=Data!$AJ$7,Data!$AP$1,IF(L22=Data!$AJ$8,Data!$AQ$1)))))))</f>
        <v>0</v>
      </c>
      <c r="BA22" s="121" t="b">
        <f>IF(L22=Data!$BO$1,Data!$BP$1, IF(L22=Data!$BO$2,Data!$BQ$1, IF(L22=Data!$BO$3,Data!$BR$1, IF(L22=Data!$BO$4,Data!$BS$1, IF(L22=Data!$BO$5,Data!$BT$1)))))</f>
        <v>0</v>
      </c>
      <c r="BB22" s="122">
        <f t="shared" si="35"/>
        <v>0</v>
      </c>
      <c r="BC22" s="122" t="e">
        <f>VLOOKUP(M22,Data!$AY$2:$AZ$120,2,FALSE)</f>
        <v>#N/A</v>
      </c>
      <c r="BD22" s="122" t="e">
        <f t="shared" si="36"/>
        <v>#N/A</v>
      </c>
      <c r="BE22" s="130" t="str">
        <f>IF(OR(AND(P22="",O22&lt;&gt;"")),VLOOKUP(O22,Data!$BC$2:$BD$6,2,FALSE),"")</f>
        <v/>
      </c>
      <c r="BF22" s="130" t="str">
        <f>IF(OR(AND(Q22="",O22&lt;&gt;"")),VLOOKUP(O22,Data!$BC$2:$BD$6,2,FALSE),"")</f>
        <v/>
      </c>
      <c r="BG22" s="130" t="str">
        <f>IF(OR(AND(R22="",O22&lt;&gt;"")),VLOOKUP(O22,Data!$BC$2:$BD$6,2,FALSE),"")</f>
        <v/>
      </c>
      <c r="BH22" s="130" t="str">
        <f>IF(OR(AND(S22="",O22&lt;&gt;"")),VLOOKUP(O22,Data!$BC$2:$BD$6,2,FALSE),"")</f>
        <v/>
      </c>
      <c r="BI22" s="132" t="b">
        <f>IF(L22=Data!$BF$2,Data!$BG$1, IF(L22=Data!$BF$3,Data!$BH$1, IF(L22=Data!$BF$4,Data!$BI$1, IF(L22=Data!$BF$5,Data!$BJ$1, IF(L22=Data!$BF$6,Data!$BK$1)))))</f>
        <v>0</v>
      </c>
      <c r="BJ22" s="132" t="str">
        <f>IF(OR(AND(D22&lt;830, Y22=Data!$BM$1)),"Yes","No")</f>
        <v>No</v>
      </c>
      <c r="BK22" s="132" t="e">
        <f>VLOOKUP(L22,Data!$BZ$1:$CA$5,2,FALSE)</f>
        <v>#N/A</v>
      </c>
      <c r="BL22" s="132" t="e">
        <f t="shared" si="37"/>
        <v>#DIV/0!</v>
      </c>
      <c r="BM22" s="132" t="e">
        <f t="shared" si="38"/>
        <v>#N/A</v>
      </c>
      <c r="BN22" s="132" t="e">
        <f t="shared" si="39"/>
        <v>#N/A</v>
      </c>
      <c r="BO22" s="188" t="str">
        <f>IF(SUM(--ISNUMBER( SEARCH({"t","T"},M22))),"Yes","No")</f>
        <v>No</v>
      </c>
      <c r="BP22" s="188" t="e">
        <f>VLOOKUP(T22,Data!$CL$2:$CO$9,2,FALSE)</f>
        <v>#N/A</v>
      </c>
      <c r="BQ22" s="188" t="e">
        <f>VLOOKUP(T22,Data!$CL$2:$CO$9,3,FALSE)</f>
        <v>#N/A</v>
      </c>
      <c r="BR22" s="188" t="e">
        <f>VLOOKUP(T22,Data!$CL$2:$CO$9,4,FALSE)</f>
        <v>#N/A</v>
      </c>
      <c r="BS22" s="132" t="e">
        <f t="shared" si="40"/>
        <v>#N/A</v>
      </c>
      <c r="BT22" s="132" t="e">
        <f t="shared" si="41"/>
        <v>#N/A</v>
      </c>
      <c r="BU22" s="132" t="e">
        <f t="shared" si="42"/>
        <v>#N/A</v>
      </c>
      <c r="BV22" s="132" t="str">
        <f t="shared" si="43"/>
        <v/>
      </c>
      <c r="BW22" s="132" t="str">
        <f t="shared" si="44"/>
        <v>No</v>
      </c>
      <c r="BX22" s="132" t="str">
        <f t="shared" si="45"/>
        <v>No</v>
      </c>
      <c r="BY22" s="132" t="str">
        <f t="shared" si="46"/>
        <v>No</v>
      </c>
      <c r="CF22" s="7" t="b">
        <f t="shared" si="34"/>
        <v>0</v>
      </c>
      <c r="CR22" s="7" t="e">
        <f t="shared" si="23"/>
        <v>#N/A</v>
      </c>
      <c r="CS22" s="7" t="e">
        <f t="shared" si="24"/>
        <v>#N/A</v>
      </c>
      <c r="CT22" s="7" t="e">
        <f t="shared" si="25"/>
        <v>#N/A</v>
      </c>
      <c r="DB22" s="7" t="e">
        <f t="shared" si="7"/>
        <v>#N/A</v>
      </c>
      <c r="DH22" s="7" t="e">
        <f t="shared" si="8"/>
        <v>#N/A</v>
      </c>
      <c r="DS22" s="7" t="e">
        <f t="shared" si="10"/>
        <v>#N/A</v>
      </c>
      <c r="DW22" s="7" t="e">
        <f t="shared" si="11"/>
        <v>#N/A</v>
      </c>
      <c r="DX22" s="7" t="e">
        <f t="shared" si="12"/>
        <v>#N/A</v>
      </c>
      <c r="DZ22" s="7" t="str">
        <f t="shared" si="26"/>
        <v>EcoExternalAluminiumColour</v>
      </c>
      <c r="EI22" s="7">
        <f>IF(T22="",0, VLOOKUP(M22,Data!$AY$3:$BA$120,3,FALSE))</f>
        <v>0</v>
      </c>
      <c r="EJ22" s="7">
        <f t="shared" si="28"/>
        <v>0</v>
      </c>
      <c r="EP22" s="7" t="e">
        <f t="shared" si="29"/>
        <v>#N/A</v>
      </c>
      <c r="ES22" s="7" t="e">
        <f t="shared" si="30"/>
        <v>#N/A</v>
      </c>
      <c r="FA22" s="7" t="e">
        <f t="shared" si="31"/>
        <v>#N/A</v>
      </c>
      <c r="FB22" s="7" t="e">
        <f t="shared" si="32"/>
        <v>#N/A</v>
      </c>
      <c r="FC22" s="7" t="e">
        <f t="shared" si="33"/>
        <v>#N/A</v>
      </c>
    </row>
    <row r="23" spans="1:159" ht="26.25" customHeight="1" thickBot="1" x14ac:dyDescent="0.25">
      <c r="A23" s="20">
        <v>15</v>
      </c>
      <c r="B23" s="264"/>
      <c r="C23" s="265"/>
      <c r="D23" s="264"/>
      <c r="E23" s="265"/>
      <c r="F23" s="266"/>
      <c r="G23" s="266"/>
      <c r="H23" s="265"/>
      <c r="I23" s="265"/>
      <c r="J23" s="267"/>
      <c r="K23" s="267"/>
      <c r="L23" s="268"/>
      <c r="M23" s="267"/>
      <c r="N23" s="269"/>
      <c r="O23" s="269"/>
      <c r="P23" s="270"/>
      <c r="Q23" s="270"/>
      <c r="R23" s="270"/>
      <c r="S23" s="270"/>
      <c r="T23" s="270"/>
      <c r="U23" s="265"/>
      <c r="V23" s="265"/>
      <c r="W23" s="265"/>
      <c r="X23" s="271"/>
      <c r="Y23" s="269"/>
      <c r="Z23" s="272"/>
      <c r="AA23" s="273" t="str">
        <f>IF(SUM(D23)=0,"",IF(E23="MS",SUM(((C23*D23)/1000000)*F23),SUM(((C23*D23)/1000000))))</f>
        <v/>
      </c>
      <c r="AE23" s="198"/>
      <c r="AH23" s="7" t="str">
        <f t="shared" si="13"/>
        <v>AluminiumProductInOut</v>
      </c>
      <c r="AK23" s="7" t="e">
        <f t="shared" si="14"/>
        <v>#N/A</v>
      </c>
      <c r="AL23" s="7" t="e">
        <f t="shared" si="1"/>
        <v>#N/A</v>
      </c>
      <c r="AT23" s="7" t="e">
        <f t="shared" si="2"/>
        <v>#N/A</v>
      </c>
      <c r="AU23" s="7" t="b">
        <f>IF(L23=Data!$CD$1,Data!$CF$1, IF(L23=Data!$CD$2,Data!$CG$1,IF(L23=Data!$CD$3,Data!$CH$1,IF(L23=Data!$CD$4,Data!$CI$1,IF(L23=Data!$CD$5,Data!$CJ$1)))))</f>
        <v>0</v>
      </c>
      <c r="AV23" s="121" t="b">
        <f>IF(E23=Data!$E$1,Data!$A$1,IF('Eco Aluminium External Shutters'!E23=Data!$E$2,Data!$B$1,IF('Eco Aluminium External Shutters'!E23=Data!$E$3,Data!$C$1)))</f>
        <v>0</v>
      </c>
      <c r="AW23" s="121" t="b">
        <f>IF(E23=Data!$E$1,Data!$G$1, IF(E23=Data!$E$2,Data!$H$1, IF(E23=Data!$E$3,Data!$I$1)))</f>
        <v>0</v>
      </c>
      <c r="AX23" s="121" t="b">
        <f>IF(E23=Data!$E$1,Data!$K$1,IF(E23=Data!$E$2,Data!$L$1, IF(E23=Data!$E$3,Data!$M$1)))</f>
        <v>0</v>
      </c>
      <c r="AY23" s="121" t="b">
        <f>IF(E23=Data!$E$1,Data!$O$1, IF(E23=Data!$E$2,Data!$P$1, IF(E23=Data!$E$3,Data!$Q$1)))</f>
        <v>0</v>
      </c>
      <c r="AZ23" s="121" t="b">
        <f>IF(L23=Data!$AJ$2,Data!$AK$1,IF(L23=Data!$AJ$3,Data!$AL$1,IF(L23=Data!$AJ$4,Data!$AM$1,IF(L23=Data!$AJ$5,Data!$AN$1,IF(L23=Data!$AJ$6,Data!$AO$1, IF(L23=Data!$AJ$7,Data!$AP$1,IF(L23=Data!$AJ$8,Data!$AQ$1)))))))</f>
        <v>0</v>
      </c>
      <c r="BA23" s="121" t="b">
        <f>IF(L23=Data!$BO$1,Data!$BP$1, IF(L23=Data!$BO$2,Data!$BQ$1, IF(L23=Data!$BO$3,Data!$BR$1, IF(L23=Data!$BO$4,Data!$BS$1, IF(L23=Data!$BO$5,Data!$BT$1)))))</f>
        <v>0</v>
      </c>
      <c r="BB23" s="122">
        <f t="shared" si="35"/>
        <v>0</v>
      </c>
      <c r="BC23" s="122" t="e">
        <f>VLOOKUP(M23,Data!$AY$2:$AZ$120,2,FALSE)</f>
        <v>#N/A</v>
      </c>
      <c r="BD23" s="122" t="e">
        <f t="shared" si="36"/>
        <v>#N/A</v>
      </c>
      <c r="BE23" s="130" t="str">
        <f>IF(OR(AND(P23="",O23&lt;&gt;"")),VLOOKUP(O23,Data!$BC$2:$BD$6,2,FALSE),"")</f>
        <v/>
      </c>
      <c r="BF23" s="130" t="str">
        <f>IF(OR(AND(Q23="",O23&lt;&gt;"")),VLOOKUP(O23,Data!$BC$2:$BD$6,2,FALSE),"")</f>
        <v/>
      </c>
      <c r="BG23" s="130" t="str">
        <f>IF(OR(AND(R23="",O23&lt;&gt;"")),VLOOKUP(O23,Data!$BC$2:$BD$6,2,FALSE),"")</f>
        <v/>
      </c>
      <c r="BH23" s="130" t="str">
        <f>IF(OR(AND(S23="",O23&lt;&gt;"")),VLOOKUP(O23,Data!$BC$2:$BD$6,2,FALSE),"")</f>
        <v/>
      </c>
      <c r="BI23" s="132" t="b">
        <f>IF(L23=Data!$BF$2,Data!$BG$1, IF(L23=Data!$BF$3,Data!$BH$1, IF(L23=Data!$BF$4,Data!$BI$1, IF(L23=Data!$BF$5,Data!$BJ$1, IF(L23=Data!$BF$6,Data!$BK$1)))))</f>
        <v>0</v>
      </c>
      <c r="BJ23" s="132" t="str">
        <f>IF(OR(AND(D23&lt;830, Y23=Data!$BM$1)),"Yes","No")</f>
        <v>No</v>
      </c>
      <c r="BK23" s="132" t="e">
        <f>VLOOKUP(L23,Data!$BZ$1:$CA$5,2,FALSE)</f>
        <v>#N/A</v>
      </c>
      <c r="BL23" s="132" t="e">
        <f t="shared" si="37"/>
        <v>#DIV/0!</v>
      </c>
      <c r="BM23" s="132" t="e">
        <f t="shared" si="38"/>
        <v>#N/A</v>
      </c>
      <c r="BN23" s="132" t="e">
        <f t="shared" si="39"/>
        <v>#N/A</v>
      </c>
      <c r="BO23" s="188" t="str">
        <f>IF(SUM(--ISNUMBER( SEARCH({"t","T"},M23))),"Yes","No")</f>
        <v>No</v>
      </c>
      <c r="BP23" s="188" t="e">
        <f>VLOOKUP(T23,Data!$CL$2:$CO$9,2,FALSE)</f>
        <v>#N/A</v>
      </c>
      <c r="BQ23" s="188" t="e">
        <f>VLOOKUP(T23,Data!$CL$2:$CO$9,3,FALSE)</f>
        <v>#N/A</v>
      </c>
      <c r="BR23" s="188" t="e">
        <f>VLOOKUP(T23,Data!$CL$2:$CO$9,4,FALSE)</f>
        <v>#N/A</v>
      </c>
      <c r="BS23" s="132" t="e">
        <f t="shared" si="40"/>
        <v>#N/A</v>
      </c>
      <c r="BT23" s="132" t="e">
        <f t="shared" si="41"/>
        <v>#N/A</v>
      </c>
      <c r="BU23" s="132" t="e">
        <f t="shared" si="42"/>
        <v>#N/A</v>
      </c>
      <c r="BV23" s="132" t="str">
        <f t="shared" si="43"/>
        <v/>
      </c>
      <c r="BW23" s="132" t="str">
        <f t="shared" si="44"/>
        <v>No</v>
      </c>
      <c r="BX23" s="132" t="str">
        <f t="shared" si="45"/>
        <v>No</v>
      </c>
      <c r="BY23" s="132" t="str">
        <f t="shared" si="46"/>
        <v>No</v>
      </c>
      <c r="CF23" s="7" t="b">
        <f t="shared" si="34"/>
        <v>0</v>
      </c>
      <c r="CR23" s="7" t="e">
        <f t="shared" si="23"/>
        <v>#N/A</v>
      </c>
      <c r="CS23" s="7" t="e">
        <f t="shared" si="24"/>
        <v>#N/A</v>
      </c>
      <c r="CT23" s="7" t="e">
        <f t="shared" si="25"/>
        <v>#N/A</v>
      </c>
      <c r="DB23" s="7" t="e">
        <f t="shared" si="7"/>
        <v>#N/A</v>
      </c>
      <c r="DH23" s="7" t="e">
        <f t="shared" si="8"/>
        <v>#N/A</v>
      </c>
      <c r="DS23" s="7" t="e">
        <f t="shared" si="10"/>
        <v>#N/A</v>
      </c>
      <c r="DW23" s="7" t="e">
        <f t="shared" si="11"/>
        <v>#N/A</v>
      </c>
      <c r="DX23" s="7" t="e">
        <f t="shared" si="12"/>
        <v>#N/A</v>
      </c>
      <c r="DZ23" s="7" t="str">
        <f t="shared" si="26"/>
        <v>EcoExternalAluminiumColour</v>
      </c>
      <c r="EI23" s="7">
        <f>IF(T23="",0, VLOOKUP(M23,Data!$AY$3:$BA$120,3,FALSE))</f>
        <v>0</v>
      </c>
      <c r="EJ23" s="7">
        <f t="shared" si="28"/>
        <v>0</v>
      </c>
      <c r="EP23" s="7" t="e">
        <f>VLOOKUP(H23,$EL$9:$EM$11,2,FALSE)</f>
        <v>#N/A</v>
      </c>
      <c r="ES23" s="7" t="e">
        <f t="shared" si="30"/>
        <v>#N/A</v>
      </c>
      <c r="FA23" s="7" t="e">
        <f t="shared" si="31"/>
        <v>#N/A</v>
      </c>
      <c r="FB23" s="7" t="e">
        <f t="shared" si="32"/>
        <v>#N/A</v>
      </c>
      <c r="FC23" s="7" t="e">
        <f t="shared" si="33"/>
        <v>#N/A</v>
      </c>
    </row>
    <row r="24" spans="1:159" ht="32.25" customHeight="1" thickBot="1" x14ac:dyDescent="0.4">
      <c r="A24" s="384" t="s">
        <v>459</v>
      </c>
      <c r="B24" s="385"/>
      <c r="C24" s="385"/>
      <c r="D24" s="385"/>
      <c r="E24" s="385"/>
      <c r="F24" s="385"/>
      <c r="G24" s="385"/>
      <c r="H24" s="386"/>
      <c r="I24" s="386"/>
      <c r="J24" s="386"/>
      <c r="K24" s="386"/>
      <c r="L24" s="386"/>
      <c r="M24" s="386"/>
      <c r="N24" s="386"/>
      <c r="O24" s="386"/>
      <c r="P24" s="386"/>
      <c r="Q24" s="386"/>
      <c r="R24" s="386"/>
      <c r="S24" s="386"/>
      <c r="T24" s="386"/>
      <c r="U24" s="386"/>
      <c r="V24" s="386"/>
      <c r="W24" s="386"/>
      <c r="X24" s="386"/>
      <c r="Y24" s="386"/>
      <c r="Z24" s="387"/>
      <c r="AA24" s="388"/>
      <c r="AT24" s="7" t="s">
        <v>525</v>
      </c>
      <c r="CR24" s="7" t="e">
        <f t="shared" si="23"/>
        <v>#N/A</v>
      </c>
      <c r="CS24" s="7" t="e">
        <f t="shared" si="24"/>
        <v>#N/A</v>
      </c>
      <c r="CT24" s="7" t="e">
        <f t="shared" si="25"/>
        <v>#N/A</v>
      </c>
      <c r="DB24" s="7" t="e">
        <f t="shared" si="7"/>
        <v>#N/A</v>
      </c>
      <c r="DH24" s="7" t="e">
        <f t="shared" si="8"/>
        <v>#N/A</v>
      </c>
      <c r="DW24" s="7" t="e">
        <f t="shared" si="11"/>
        <v>#N/A</v>
      </c>
      <c r="DX24" s="7" t="e">
        <f t="shared" si="12"/>
        <v>#N/A</v>
      </c>
      <c r="DZ24" s="7" t="str">
        <f t="shared" si="26"/>
        <v>EcoExternalAluminiumColour</v>
      </c>
      <c r="EI24" s="7">
        <f>IF(T24="",0, VLOOKUP(M24,Data!$AY$3:$BA$120,3,FALSE))</f>
        <v>0</v>
      </c>
      <c r="EJ24" s="7">
        <f t="shared" si="28"/>
        <v>0</v>
      </c>
      <c r="EP24" s="7" t="e">
        <f t="shared" si="29"/>
        <v>#N/A</v>
      </c>
      <c r="ES24" s="7" t="e">
        <f t="shared" si="30"/>
        <v>#N/A</v>
      </c>
      <c r="FA24" s="7" t="e">
        <f t="shared" si="31"/>
        <v>#N/A</v>
      </c>
      <c r="FB24" s="7" t="e">
        <f t="shared" si="32"/>
        <v>#N/A</v>
      </c>
      <c r="FC24" s="7" t="e">
        <f t="shared" si="33"/>
        <v>#N/A</v>
      </c>
    </row>
    <row r="25" spans="1:159" s="211" customFormat="1" ht="46.5" customHeight="1" x14ac:dyDescent="0.2">
      <c r="A25" s="390" t="s">
        <v>3</v>
      </c>
      <c r="B25" s="361" t="s">
        <v>551</v>
      </c>
      <c r="C25" s="363" t="s">
        <v>552</v>
      </c>
      <c r="D25" s="363" t="s">
        <v>376</v>
      </c>
      <c r="E25" s="363" t="s">
        <v>553</v>
      </c>
      <c r="F25" s="363" t="s">
        <v>554</v>
      </c>
      <c r="G25" s="331" t="s">
        <v>377</v>
      </c>
      <c r="H25" s="332"/>
      <c r="I25" s="332"/>
      <c r="J25" s="332"/>
      <c r="K25" s="333"/>
      <c r="L25" s="325" t="s">
        <v>293</v>
      </c>
      <c r="M25" s="326"/>
      <c r="N25" s="382" t="s">
        <v>294</v>
      </c>
      <c r="O25" s="382"/>
      <c r="P25" s="382"/>
      <c r="Q25" s="367" t="s">
        <v>291</v>
      </c>
      <c r="R25" s="367"/>
      <c r="S25" s="367"/>
      <c r="T25" s="367"/>
      <c r="U25" s="367"/>
      <c r="V25" s="378" t="s">
        <v>292</v>
      </c>
      <c r="W25" s="378"/>
      <c r="X25" s="378"/>
      <c r="Y25" s="378"/>
      <c r="Z25" s="378"/>
      <c r="AA25" s="379"/>
      <c r="AO25" s="7"/>
      <c r="AP25" s="7"/>
      <c r="AQ25" s="7"/>
      <c r="AU25" s="211" t="s">
        <v>451</v>
      </c>
      <c r="BA25" s="211" t="s">
        <v>444</v>
      </c>
      <c r="BB25" s="211" t="s">
        <v>445</v>
      </c>
      <c r="BC25" s="211" t="s">
        <v>448</v>
      </c>
      <c r="BD25" s="211" t="s">
        <v>516</v>
      </c>
      <c r="BG25" s="212"/>
      <c r="CU25" s="7"/>
      <c r="CV25" s="7"/>
      <c r="CW25" s="7"/>
      <c r="CX25" s="7"/>
      <c r="DI25" s="7"/>
      <c r="DJ25" s="7"/>
      <c r="DK25" s="7"/>
      <c r="DL25" s="7"/>
    </row>
    <row r="26" spans="1:159" s="211" customFormat="1" ht="22.5" customHeight="1" thickBot="1" x14ac:dyDescent="0.25">
      <c r="A26" s="391"/>
      <c r="B26" s="362"/>
      <c r="C26" s="364"/>
      <c r="D26" s="364"/>
      <c r="E26" s="364"/>
      <c r="F26" s="364"/>
      <c r="G26" s="220" t="s">
        <v>62</v>
      </c>
      <c r="H26" s="220" t="s">
        <v>124</v>
      </c>
      <c r="I26" s="220" t="s">
        <v>61</v>
      </c>
      <c r="J26" s="334" t="s">
        <v>7</v>
      </c>
      <c r="K26" s="335"/>
      <c r="L26" s="327"/>
      <c r="M26" s="328"/>
      <c r="N26" s="383"/>
      <c r="O26" s="383"/>
      <c r="P26" s="383"/>
      <c r="Q26" s="221" t="s">
        <v>62</v>
      </c>
      <c r="R26" s="377" t="s">
        <v>61</v>
      </c>
      <c r="S26" s="377"/>
      <c r="T26" s="377"/>
      <c r="U26" s="377"/>
      <c r="V26" s="380"/>
      <c r="W26" s="380"/>
      <c r="X26" s="380"/>
      <c r="Y26" s="380"/>
      <c r="Z26" s="380"/>
      <c r="AA26" s="381"/>
      <c r="AN26" s="211" t="s">
        <v>555</v>
      </c>
      <c r="AO26" s="211" t="s">
        <v>556</v>
      </c>
      <c r="AP26" s="211" t="s">
        <v>539</v>
      </c>
      <c r="AQ26" s="211" t="s">
        <v>537</v>
      </c>
      <c r="AR26" s="211" t="s">
        <v>536</v>
      </c>
      <c r="AS26" s="211" t="s">
        <v>535</v>
      </c>
      <c r="AT26" s="211" t="s">
        <v>534</v>
      </c>
      <c r="AU26" s="211" t="s">
        <v>375</v>
      </c>
      <c r="AV26" s="211" t="s">
        <v>416</v>
      </c>
      <c r="AW26" s="211" t="s">
        <v>417</v>
      </c>
      <c r="AX26" s="211" t="s">
        <v>538</v>
      </c>
      <c r="AZ26" s="211" t="s">
        <v>538</v>
      </c>
      <c r="BA26" s="224" t="s">
        <v>427</v>
      </c>
      <c r="BB26" s="19" t="s">
        <v>515</v>
      </c>
      <c r="BC26" s="211" t="s">
        <v>277</v>
      </c>
      <c r="BD26" s="211" t="s">
        <v>72</v>
      </c>
      <c r="BE26" s="211" t="s">
        <v>427</v>
      </c>
      <c r="BF26" s="211" t="str">
        <f>$EB$8</f>
        <v>EcoExternalAluminiumColourAll</v>
      </c>
      <c r="BG26" s="211" t="s">
        <v>517</v>
      </c>
    </row>
    <row r="27" spans="1:159" s="19" customFormat="1" ht="22.5" customHeight="1" thickTop="1" x14ac:dyDescent="0.2">
      <c r="A27" s="239">
        <v>1</v>
      </c>
      <c r="B27" s="274"/>
      <c r="C27" s="241"/>
      <c r="D27" s="241"/>
      <c r="E27" s="241"/>
      <c r="F27" s="275"/>
      <c r="G27" s="276"/>
      <c r="H27" s="241"/>
      <c r="I27" s="276"/>
      <c r="J27" s="336"/>
      <c r="K27" s="337"/>
      <c r="L27" s="329"/>
      <c r="M27" s="330"/>
      <c r="N27" s="376"/>
      <c r="O27" s="376"/>
      <c r="P27" s="376"/>
      <c r="Q27" s="277"/>
      <c r="R27" s="392"/>
      <c r="S27" s="392"/>
      <c r="T27" s="392"/>
      <c r="U27" s="393"/>
      <c r="V27" s="329"/>
      <c r="W27" s="368"/>
      <c r="X27" s="368"/>
      <c r="Y27" s="368"/>
      <c r="Z27" s="368"/>
      <c r="AA27" s="369"/>
      <c r="AN27" s="19" t="s">
        <v>72</v>
      </c>
      <c r="AO27" s="211" t="str">
        <f>IF(H9=$AT$24,$AR$26,$AN$26)</f>
        <v>HandleLockYes</v>
      </c>
      <c r="AP27" s="211" t="str">
        <f>IF(H9=$AT$24,$AR$26,$AQ$26)</f>
        <v>LourveLock</v>
      </c>
      <c r="AQ27" s="211" t="s">
        <v>30</v>
      </c>
      <c r="AR27" s="19" t="s">
        <v>26</v>
      </c>
      <c r="AS27" s="19" t="s">
        <v>30</v>
      </c>
      <c r="AT27" s="238" t="str">
        <f>IF(H9=$AT$24,$AR$26,$AS$26)</f>
        <v>SecurityLock</v>
      </c>
      <c r="AU27" s="132" t="str">
        <f t="shared" ref="AU27:AU41" si="47">IF(B27=$AU$25,$AV$26,$AW$26)</f>
        <v>SecurityLockNo</v>
      </c>
      <c r="AV27" s="132" t="s">
        <v>158</v>
      </c>
      <c r="AW27" s="132" t="s">
        <v>26</v>
      </c>
      <c r="AX27" s="132" t="str">
        <f>IF(H9=$AT$24,$AR$26,$AZ$26)</f>
        <v>KeyLock</v>
      </c>
      <c r="AZ27" s="19" t="s">
        <v>30</v>
      </c>
      <c r="BA27" s="118" t="s">
        <v>420</v>
      </c>
      <c r="BB27" s="224" t="s">
        <v>438</v>
      </c>
      <c r="BC27" s="19" t="s">
        <v>278</v>
      </c>
      <c r="BD27" s="19" t="s">
        <v>451</v>
      </c>
      <c r="BE27" s="19" t="s">
        <v>420</v>
      </c>
      <c r="BF27" s="211" t="str">
        <f t="shared" ref="BF27:BF37" si="48">$EB$8</f>
        <v>EcoExternalAluminiumColourAll</v>
      </c>
      <c r="BG27" s="19" t="e">
        <f t="shared" ref="BG27:BG41" si="49">VLOOKUP(I27,$BE$26:$BF$47,2,FALSE)</f>
        <v>#N/A</v>
      </c>
      <c r="CU27" s="211"/>
      <c r="CV27" s="211"/>
      <c r="CW27" s="211"/>
      <c r="CX27" s="211"/>
      <c r="DI27" s="211"/>
      <c r="DJ27" s="211"/>
      <c r="DK27" s="211"/>
      <c r="DL27" s="211"/>
    </row>
    <row r="28" spans="1:159" s="19" customFormat="1" ht="23.1" customHeight="1" x14ac:dyDescent="0.2">
      <c r="A28" s="14">
        <v>2</v>
      </c>
      <c r="B28" s="278"/>
      <c r="C28" s="260"/>
      <c r="D28" s="260"/>
      <c r="E28" s="254"/>
      <c r="F28" s="279"/>
      <c r="G28" s="242"/>
      <c r="H28" s="254"/>
      <c r="I28" s="280"/>
      <c r="J28" s="320"/>
      <c r="K28" s="321"/>
      <c r="L28" s="324"/>
      <c r="M28" s="321"/>
      <c r="N28" s="339"/>
      <c r="O28" s="339"/>
      <c r="P28" s="339"/>
      <c r="Q28" s="281"/>
      <c r="R28" s="343"/>
      <c r="S28" s="343"/>
      <c r="T28" s="343"/>
      <c r="U28" s="344"/>
      <c r="V28" s="370"/>
      <c r="W28" s="371"/>
      <c r="X28" s="371"/>
      <c r="Y28" s="371"/>
      <c r="Z28" s="371"/>
      <c r="AA28" s="372"/>
      <c r="AN28" s="19" t="s">
        <v>383</v>
      </c>
      <c r="AO28" s="211" t="str">
        <f t="shared" ref="AO28:AO41" si="50">IF(H10=$AT$24,$AR$26,$AN$26)</f>
        <v>HandleLockYes</v>
      </c>
      <c r="AP28" s="211" t="str">
        <f t="shared" ref="AP28:AP41" si="51">IF(H10=$AT$24,$AR$26,$AQ$26)</f>
        <v>LourveLock</v>
      </c>
      <c r="AQ28" s="19" t="s">
        <v>19</v>
      </c>
      <c r="AS28" s="19" t="s">
        <v>451</v>
      </c>
      <c r="AT28" s="238" t="str">
        <f t="shared" ref="AT28:AT41" si="52">IF(H10=$AT$24,$AR$26,$AS$26)</f>
        <v>SecurityLock</v>
      </c>
      <c r="AU28" s="132" t="str">
        <f t="shared" si="47"/>
        <v>SecurityLockNo</v>
      </c>
      <c r="AV28" s="132" t="s">
        <v>22</v>
      </c>
      <c r="AW28" s="132"/>
      <c r="AX28" s="132" t="str">
        <f t="shared" ref="AX28:AX41" si="53">IF(H10=$AT$24,$AR$26,$AZ$26)</f>
        <v>KeyLock</v>
      </c>
      <c r="AZ28" s="19" t="s">
        <v>451</v>
      </c>
      <c r="BA28" s="118" t="s">
        <v>419</v>
      </c>
      <c r="BB28" s="224" t="s">
        <v>437</v>
      </c>
      <c r="BC28" s="19" t="s">
        <v>286</v>
      </c>
      <c r="BD28" s="19" t="s">
        <v>383</v>
      </c>
      <c r="BE28" s="19" t="s">
        <v>419</v>
      </c>
      <c r="BF28" s="211" t="str">
        <f t="shared" si="48"/>
        <v>EcoExternalAluminiumColourAll</v>
      </c>
      <c r="BG28" s="19" t="e">
        <f t="shared" si="49"/>
        <v>#N/A</v>
      </c>
    </row>
    <row r="29" spans="1:159" s="19" customFormat="1" ht="23.1" customHeight="1" x14ac:dyDescent="0.2">
      <c r="A29" s="24">
        <v>3</v>
      </c>
      <c r="B29" s="278"/>
      <c r="C29" s="260"/>
      <c r="D29" s="260"/>
      <c r="E29" s="254"/>
      <c r="F29" s="279"/>
      <c r="G29" s="242"/>
      <c r="H29" s="254"/>
      <c r="I29" s="280"/>
      <c r="J29" s="320"/>
      <c r="K29" s="321"/>
      <c r="L29" s="324"/>
      <c r="M29" s="321"/>
      <c r="N29" s="339"/>
      <c r="O29" s="339"/>
      <c r="P29" s="339"/>
      <c r="Q29" s="281"/>
      <c r="R29" s="343"/>
      <c r="S29" s="343"/>
      <c r="T29" s="343"/>
      <c r="U29" s="344"/>
      <c r="V29" s="370"/>
      <c r="W29" s="371"/>
      <c r="X29" s="371"/>
      <c r="Y29" s="371"/>
      <c r="Z29" s="371"/>
      <c r="AA29" s="372"/>
      <c r="AN29" s="19" t="s">
        <v>30</v>
      </c>
      <c r="AO29" s="211" t="str">
        <f t="shared" si="50"/>
        <v>HandleLockYes</v>
      </c>
      <c r="AP29" s="211" t="str">
        <f t="shared" si="51"/>
        <v>LourveLock</v>
      </c>
      <c r="AT29" s="238" t="str">
        <f t="shared" si="52"/>
        <v>SecurityLock</v>
      </c>
      <c r="AU29" s="132" t="str">
        <f t="shared" si="47"/>
        <v>SecurityLockNo</v>
      </c>
      <c r="AV29" s="132" t="s">
        <v>418</v>
      </c>
      <c r="AW29" s="132"/>
      <c r="AX29" s="132" t="str">
        <f t="shared" si="53"/>
        <v>KeyLock</v>
      </c>
      <c r="AZ29" s="19" t="s">
        <v>383</v>
      </c>
      <c r="BA29" s="118" t="s">
        <v>422</v>
      </c>
      <c r="BB29" s="225" t="s">
        <v>443</v>
      </c>
      <c r="BC29" s="19" t="s">
        <v>287</v>
      </c>
      <c r="BD29" s="7" t="s">
        <v>505</v>
      </c>
      <c r="BE29" s="19" t="s">
        <v>422</v>
      </c>
      <c r="BF29" s="211" t="str">
        <f t="shared" si="48"/>
        <v>EcoExternalAluminiumColourAll</v>
      </c>
      <c r="BG29" s="19" t="e">
        <f t="shared" si="49"/>
        <v>#N/A</v>
      </c>
    </row>
    <row r="30" spans="1:159" s="19" customFormat="1" ht="23.1" customHeight="1" x14ac:dyDescent="0.2">
      <c r="A30" s="23">
        <v>4</v>
      </c>
      <c r="B30" s="278"/>
      <c r="C30" s="260"/>
      <c r="D30" s="260"/>
      <c r="E30" s="254"/>
      <c r="F30" s="279"/>
      <c r="G30" s="242"/>
      <c r="H30" s="254"/>
      <c r="I30" s="280"/>
      <c r="J30" s="320"/>
      <c r="K30" s="321"/>
      <c r="L30" s="324"/>
      <c r="M30" s="321"/>
      <c r="N30" s="339"/>
      <c r="O30" s="339"/>
      <c r="P30" s="339"/>
      <c r="Q30" s="281"/>
      <c r="R30" s="343"/>
      <c r="S30" s="343"/>
      <c r="T30" s="343"/>
      <c r="U30" s="344"/>
      <c r="V30" s="370"/>
      <c r="W30" s="371"/>
      <c r="X30" s="371"/>
      <c r="Y30" s="371"/>
      <c r="Z30" s="371"/>
      <c r="AA30" s="372"/>
      <c r="AO30" s="211" t="str">
        <f t="shared" si="50"/>
        <v>HandleLockYes</v>
      </c>
      <c r="AP30" s="211" t="str">
        <f t="shared" si="51"/>
        <v>LourveLock</v>
      </c>
      <c r="AT30" s="238" t="str">
        <f t="shared" si="52"/>
        <v>SecurityLock</v>
      </c>
      <c r="AU30" s="132" t="str">
        <f t="shared" si="47"/>
        <v>SecurityLockNo</v>
      </c>
      <c r="AV30" s="132"/>
      <c r="AW30" s="132"/>
      <c r="AX30" s="132" t="str">
        <f t="shared" si="53"/>
        <v>KeyLock</v>
      </c>
      <c r="BA30" s="118" t="s">
        <v>421</v>
      </c>
      <c r="BB30" s="225" t="s">
        <v>442</v>
      </c>
      <c r="BC30" s="19" t="s">
        <v>282</v>
      </c>
      <c r="BE30" s="19" t="s">
        <v>421</v>
      </c>
      <c r="BF30" s="211" t="str">
        <f t="shared" si="48"/>
        <v>EcoExternalAluminiumColourAll</v>
      </c>
      <c r="BG30" s="19" t="e">
        <f t="shared" si="49"/>
        <v>#N/A</v>
      </c>
    </row>
    <row r="31" spans="1:159" s="19" customFormat="1" ht="23.1" customHeight="1" x14ac:dyDescent="0.2">
      <c r="A31" s="24">
        <v>5</v>
      </c>
      <c r="B31" s="278"/>
      <c r="C31" s="260"/>
      <c r="D31" s="260"/>
      <c r="E31" s="254"/>
      <c r="F31" s="279"/>
      <c r="G31" s="242"/>
      <c r="H31" s="254"/>
      <c r="I31" s="280"/>
      <c r="J31" s="320"/>
      <c r="K31" s="321"/>
      <c r="L31" s="324"/>
      <c r="M31" s="321"/>
      <c r="N31" s="339"/>
      <c r="O31" s="339"/>
      <c r="P31" s="339"/>
      <c r="Q31" s="281"/>
      <c r="R31" s="343"/>
      <c r="S31" s="343"/>
      <c r="T31" s="343"/>
      <c r="U31" s="344"/>
      <c r="V31" s="370"/>
      <c r="W31" s="371"/>
      <c r="X31" s="371"/>
      <c r="Y31" s="371"/>
      <c r="Z31" s="371"/>
      <c r="AA31" s="372"/>
      <c r="AO31" s="211" t="str">
        <f t="shared" si="50"/>
        <v>HandleLockYes</v>
      </c>
      <c r="AP31" s="211" t="str">
        <f t="shared" si="51"/>
        <v>LourveLock</v>
      </c>
      <c r="AT31" s="238" t="str">
        <f t="shared" si="52"/>
        <v>SecurityLock</v>
      </c>
      <c r="AU31" s="132" t="str">
        <f t="shared" si="47"/>
        <v>SecurityLockNo</v>
      </c>
      <c r="AV31" s="132"/>
      <c r="AW31" s="132"/>
      <c r="AX31" s="132" t="str">
        <f t="shared" si="53"/>
        <v>KeyLock</v>
      </c>
      <c r="BA31" s="131" t="s">
        <v>515</v>
      </c>
      <c r="BB31" s="19" t="s">
        <v>446</v>
      </c>
      <c r="BC31" s="19" t="s">
        <v>283</v>
      </c>
      <c r="BE31" s="19" t="s">
        <v>515</v>
      </c>
      <c r="BF31" s="211" t="str">
        <f t="shared" si="48"/>
        <v>EcoExternalAluminiumColourAll</v>
      </c>
      <c r="BG31" s="19" t="e">
        <f t="shared" si="49"/>
        <v>#N/A</v>
      </c>
    </row>
    <row r="32" spans="1:159" s="19" customFormat="1" ht="23.1" customHeight="1" x14ac:dyDescent="0.2">
      <c r="A32" s="14">
        <v>6</v>
      </c>
      <c r="B32" s="278"/>
      <c r="C32" s="260"/>
      <c r="D32" s="260"/>
      <c r="E32" s="254"/>
      <c r="F32" s="279"/>
      <c r="G32" s="242"/>
      <c r="H32" s="254"/>
      <c r="I32" s="280"/>
      <c r="J32" s="320"/>
      <c r="K32" s="321"/>
      <c r="L32" s="324"/>
      <c r="M32" s="321"/>
      <c r="N32" s="339"/>
      <c r="O32" s="339"/>
      <c r="P32" s="339"/>
      <c r="Q32" s="281"/>
      <c r="R32" s="343"/>
      <c r="S32" s="343"/>
      <c r="T32" s="343"/>
      <c r="U32" s="344"/>
      <c r="V32" s="370"/>
      <c r="W32" s="371"/>
      <c r="X32" s="371"/>
      <c r="Y32" s="371"/>
      <c r="Z32" s="371"/>
      <c r="AA32" s="372"/>
      <c r="AO32" s="211" t="str">
        <f t="shared" si="50"/>
        <v>HandleLockYes</v>
      </c>
      <c r="AP32" s="211" t="str">
        <f t="shared" si="51"/>
        <v>LourveLock</v>
      </c>
      <c r="AT32" s="238" t="str">
        <f t="shared" si="52"/>
        <v>SecurityLock</v>
      </c>
      <c r="AU32" s="132" t="str">
        <f t="shared" si="47"/>
        <v>SecurityLockNo</v>
      </c>
      <c r="AV32" s="132"/>
      <c r="AW32" s="132"/>
      <c r="AX32" s="132" t="str">
        <f t="shared" si="53"/>
        <v>KeyLock</v>
      </c>
      <c r="BA32" s="118" t="s">
        <v>423</v>
      </c>
      <c r="BB32" s="224" t="s">
        <v>434</v>
      </c>
      <c r="BC32" s="19" t="s">
        <v>284</v>
      </c>
      <c r="BE32" s="19" t="s">
        <v>423</v>
      </c>
      <c r="BF32" s="19" t="str">
        <f>$BD$25</f>
        <v>AluminiumExtrasLimitedColours</v>
      </c>
      <c r="BG32" s="19" t="e">
        <f t="shared" si="49"/>
        <v>#N/A</v>
      </c>
    </row>
    <row r="33" spans="1:116" s="19" customFormat="1" ht="23.1" customHeight="1" x14ac:dyDescent="0.2">
      <c r="A33" s="24">
        <v>7</v>
      </c>
      <c r="B33" s="278"/>
      <c r="C33" s="260"/>
      <c r="D33" s="260"/>
      <c r="E33" s="254"/>
      <c r="F33" s="279"/>
      <c r="G33" s="242"/>
      <c r="H33" s="254"/>
      <c r="I33" s="280"/>
      <c r="J33" s="320"/>
      <c r="K33" s="321"/>
      <c r="L33" s="324"/>
      <c r="M33" s="321"/>
      <c r="N33" s="339"/>
      <c r="O33" s="339"/>
      <c r="P33" s="339"/>
      <c r="Q33" s="281"/>
      <c r="R33" s="343"/>
      <c r="S33" s="343"/>
      <c r="T33" s="343"/>
      <c r="U33" s="344"/>
      <c r="V33" s="370"/>
      <c r="W33" s="371"/>
      <c r="X33" s="371"/>
      <c r="Y33" s="371"/>
      <c r="Z33" s="371"/>
      <c r="AA33" s="372"/>
      <c r="AO33" s="211" t="str">
        <f t="shared" si="50"/>
        <v>HandleLockYes</v>
      </c>
      <c r="AP33" s="211" t="str">
        <f t="shared" si="51"/>
        <v>LourveLock</v>
      </c>
      <c r="AT33" s="238" t="str">
        <f t="shared" si="52"/>
        <v>SecurityLock</v>
      </c>
      <c r="AU33" s="132" t="str">
        <f t="shared" si="47"/>
        <v>SecurityLockNo</v>
      </c>
      <c r="AV33" s="132"/>
      <c r="AW33" s="132"/>
      <c r="AX33" s="132" t="str">
        <f t="shared" si="53"/>
        <v>KeyLock</v>
      </c>
      <c r="BA33" s="224" t="s">
        <v>425</v>
      </c>
      <c r="BB33" s="224" t="s">
        <v>433</v>
      </c>
      <c r="BE33" s="19" t="s">
        <v>425</v>
      </c>
      <c r="BF33" s="211" t="str">
        <f t="shared" si="48"/>
        <v>EcoExternalAluminiumColourAll</v>
      </c>
      <c r="BG33" s="19" t="e">
        <f t="shared" si="49"/>
        <v>#N/A</v>
      </c>
    </row>
    <row r="34" spans="1:116" s="19" customFormat="1" ht="23.1" customHeight="1" x14ac:dyDescent="0.2">
      <c r="A34" s="14">
        <v>8</v>
      </c>
      <c r="B34" s="278"/>
      <c r="C34" s="260"/>
      <c r="D34" s="260"/>
      <c r="E34" s="254"/>
      <c r="F34" s="279"/>
      <c r="G34" s="242"/>
      <c r="H34" s="254"/>
      <c r="I34" s="280"/>
      <c r="J34" s="320"/>
      <c r="K34" s="321"/>
      <c r="L34" s="324"/>
      <c r="M34" s="321"/>
      <c r="N34" s="339"/>
      <c r="O34" s="339"/>
      <c r="P34" s="339"/>
      <c r="Q34" s="281"/>
      <c r="R34" s="343"/>
      <c r="S34" s="343"/>
      <c r="T34" s="343"/>
      <c r="U34" s="344"/>
      <c r="V34" s="370"/>
      <c r="W34" s="371"/>
      <c r="X34" s="371"/>
      <c r="Y34" s="371"/>
      <c r="Z34" s="371"/>
      <c r="AA34" s="372"/>
      <c r="AO34" s="211" t="str">
        <f t="shared" si="50"/>
        <v>HandleLockYes</v>
      </c>
      <c r="AP34" s="211" t="str">
        <f t="shared" si="51"/>
        <v>LourveLock</v>
      </c>
      <c r="AT34" s="238" t="str">
        <f t="shared" si="52"/>
        <v>SecurityLock</v>
      </c>
      <c r="AU34" s="132" t="str">
        <f t="shared" si="47"/>
        <v>SecurityLockNo</v>
      </c>
      <c r="AV34" s="132"/>
      <c r="AW34" s="132"/>
      <c r="AX34" s="132" t="str">
        <f t="shared" si="53"/>
        <v>KeyLock</v>
      </c>
      <c r="BA34" s="224" t="s">
        <v>426</v>
      </c>
      <c r="BB34" s="19" t="s">
        <v>447</v>
      </c>
      <c r="BE34" s="19" t="s">
        <v>426</v>
      </c>
      <c r="BF34" s="211" t="str">
        <f t="shared" si="48"/>
        <v>EcoExternalAluminiumColourAll</v>
      </c>
      <c r="BG34" s="19" t="e">
        <f t="shared" si="49"/>
        <v>#N/A</v>
      </c>
    </row>
    <row r="35" spans="1:116" s="19" customFormat="1" ht="23.1" customHeight="1" x14ac:dyDescent="0.2">
      <c r="A35" s="24">
        <v>9</v>
      </c>
      <c r="B35" s="278"/>
      <c r="C35" s="260"/>
      <c r="D35" s="260"/>
      <c r="E35" s="254"/>
      <c r="F35" s="279"/>
      <c r="G35" s="242"/>
      <c r="H35" s="254"/>
      <c r="I35" s="280"/>
      <c r="J35" s="320"/>
      <c r="K35" s="321"/>
      <c r="L35" s="324"/>
      <c r="M35" s="321"/>
      <c r="N35" s="339"/>
      <c r="O35" s="339"/>
      <c r="P35" s="339"/>
      <c r="Q35" s="281"/>
      <c r="R35" s="343"/>
      <c r="S35" s="343"/>
      <c r="T35" s="343"/>
      <c r="U35" s="344"/>
      <c r="V35" s="370"/>
      <c r="W35" s="371"/>
      <c r="X35" s="371"/>
      <c r="Y35" s="371"/>
      <c r="Z35" s="371"/>
      <c r="AA35" s="372"/>
      <c r="AO35" s="211" t="str">
        <f t="shared" si="50"/>
        <v>HandleLockYes</v>
      </c>
      <c r="AP35" s="211" t="str">
        <f t="shared" si="51"/>
        <v>LourveLock</v>
      </c>
      <c r="AT35" s="238" t="str">
        <f t="shared" si="52"/>
        <v>SecurityLock</v>
      </c>
      <c r="AU35" s="132" t="str">
        <f t="shared" si="47"/>
        <v>SecurityLockNo</v>
      </c>
      <c r="AV35" s="132"/>
      <c r="AW35" s="132"/>
      <c r="AX35" s="132" t="str">
        <f t="shared" si="53"/>
        <v>KeyLock</v>
      </c>
      <c r="BA35" s="131" t="s">
        <v>543</v>
      </c>
      <c r="BB35" s="131" t="s">
        <v>440</v>
      </c>
      <c r="BE35" s="19" t="s">
        <v>543</v>
      </c>
      <c r="BF35" s="19" t="str">
        <f>$BD$25</f>
        <v>AluminiumExtrasLimitedColours</v>
      </c>
      <c r="BG35" s="19" t="e">
        <f t="shared" si="49"/>
        <v>#N/A</v>
      </c>
    </row>
    <row r="36" spans="1:116" s="19" customFormat="1" ht="23.1" customHeight="1" x14ac:dyDescent="0.2">
      <c r="A36" s="14">
        <v>10</v>
      </c>
      <c r="B36" s="278"/>
      <c r="C36" s="260"/>
      <c r="D36" s="260"/>
      <c r="E36" s="254"/>
      <c r="F36" s="279"/>
      <c r="G36" s="242"/>
      <c r="H36" s="254"/>
      <c r="I36" s="280"/>
      <c r="J36" s="320"/>
      <c r="K36" s="321"/>
      <c r="L36" s="324"/>
      <c r="M36" s="321"/>
      <c r="N36" s="339"/>
      <c r="O36" s="339"/>
      <c r="P36" s="339"/>
      <c r="Q36" s="281"/>
      <c r="R36" s="343"/>
      <c r="S36" s="343"/>
      <c r="T36" s="343"/>
      <c r="U36" s="344"/>
      <c r="V36" s="370"/>
      <c r="W36" s="371"/>
      <c r="X36" s="371"/>
      <c r="Y36" s="371"/>
      <c r="Z36" s="371"/>
      <c r="AA36" s="372"/>
      <c r="AO36" s="211" t="str">
        <f t="shared" si="50"/>
        <v>HandleLockYes</v>
      </c>
      <c r="AP36" s="211" t="str">
        <f t="shared" si="51"/>
        <v>LourveLock</v>
      </c>
      <c r="AT36" s="238" t="str">
        <f t="shared" si="52"/>
        <v>SecurityLock</v>
      </c>
      <c r="AU36" s="132" t="str">
        <f t="shared" si="47"/>
        <v>SecurityLockNo</v>
      </c>
      <c r="AV36" s="132"/>
      <c r="AW36" s="132"/>
      <c r="AX36" s="132" t="str">
        <f t="shared" si="53"/>
        <v>KeyLock</v>
      </c>
      <c r="BA36" s="131" t="s">
        <v>95</v>
      </c>
      <c r="BB36" s="224" t="s">
        <v>439</v>
      </c>
      <c r="BE36" s="19" t="s">
        <v>95</v>
      </c>
      <c r="BF36" s="211" t="str">
        <f t="shared" si="48"/>
        <v>EcoExternalAluminiumColourAll</v>
      </c>
      <c r="BG36" s="19" t="e">
        <f t="shared" si="49"/>
        <v>#N/A</v>
      </c>
    </row>
    <row r="37" spans="1:116" s="19" customFormat="1" ht="23.1" customHeight="1" x14ac:dyDescent="0.2">
      <c r="A37" s="24">
        <v>11</v>
      </c>
      <c r="B37" s="278"/>
      <c r="C37" s="260"/>
      <c r="D37" s="260"/>
      <c r="E37" s="254"/>
      <c r="F37" s="279"/>
      <c r="G37" s="242"/>
      <c r="H37" s="254"/>
      <c r="I37" s="280"/>
      <c r="J37" s="320"/>
      <c r="K37" s="321"/>
      <c r="L37" s="324"/>
      <c r="M37" s="321"/>
      <c r="N37" s="339"/>
      <c r="O37" s="339"/>
      <c r="P37" s="339"/>
      <c r="Q37" s="281"/>
      <c r="R37" s="343"/>
      <c r="S37" s="343"/>
      <c r="T37" s="343"/>
      <c r="U37" s="344"/>
      <c r="V37" s="370"/>
      <c r="W37" s="371"/>
      <c r="X37" s="371"/>
      <c r="Y37" s="371"/>
      <c r="Z37" s="371"/>
      <c r="AA37" s="372"/>
      <c r="AO37" s="211" t="str">
        <f t="shared" si="50"/>
        <v>HandleLockYes</v>
      </c>
      <c r="AP37" s="211" t="str">
        <f t="shared" si="51"/>
        <v>LourveLock</v>
      </c>
      <c r="AT37" s="238" t="str">
        <f t="shared" si="52"/>
        <v>SecurityLock</v>
      </c>
      <c r="AU37" s="132" t="str">
        <f t="shared" si="47"/>
        <v>SecurityLockNo</v>
      </c>
      <c r="AV37" s="132"/>
      <c r="AW37" s="132"/>
      <c r="AX37" s="132" t="str">
        <f t="shared" si="53"/>
        <v>KeyLock</v>
      </c>
      <c r="BA37" s="118" t="s">
        <v>429</v>
      </c>
      <c r="BB37" s="224" t="s">
        <v>436</v>
      </c>
      <c r="BE37" s="19" t="s">
        <v>429</v>
      </c>
      <c r="BF37" s="211" t="str">
        <f t="shared" si="48"/>
        <v>EcoExternalAluminiumColourAll</v>
      </c>
      <c r="BG37" s="19" t="e">
        <f t="shared" si="49"/>
        <v>#N/A</v>
      </c>
    </row>
    <row r="38" spans="1:116" s="19" customFormat="1" ht="23.1" customHeight="1" x14ac:dyDescent="0.2">
      <c r="A38" s="14">
        <v>12</v>
      </c>
      <c r="B38" s="278"/>
      <c r="C38" s="260"/>
      <c r="D38" s="260"/>
      <c r="E38" s="254"/>
      <c r="F38" s="279"/>
      <c r="G38" s="242"/>
      <c r="H38" s="254"/>
      <c r="I38" s="280"/>
      <c r="J38" s="320"/>
      <c r="K38" s="321"/>
      <c r="L38" s="324"/>
      <c r="M38" s="321"/>
      <c r="N38" s="339"/>
      <c r="O38" s="339"/>
      <c r="P38" s="339"/>
      <c r="Q38" s="281"/>
      <c r="R38" s="343"/>
      <c r="S38" s="343"/>
      <c r="T38" s="343"/>
      <c r="U38" s="344"/>
      <c r="V38" s="370"/>
      <c r="W38" s="371"/>
      <c r="X38" s="371"/>
      <c r="Y38" s="371"/>
      <c r="Z38" s="371"/>
      <c r="AA38" s="372"/>
      <c r="AO38" s="211" t="str">
        <f t="shared" si="50"/>
        <v>HandleLockYes</v>
      </c>
      <c r="AP38" s="211" t="str">
        <f t="shared" si="51"/>
        <v>LourveLock</v>
      </c>
      <c r="AT38" s="238" t="str">
        <f t="shared" si="52"/>
        <v>SecurityLock</v>
      </c>
      <c r="AU38" s="132" t="str">
        <f t="shared" si="47"/>
        <v>SecurityLockNo</v>
      </c>
      <c r="AV38" s="132"/>
      <c r="AW38" s="132"/>
      <c r="AX38" s="132" t="str">
        <f t="shared" si="53"/>
        <v>KeyLock</v>
      </c>
      <c r="BA38" s="118" t="s">
        <v>432</v>
      </c>
      <c r="BB38" s="224" t="s">
        <v>435</v>
      </c>
      <c r="BE38" s="19" t="s">
        <v>432</v>
      </c>
      <c r="BF38" s="19" t="str">
        <f t="shared" ref="BF38:BF40" si="54">$BD$25</f>
        <v>AluminiumExtrasLimitedColours</v>
      </c>
      <c r="BG38" s="19" t="e">
        <f t="shared" si="49"/>
        <v>#N/A</v>
      </c>
    </row>
    <row r="39" spans="1:116" s="19" customFormat="1" ht="23.1" customHeight="1" x14ac:dyDescent="0.2">
      <c r="A39" s="24">
        <v>13</v>
      </c>
      <c r="B39" s="278"/>
      <c r="C39" s="260"/>
      <c r="D39" s="260"/>
      <c r="E39" s="254"/>
      <c r="F39" s="279"/>
      <c r="G39" s="242"/>
      <c r="H39" s="254"/>
      <c r="I39" s="280"/>
      <c r="J39" s="320"/>
      <c r="K39" s="321"/>
      <c r="L39" s="324"/>
      <c r="M39" s="321"/>
      <c r="N39" s="339"/>
      <c r="O39" s="339"/>
      <c r="P39" s="339"/>
      <c r="Q39" s="281"/>
      <c r="R39" s="343"/>
      <c r="S39" s="343"/>
      <c r="T39" s="343"/>
      <c r="U39" s="344"/>
      <c r="V39" s="370"/>
      <c r="W39" s="371"/>
      <c r="X39" s="371"/>
      <c r="Y39" s="371"/>
      <c r="Z39" s="371"/>
      <c r="AA39" s="372"/>
      <c r="AO39" s="211" t="str">
        <f t="shared" si="50"/>
        <v>HandleLockYes</v>
      </c>
      <c r="AP39" s="211" t="str">
        <f t="shared" si="51"/>
        <v>LourveLock</v>
      </c>
      <c r="AT39" s="238" t="str">
        <f t="shared" si="52"/>
        <v>SecurityLock</v>
      </c>
      <c r="AU39" s="132" t="str">
        <f t="shared" si="47"/>
        <v>SecurityLockNo</v>
      </c>
      <c r="AV39" s="132"/>
      <c r="AW39" s="132"/>
      <c r="AX39" s="132" t="str">
        <f t="shared" si="53"/>
        <v>KeyLock</v>
      </c>
      <c r="BA39" s="118" t="s">
        <v>431</v>
      </c>
      <c r="BE39" s="19" t="s">
        <v>431</v>
      </c>
      <c r="BF39" s="19" t="str">
        <f t="shared" si="54"/>
        <v>AluminiumExtrasLimitedColours</v>
      </c>
      <c r="BG39" s="19" t="e">
        <f t="shared" si="49"/>
        <v>#N/A</v>
      </c>
    </row>
    <row r="40" spans="1:116" s="19" customFormat="1" ht="23.1" customHeight="1" x14ac:dyDescent="0.2">
      <c r="A40" s="14">
        <v>14</v>
      </c>
      <c r="B40" s="278"/>
      <c r="C40" s="260"/>
      <c r="D40" s="260"/>
      <c r="E40" s="254"/>
      <c r="F40" s="279"/>
      <c r="G40" s="242"/>
      <c r="H40" s="254"/>
      <c r="I40" s="280"/>
      <c r="J40" s="320"/>
      <c r="K40" s="321"/>
      <c r="L40" s="324"/>
      <c r="M40" s="321"/>
      <c r="N40" s="339"/>
      <c r="O40" s="339"/>
      <c r="P40" s="339"/>
      <c r="Q40" s="281"/>
      <c r="R40" s="343"/>
      <c r="S40" s="343"/>
      <c r="T40" s="343"/>
      <c r="U40" s="344"/>
      <c r="V40" s="370"/>
      <c r="W40" s="371"/>
      <c r="X40" s="371"/>
      <c r="Y40" s="371"/>
      <c r="Z40" s="371"/>
      <c r="AA40" s="372"/>
      <c r="AO40" s="211" t="str">
        <f t="shared" si="50"/>
        <v>HandleLockYes</v>
      </c>
      <c r="AP40" s="211" t="str">
        <f t="shared" si="51"/>
        <v>LourveLock</v>
      </c>
      <c r="AT40" s="238" t="str">
        <f t="shared" si="52"/>
        <v>SecurityLock</v>
      </c>
      <c r="AU40" s="132" t="str">
        <f t="shared" si="47"/>
        <v>SecurityLockNo</v>
      </c>
      <c r="AV40" s="132"/>
      <c r="AW40" s="132"/>
      <c r="AX40" s="132" t="str">
        <f t="shared" si="53"/>
        <v>KeyLock</v>
      </c>
      <c r="BA40" s="118" t="s">
        <v>430</v>
      </c>
      <c r="BE40" s="19" t="s">
        <v>430</v>
      </c>
      <c r="BF40" s="19" t="str">
        <f t="shared" si="54"/>
        <v>AluminiumExtrasLimitedColours</v>
      </c>
      <c r="BG40" s="19" t="e">
        <f t="shared" si="49"/>
        <v>#N/A</v>
      </c>
    </row>
    <row r="41" spans="1:116" s="19" customFormat="1" ht="23.1" customHeight="1" thickBot="1" x14ac:dyDescent="0.25">
      <c r="A41" s="226">
        <v>15</v>
      </c>
      <c r="B41" s="282"/>
      <c r="C41" s="283"/>
      <c r="D41" s="283"/>
      <c r="E41" s="265"/>
      <c r="F41" s="284"/>
      <c r="G41" s="285"/>
      <c r="H41" s="265"/>
      <c r="I41" s="266"/>
      <c r="J41" s="322"/>
      <c r="K41" s="323"/>
      <c r="L41" s="338"/>
      <c r="M41" s="323"/>
      <c r="N41" s="342"/>
      <c r="O41" s="342"/>
      <c r="P41" s="342"/>
      <c r="Q41" s="286"/>
      <c r="R41" s="340"/>
      <c r="S41" s="340"/>
      <c r="T41" s="340"/>
      <c r="U41" s="341"/>
      <c r="V41" s="373"/>
      <c r="W41" s="374"/>
      <c r="X41" s="374"/>
      <c r="Y41" s="374"/>
      <c r="Z41" s="374"/>
      <c r="AA41" s="375"/>
      <c r="AO41" s="211" t="str">
        <f t="shared" si="50"/>
        <v>HandleLockYes</v>
      </c>
      <c r="AP41" s="211" t="str">
        <f t="shared" si="51"/>
        <v>LourveLock</v>
      </c>
      <c r="AT41" s="238" t="str">
        <f t="shared" si="52"/>
        <v>SecurityLock</v>
      </c>
      <c r="AU41" s="132" t="str">
        <f t="shared" si="47"/>
        <v>SecurityLockNo</v>
      </c>
      <c r="AV41" s="132"/>
      <c r="AW41" s="132"/>
      <c r="AX41" s="132" t="str">
        <f t="shared" si="53"/>
        <v>KeyLock</v>
      </c>
      <c r="BA41" s="224" t="s">
        <v>424</v>
      </c>
      <c r="BE41" s="19" t="s">
        <v>424</v>
      </c>
      <c r="BF41" s="211" t="str">
        <f>$EB$8</f>
        <v>EcoExternalAluminiumColourAll</v>
      </c>
      <c r="BG41" s="19" t="e">
        <f t="shared" si="49"/>
        <v>#N/A</v>
      </c>
    </row>
    <row r="42" spans="1:116" x14ac:dyDescent="0.2">
      <c r="AO42" s="19"/>
      <c r="AP42" s="19"/>
      <c r="AQ42" s="19"/>
      <c r="BA42" s="131" t="s">
        <v>27</v>
      </c>
      <c r="BB42" s="19"/>
      <c r="BC42" s="19"/>
      <c r="BE42" s="19" t="s">
        <v>27</v>
      </c>
      <c r="BF42" s="211" t="str">
        <f>$EB$8</f>
        <v>EcoExternalAluminiumColourAll</v>
      </c>
      <c r="BG42" s="19"/>
      <c r="CU42" s="19"/>
      <c r="CV42" s="19"/>
      <c r="CW42" s="19"/>
      <c r="CX42" s="19"/>
      <c r="DI42" s="19"/>
      <c r="DJ42" s="19"/>
      <c r="DK42" s="19"/>
      <c r="DL42" s="19"/>
    </row>
    <row r="43" spans="1:116" x14ac:dyDescent="0.2">
      <c r="BA43" s="131" t="s">
        <v>529</v>
      </c>
      <c r="BB43" s="19"/>
      <c r="BC43" s="19"/>
      <c r="BE43" s="19" t="s">
        <v>529</v>
      </c>
      <c r="BF43" s="211" t="str">
        <f>$EB$8</f>
        <v>EcoExternalAluminiumColourAll</v>
      </c>
      <c r="BG43" s="19"/>
    </row>
    <row r="44" spans="1:116" x14ac:dyDescent="0.2">
      <c r="BA44" s="131" t="s">
        <v>542</v>
      </c>
      <c r="BB44" s="19"/>
      <c r="BC44" s="19"/>
      <c r="BE44" s="19" t="s">
        <v>542</v>
      </c>
      <c r="BF44" s="19" t="str">
        <f t="shared" ref="BF44" si="55">$BD$25</f>
        <v>AluminiumExtrasLimitedColours</v>
      </c>
      <c r="BG44" s="19"/>
    </row>
    <row r="45" spans="1:116" x14ac:dyDescent="0.2">
      <c r="BA45" s="131" t="s">
        <v>441</v>
      </c>
      <c r="BB45" s="19"/>
      <c r="BC45" s="19"/>
      <c r="BE45" s="19" t="s">
        <v>441</v>
      </c>
      <c r="BF45" s="211" t="str">
        <f>$EB$8</f>
        <v>EcoExternalAluminiumColourAll</v>
      </c>
      <c r="BG45" s="19"/>
    </row>
    <row r="46" spans="1:116" x14ac:dyDescent="0.2">
      <c r="BA46" s="118" t="s">
        <v>428</v>
      </c>
      <c r="BB46" s="19"/>
      <c r="BE46" s="19" t="s">
        <v>428</v>
      </c>
      <c r="BF46" s="211" t="str">
        <f>$EB$8</f>
        <v>EcoExternalAluminiumColourAll</v>
      </c>
      <c r="BG46" s="19"/>
    </row>
    <row r="47" spans="1:116" x14ac:dyDescent="0.2">
      <c r="BA47" s="118" t="s">
        <v>385</v>
      </c>
      <c r="BE47" s="19" t="s">
        <v>385</v>
      </c>
      <c r="BF47" s="211" t="str">
        <f>$EB$8</f>
        <v>EcoExternalAluminiumColourAll</v>
      </c>
    </row>
    <row r="48" spans="1:116" x14ac:dyDescent="0.2">
      <c r="BA48" s="222"/>
    </row>
    <row r="49" spans="53:53" x14ac:dyDescent="0.2">
      <c r="BA49" s="222"/>
    </row>
    <row r="50" spans="53:53" x14ac:dyDescent="0.2">
      <c r="BA50" s="223"/>
    </row>
    <row r="51" spans="53:53" x14ac:dyDescent="0.2">
      <c r="BA51" s="223"/>
    </row>
    <row r="52" spans="53:53" x14ac:dyDescent="0.2">
      <c r="BA52" s="222"/>
    </row>
    <row r="53" spans="53:53" x14ac:dyDescent="0.2">
      <c r="BA53" s="222"/>
    </row>
    <row r="54" spans="53:53" x14ac:dyDescent="0.2">
      <c r="BA54" s="26"/>
    </row>
    <row r="55" spans="53:53" x14ac:dyDescent="0.2">
      <c r="BA55" s="222"/>
    </row>
    <row r="56" spans="53:53" x14ac:dyDescent="0.2">
      <c r="BA56" s="222"/>
    </row>
    <row r="57" spans="53:53" x14ac:dyDescent="0.2">
      <c r="BA57" s="222"/>
    </row>
  </sheetData>
  <sheetProtection algorithmName="SHA-512" hashValue="R0sY+OjfNh/iqrPivE75l75yNgbpL6TWW1JnXEiCuNyrjlsYqPKkiT2SOXpLfMIdBpKKioSS7OE18Dmg6aQ8qg==" saltValue="haBC9pc1SOamPmrF7o5Sbw==" spinCount="100000" sheet="1" objects="1" scenarios="1"/>
  <sortState xmlns:xlrd2="http://schemas.microsoft.com/office/spreadsheetml/2017/richdata2" ref="EN9:EN10">
    <sortCondition ref="EN9:EN10"/>
  </sortState>
  <dataConsolidate/>
  <mergeCells count="91">
    <mergeCell ref="N1:X1"/>
    <mergeCell ref="N2:X2"/>
    <mergeCell ref="N3:X3"/>
    <mergeCell ref="N4:X4"/>
    <mergeCell ref="N5:X5"/>
    <mergeCell ref="L7:W7"/>
    <mergeCell ref="Q25:U25"/>
    <mergeCell ref="V27:AA41"/>
    <mergeCell ref="N27:P27"/>
    <mergeCell ref="R26:U26"/>
    <mergeCell ref="V25:AA26"/>
    <mergeCell ref="N25:P26"/>
    <mergeCell ref="A24:AA24"/>
    <mergeCell ref="B7:I7"/>
    <mergeCell ref="A25:A26"/>
    <mergeCell ref="R33:U33"/>
    <mergeCell ref="R34:U34"/>
    <mergeCell ref="R35:U35"/>
    <mergeCell ref="R37:U37"/>
    <mergeCell ref="R38:U38"/>
    <mergeCell ref="R27:U27"/>
    <mergeCell ref="A6:I6"/>
    <mergeCell ref="B25:B26"/>
    <mergeCell ref="C25:C26"/>
    <mergeCell ref="D25:D26"/>
    <mergeCell ref="E25:E26"/>
    <mergeCell ref="F25:F26"/>
    <mergeCell ref="L3:M3"/>
    <mergeCell ref="A4:B4"/>
    <mergeCell ref="G1:I3"/>
    <mergeCell ref="L4:M4"/>
    <mergeCell ref="L5:M5"/>
    <mergeCell ref="L1:M1"/>
    <mergeCell ref="L2:M2"/>
    <mergeCell ref="C4:I4"/>
    <mergeCell ref="R29:U29"/>
    <mergeCell ref="R30:U30"/>
    <mergeCell ref="R31:U31"/>
    <mergeCell ref="R32:U32"/>
    <mergeCell ref="R28:U28"/>
    <mergeCell ref="R41:U41"/>
    <mergeCell ref="N40:P40"/>
    <mergeCell ref="N41:P41"/>
    <mergeCell ref="R36:U36"/>
    <mergeCell ref="R39:U39"/>
    <mergeCell ref="R40:U40"/>
    <mergeCell ref="N38:P38"/>
    <mergeCell ref="N39:P39"/>
    <mergeCell ref="N33:P33"/>
    <mergeCell ref="N34:P34"/>
    <mergeCell ref="N35:P35"/>
    <mergeCell ref="N36:P36"/>
    <mergeCell ref="N37:P37"/>
    <mergeCell ref="N28:P28"/>
    <mergeCell ref="N29:P29"/>
    <mergeCell ref="N30:P30"/>
    <mergeCell ref="N31:P31"/>
    <mergeCell ref="N32:P32"/>
    <mergeCell ref="L38:M38"/>
    <mergeCell ref="L39:M39"/>
    <mergeCell ref="L40:M40"/>
    <mergeCell ref="L41:M41"/>
    <mergeCell ref="L29:M29"/>
    <mergeCell ref="L30:M30"/>
    <mergeCell ref="L31:M31"/>
    <mergeCell ref="L32:M32"/>
    <mergeCell ref="L33:M33"/>
    <mergeCell ref="L34:M34"/>
    <mergeCell ref="L35:M35"/>
    <mergeCell ref="L36:M36"/>
    <mergeCell ref="L37:M37"/>
    <mergeCell ref="L25:M26"/>
    <mergeCell ref="L27:M27"/>
    <mergeCell ref="L28:M28"/>
    <mergeCell ref="G25:K25"/>
    <mergeCell ref="J26:K26"/>
    <mergeCell ref="J27:K27"/>
    <mergeCell ref="J28:K28"/>
    <mergeCell ref="J33:K33"/>
    <mergeCell ref="J34:K34"/>
    <mergeCell ref="J35:K35"/>
    <mergeCell ref="J36:K36"/>
    <mergeCell ref="J38:K38"/>
    <mergeCell ref="J39:K39"/>
    <mergeCell ref="J40:K40"/>
    <mergeCell ref="J41:K41"/>
    <mergeCell ref="J29:K29"/>
    <mergeCell ref="J37:K37"/>
    <mergeCell ref="J30:K30"/>
    <mergeCell ref="J31:K31"/>
    <mergeCell ref="J32:K32"/>
  </mergeCells>
  <phoneticPr fontId="0" type="noConversion"/>
  <conditionalFormatting sqref="C9:C23">
    <cfRule type="expression" dxfId="25" priority="23">
      <formula>BN9="Oversize"</formula>
    </cfRule>
  </conditionalFormatting>
  <conditionalFormatting sqref="D9:D23">
    <cfRule type="expression" dxfId="24" priority="24">
      <formula>BJ9="Yes"</formula>
    </cfRule>
  </conditionalFormatting>
  <conditionalFormatting sqref="F9:F23">
    <cfRule type="expression" dxfId="23" priority="30">
      <formula>BD9="Failed"</formula>
    </cfRule>
  </conditionalFormatting>
  <conditionalFormatting sqref="J9:J23">
    <cfRule type="expression" dxfId="22" priority="8">
      <formula>BY9="Yes"</formula>
    </cfRule>
  </conditionalFormatting>
  <conditionalFormatting sqref="K9:K23">
    <cfRule type="expression" dxfId="21" priority="18">
      <formula>CA9="Yes"</formula>
    </cfRule>
  </conditionalFormatting>
  <conditionalFormatting sqref="M9:M23">
    <cfRule type="expression" dxfId="20" priority="31">
      <formula>BD9="Failed"</formula>
    </cfRule>
  </conditionalFormatting>
  <conditionalFormatting sqref="P9:S23">
    <cfRule type="expression" dxfId="19" priority="26">
      <formula>BE9="Yes"</formula>
    </cfRule>
  </conditionalFormatting>
  <conditionalFormatting sqref="T9:T23">
    <cfRule type="expression" dxfId="18" priority="22">
      <formula>BX9="Highlight"</formula>
    </cfRule>
  </conditionalFormatting>
  <conditionalFormatting sqref="U9:W23">
    <cfRule type="expression" dxfId="17" priority="19">
      <formula>BS9="Error"</formula>
    </cfRule>
  </conditionalFormatting>
  <conditionalFormatting sqref="X9:Z23">
    <cfRule type="containsText" dxfId="16" priority="9" operator="containsText" text="Handle">
      <formula>NOT(ISERROR(SEARCH("Handle",X9)))</formula>
    </cfRule>
    <cfRule type="containsText" dxfId="15" priority="10" operator="containsText" text="Bottom">
      <formula>NOT(ISERROR(SEARCH("Bottom",X9)))</formula>
    </cfRule>
    <cfRule type="containsText" dxfId="14" priority="11" operator="containsText" text="Top">
      <formula>NOT(ISERROR(SEARCH("Top",X9)))</formula>
    </cfRule>
    <cfRule type="expression" dxfId="13" priority="12">
      <formula>BI9="Yes"</formula>
    </cfRule>
  </conditionalFormatting>
  <conditionalFormatting sqref="M9:M23">
    <cfRule type="expression" dxfId="12" priority="7">
      <formula>EJ9&gt;0</formula>
    </cfRule>
  </conditionalFormatting>
  <conditionalFormatting sqref="B27:B41">
    <cfRule type="containsText" dxfId="11" priority="6" operator="containsText" text="Silver">
      <formula>NOT(ISERROR(SEARCH("Silver",B27)))</formula>
    </cfRule>
  </conditionalFormatting>
  <conditionalFormatting sqref="E27:E41">
    <cfRule type="containsText" dxfId="10" priority="5" operator="containsText" text="Yes">
      <formula>NOT(ISERROR(SEARCH("Yes",E27)))</formula>
    </cfRule>
  </conditionalFormatting>
  <conditionalFormatting sqref="D27:D41">
    <cfRule type="containsText" dxfId="9" priority="3" operator="containsText" text="White">
      <formula>NOT(ISERROR(SEARCH("White",D27)))</formula>
    </cfRule>
    <cfRule type="containsText" dxfId="8" priority="4" operator="containsText" text="Silver">
      <formula>NOT(ISERROR(SEARCH("Silver",D27)))</formula>
    </cfRule>
  </conditionalFormatting>
  <conditionalFormatting sqref="F27:F41">
    <cfRule type="containsText" dxfId="7" priority="1" operator="containsText" text="Yes">
      <formula>NOT(ISERROR(SEARCH("Yes",F27)))</formula>
    </cfRule>
  </conditionalFormatting>
  <dataValidations count="33">
    <dataValidation type="list" allowBlank="1" showErrorMessage="1" errorTitle="Invalid Entry" error="Invalid Entry" sqref="M9:M23" xr:uid="{00000000-0002-0000-0200-000005000000}">
      <formula1>INDIRECT(SUBSTITUTE(AZ9," ","_"))</formula1>
    </dataValidation>
    <dataValidation allowBlank="1" showErrorMessage="1" sqref="B25:C25 J9:J23" xr:uid="{00000000-0002-0000-0200-000009000000}"/>
    <dataValidation type="list" allowBlank="1" showInputMessage="1" showErrorMessage="1" sqref="E9:E23" xr:uid="{00000000-0002-0000-0200-00000A000000}">
      <formula1>"IN, OUT, MS"</formula1>
    </dataValidation>
    <dataValidation type="whole" errorStyle="information" allowBlank="1" showInputMessage="1" showErrorMessage="1" errorTitle="Warning" error="Minimum Panel Width is 300mm._x000a__x000a_Maximum Panel Width is 900mm." sqref="C9:C23" xr:uid="{00000000-0002-0000-0200-00000B000000}">
      <formula1>300</formula1>
      <formula2>6000</formula2>
    </dataValidation>
    <dataValidation type="whole" errorStyle="information" allowBlank="1" showInputMessage="1" errorTitle="Be Aware" error="All openings over 3600mm wide will have framing split into 2 pieces." sqref="B9:B23" xr:uid="{00000000-0002-0000-0200-00000C000000}">
      <formula1>1</formula1>
      <formula2>3600</formula2>
    </dataValidation>
    <dataValidation type="whole" errorStyle="information" allowBlank="1" showErrorMessage="1" errorTitle="Warning" error="Minimum Panel Height is 400mm._x000a__x000a_Maximum Panel Height is 3000mm." sqref="D9:D23" xr:uid="{00000000-0002-0000-0200-000010000000}">
      <formula1>400</formula1>
      <formula2>3000</formula2>
    </dataValidation>
    <dataValidation allowBlank="1" sqref="AB3:AE23" xr:uid="{00000000-0002-0000-0200-000017000000}"/>
    <dataValidation type="list" allowBlank="1" showInputMessage="1" showErrorMessage="1" errorTitle="Invalid Entry" error="Please select from List!" sqref="G9:G23" xr:uid="{FED52972-2D97-4B5A-A0C3-08D9F8F7918A}">
      <formula1>"63mm, 89mm, 114mm"</formula1>
    </dataValidation>
    <dataValidation type="list" allowBlank="1" showErrorMessage="1" errorTitle="Invalid Entry" error="Invalid Entry" promptTitle="SLIDE" prompt="IF 64mm BLADE-SLIDE, FRAME TYPE IS 160mm, _x000a_IF 89mm BLADE-SLIDE FRAME TYPE IS 220mm" sqref="L9:L23" xr:uid="{5055021C-B245-4EB1-8B75-CFE84A96C74A}">
      <formula1>INDIRECT(SUBSTITUTE(CT9," ","_"))</formula1>
    </dataValidation>
    <dataValidation type="list" allowBlank="1" showInputMessage="1" showErrorMessage="1" errorTitle="Invalid Selection" error="Invalid Selection" sqref="R27:U41" xr:uid="{00000000-0002-0000-0200-000011000000}">
      <formula1>AluminiumExtraHardwares</formula1>
    </dataValidation>
    <dataValidation type="list" allowBlank="1" showInputMessage="1" showErrorMessage="1" errorTitle="Invalid Entry" error="Invalid Entry" sqref="N9:N23" xr:uid="{8684C66A-EBED-41C2-8AC7-F2FDB3DFECFA}">
      <formula1>INDIRECT(SUBSTITUTE(DB9," ","_"))</formula1>
    </dataValidation>
    <dataValidation type="list" allowBlank="1" showInputMessage="1" showErrorMessage="1" errorTitle="Invalid Entry" error="Invalid Entry" sqref="O9:O23" xr:uid="{20329063-00BF-4967-B058-B21260681B3A}">
      <formula1>INDIRECT(SUBSTITUTE(DH9," ","_"))</formula1>
    </dataValidation>
    <dataValidation type="list" allowBlank="1" showInputMessage="1" showErrorMessage="1" errorTitle="Invalid Entry" error="Invalid Entry" sqref="T9:T23" xr:uid="{0599D03B-23E5-48DF-AFAF-A148599D5A3D}">
      <formula1>THPost</formula1>
    </dataValidation>
    <dataValidation type="list" allowBlank="1" showInputMessage="1" showErrorMessage="1" errorTitle="Invalid Entry" error="Invalid Entry" sqref="P9:P23" xr:uid="{6EBF3A6F-C676-43AF-9464-2C7CAE64F5E1}">
      <formula1>INDIRECT(SUBSTITUTE(DS9," ","_"))</formula1>
    </dataValidation>
    <dataValidation type="list" allowBlank="1" showInputMessage="1" showErrorMessage="1" errorTitle="Invalid Entry" error="Invalid Entry" sqref="Q9:Q23" xr:uid="{E7CE0B41-090B-49BE-89C2-FA09C6D9A84C}">
      <formula1>INDIRECT(SUBSTITUTE(DS9," ","_"))</formula1>
    </dataValidation>
    <dataValidation type="list" allowBlank="1" showInputMessage="1" showErrorMessage="1" errorTitle="Invalid Entry" error="Invalid Entry" sqref="R9:R23" xr:uid="{FD217BD5-1111-485B-B920-5219A09E26AC}">
      <formula1>INDIRECT(SUBSTITUTE(DX9," ","_"))</formula1>
    </dataValidation>
    <dataValidation type="list" allowBlank="1" showInputMessage="1" showErrorMessage="1" errorTitle="Invalid Entry" error="Invalid Entry" sqref="S9:S23" xr:uid="{6D6F650D-A804-44D4-BFB4-AC89DCA7AD73}">
      <formula1>INDIRECT(SUBSTITUTE(DW9," ","_"))</formula1>
    </dataValidation>
    <dataValidation type="list" allowBlank="1" showInputMessage="1" showErrorMessage="1" errorTitle="Invalid Entry" error="Invalid Entry" sqref="B27:C41" xr:uid="{8532BA16-D9BF-40C8-A8CC-7238BFEF2FF0}">
      <formula1>INDIRECT(SUBSTITUTE(AT27," ","_"))</formula1>
    </dataValidation>
    <dataValidation type="whole" allowBlank="1" showInputMessage="1" errorTitle="Invalid Entry" error="Invalid Entry" sqref="G27:G41" xr:uid="{16910F1C-54AE-4587-927D-80573BCF52EA}">
      <formula1>1</formula1>
      <formula2>100</formula2>
    </dataValidation>
    <dataValidation type="list" allowBlank="1" showInputMessage="1" showErrorMessage="1" errorTitle="Invalid Entry" error="Invalid Entry" sqref="N41:P41" xr:uid="{FF35FCC6-E5C8-4F52-974C-47833C6C7A31}">
      <formula1>"AluminiumSpecialComments"</formula1>
    </dataValidation>
    <dataValidation type="list" allowBlank="1" showInputMessage="1" showErrorMessage="1" errorTitle="Invalid Entry" error="Invalid Entry" sqref="N27:P40 L27:L41" xr:uid="{EBA8557B-1FCA-4AB5-937E-AE3E63C596FF}">
      <formula1>AluminiumSpecialComments</formula1>
    </dataValidation>
    <dataValidation type="list" allowBlank="1" showInputMessage="1" showErrorMessage="1" errorTitle="Invalid Entry" error="Invalid Entry" sqref="I27:I41" xr:uid="{B4034024-2AA6-4269-A3DF-12246356A6ED}">
      <formula1>AluminiumExtras</formula1>
    </dataValidation>
    <dataValidation type="list" allowBlank="1" showInputMessage="1" showErrorMessage="1" errorTitle="Invalid Entry" error="Invalid Entry" sqref="Y9:Y23" xr:uid="{F2D59334-43BE-4372-9582-392CA6555211}">
      <formula1>INDIRECT(SUBSTITUTE(AL9," ","_"))</formula1>
    </dataValidation>
    <dataValidation type="list" allowBlank="1" showInputMessage="1" showErrorMessage="1" errorTitle="Invalid Entry" error="Invalid Entry" sqref="Z9:Z23" xr:uid="{53557552-37EB-4AB8-9885-C11223317CE1}">
      <formula1>INDIRECT(SUBSTITUTE(AK9," ","_"))</formula1>
    </dataValidation>
    <dataValidation type="list" allowBlank="1" showInputMessage="1" showErrorMessage="1" errorTitle="Invalid Entry" error="Invalid Entry" sqref="I9:I23" xr:uid="{74A0AFF3-2320-4C25-9111-E5E3110460E8}">
      <formula1>INDIRECT(SUBSTITUTE(DZ9," ","_"))</formula1>
    </dataValidation>
    <dataValidation allowBlank="1" showInputMessage="1" errorTitle="Invalid Entry" error="Invalid Entry" sqref="H27:H41" xr:uid="{0B07E60A-7AC6-416C-A914-16FF13791206}"/>
    <dataValidation type="list" allowBlank="1" showInputMessage="1" showErrorMessage="1" errorTitle="Invalid Entry" error="Invalid Entry" sqref="J27:J41" xr:uid="{AFEC25CB-6CEF-47A3-8DAF-97DB7BF8F291}">
      <formula1>INDIRECT(SUBSTITUTE(BG27," ","_"))</formula1>
    </dataValidation>
    <dataValidation type="list" allowBlank="1" showInputMessage="1" showErrorMessage="1" errorTitle="Invalid Entry" error="Invalid Entry" sqref="X9:X23" xr:uid="{072FBF2B-0E14-4607-BFEE-BD5907E5732F}">
      <formula1>INDIRECT(SUBSTITUTE(EP9," ","_"))</formula1>
    </dataValidation>
    <dataValidation type="list" allowBlank="1" showInputMessage="1" showErrorMessage="1" errorTitle="Invalid Entry" error="Invalid Entry" sqref="E27:E41" xr:uid="{F57B6005-16D6-4A14-A726-C6DB2B1E5038}">
      <formula1>INDIRECT(SUBSTITUTE(AP27," ","_"))</formula1>
    </dataValidation>
    <dataValidation type="list" allowBlank="1" showInputMessage="1" showErrorMessage="1" errorTitle="Invalid Entry" error="Invalid Entry" sqref="D27:D41" xr:uid="{4B4DE34F-B4A9-4B17-A365-0EF56D9CA85E}">
      <formula1>INDIRECT(SUBSTITUTE(AX27," ","_"))</formula1>
    </dataValidation>
    <dataValidation type="list" allowBlank="1" showInputMessage="1" showErrorMessage="1" errorTitle="Invalid Entry" error="Invalid Entry" sqref="K9:K23" xr:uid="{69813860-F79C-46D8-B3DD-A060854F7FB4}">
      <formula1>INDIRECT(SUBSTITUTE(ES9," ","_"))</formula1>
    </dataValidation>
    <dataValidation type="list" allowBlank="1" showInputMessage="1" showErrorMessage="1" errorTitle="Invalid Entry" error="Invalid Entry" sqref="H9:H23" xr:uid="{E6E7A4FF-C6FA-4141-B107-708F7CFB658E}">
      <formula1>INDIRECT(SUBSTITUTE(FC9," ","_"))</formula1>
    </dataValidation>
    <dataValidation type="list" allowBlank="1" showInputMessage="1" showErrorMessage="1" errorTitle="Invalid Entry" error="Invalid Entry" sqref="F27:F41" xr:uid="{BFA0AAF0-B1A6-4ADB-A9B3-D83E5985FB87}">
      <formula1>INDIRECT(SUBSTITUTE(AO27," ","_"))</formula1>
    </dataValidation>
  </dataValidations>
  <printOptions horizontalCentered="1"/>
  <pageMargins left="0.19685039370078741" right="0.19685039370078741" top="0.19685039370078741" bottom="0.19685039370078741" header="0" footer="0"/>
  <pageSetup paperSize="9" scale="2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pageSetUpPr fitToPage="1"/>
  </sheetPr>
  <dimension ref="A1:AM46"/>
  <sheetViews>
    <sheetView showGridLines="0" view="pageBreakPreview" zoomScale="80" zoomScaleNormal="80" zoomScaleSheetLayoutView="80" zoomScalePageLayoutView="70" workbookViewId="0">
      <selection activeCell="B10" sqref="B10"/>
    </sheetView>
  </sheetViews>
  <sheetFormatPr defaultRowHeight="15" x14ac:dyDescent="0.2"/>
  <cols>
    <col min="1" max="1" width="5.88671875" style="7" customWidth="1"/>
    <col min="2" max="2" width="14.33203125" style="7" customWidth="1"/>
    <col min="3" max="4" width="14.44140625" style="7" customWidth="1"/>
    <col min="5" max="6" width="16.109375" style="7" customWidth="1"/>
    <col min="7" max="8" width="14.44140625" style="7" customWidth="1"/>
    <col min="9" max="9" width="24.6640625" style="7" customWidth="1"/>
    <col min="10" max="10" width="20.21875" style="7" customWidth="1"/>
    <col min="11" max="12" width="17.77734375" style="7" customWidth="1"/>
    <col min="13" max="13" width="18.21875" style="7" customWidth="1"/>
    <col min="14" max="16" width="16.109375" style="7" customWidth="1"/>
    <col min="17" max="17" width="11.6640625" style="7" customWidth="1"/>
    <col min="18" max="21" width="8.88671875" style="7" customWidth="1"/>
    <col min="22" max="26" width="8.88671875" style="7"/>
    <col min="27" max="37" width="0" style="7" hidden="1" customWidth="1"/>
    <col min="38" max="38" width="35.88671875" style="19" hidden="1" customWidth="1"/>
    <col min="39" max="52" width="0" style="7" hidden="1" customWidth="1"/>
    <col min="53" max="16384" width="8.88671875" style="7"/>
  </cols>
  <sheetData>
    <row r="1" spans="1:19" ht="27" customHeight="1" x14ac:dyDescent="0.2">
      <c r="A1" s="155"/>
      <c r="B1" s="156"/>
      <c r="C1" s="156"/>
      <c r="D1" s="157"/>
      <c r="E1" s="157"/>
      <c r="F1" s="157"/>
      <c r="G1" s="171"/>
      <c r="I1" s="126" t="s">
        <v>10</v>
      </c>
      <c r="J1" s="408">
        <f>Summary!D3</f>
        <v>0</v>
      </c>
      <c r="K1" s="408"/>
      <c r="L1" s="408"/>
      <c r="M1" s="408"/>
      <c r="N1" s="408"/>
      <c r="O1" s="408"/>
      <c r="P1" s="170" t="s">
        <v>309</v>
      </c>
      <c r="Q1" s="144" t="s">
        <v>21</v>
      </c>
    </row>
    <row r="2" spans="1:19" ht="22.5" customHeight="1" x14ac:dyDescent="0.2">
      <c r="A2" s="159"/>
      <c r="B2" s="4"/>
      <c r="C2" s="4"/>
      <c r="D2" s="9"/>
      <c r="E2" s="406" t="s">
        <v>159</v>
      </c>
      <c r="F2" s="406"/>
      <c r="G2" s="407"/>
      <c r="I2" s="173" t="s">
        <v>5</v>
      </c>
      <c r="J2" s="432">
        <f>Summary!D6</f>
        <v>0</v>
      </c>
      <c r="K2" s="432"/>
      <c r="L2" s="432"/>
      <c r="M2" s="432"/>
      <c r="N2" s="432"/>
      <c r="O2" s="432"/>
      <c r="P2" s="10"/>
    </row>
    <row r="3" spans="1:19" ht="22.5" customHeight="1" x14ac:dyDescent="0.2">
      <c r="A3" s="160"/>
      <c r="B3" s="5"/>
      <c r="C3" s="6"/>
      <c r="D3" s="9"/>
      <c r="E3" s="9"/>
      <c r="F3" s="9"/>
      <c r="G3" s="172"/>
      <c r="I3" s="126" t="s">
        <v>12</v>
      </c>
      <c r="J3" s="433">
        <f>Summary!D4</f>
        <v>0</v>
      </c>
      <c r="K3" s="433"/>
      <c r="L3" s="433"/>
      <c r="M3" s="433"/>
      <c r="N3" s="433"/>
      <c r="O3" s="433"/>
      <c r="P3" s="179" t="s">
        <v>11</v>
      </c>
      <c r="Q3" s="169">
        <f>SUM(Q10:Q20)</f>
        <v>0</v>
      </c>
      <c r="S3" s="195"/>
    </row>
    <row r="4" spans="1:19" ht="22.5" customHeight="1" x14ac:dyDescent="0.2">
      <c r="A4" s="443" t="s">
        <v>149</v>
      </c>
      <c r="B4" s="444"/>
      <c r="C4" s="445"/>
      <c r="D4" s="446"/>
      <c r="E4" s="126" t="s">
        <v>150</v>
      </c>
      <c r="F4" s="415"/>
      <c r="G4" s="415"/>
      <c r="I4" s="173" t="s">
        <v>154</v>
      </c>
      <c r="J4" s="475">
        <f>Summary!D7</f>
        <v>0</v>
      </c>
      <c r="K4" s="476"/>
      <c r="L4" s="476"/>
      <c r="M4" s="476"/>
      <c r="N4" s="476"/>
      <c r="O4" s="477"/>
      <c r="P4" s="180" t="s">
        <v>153</v>
      </c>
      <c r="Q4" s="184">
        <f>SUM(G10:G20)</f>
        <v>0</v>
      </c>
      <c r="S4" s="196"/>
    </row>
    <row r="5" spans="1:19" ht="22.5" customHeight="1" x14ac:dyDescent="0.2">
      <c r="A5" s="174" t="s">
        <v>160</v>
      </c>
      <c r="B5" s="150"/>
      <c r="C5" s="150"/>
      <c r="D5" s="9"/>
      <c r="E5" s="9"/>
      <c r="F5" s="9"/>
      <c r="G5" s="172"/>
      <c r="I5" s="173" t="s">
        <v>6</v>
      </c>
      <c r="J5" s="434">
        <f>Summary!D8</f>
        <v>0</v>
      </c>
      <c r="K5" s="434"/>
      <c r="L5" s="434"/>
      <c r="M5" s="434"/>
      <c r="N5" s="434"/>
      <c r="O5" s="434"/>
      <c r="P5" s="10"/>
    </row>
    <row r="6" spans="1:19" x14ac:dyDescent="0.2">
      <c r="A6" s="420" t="s">
        <v>313</v>
      </c>
      <c r="B6" s="421"/>
      <c r="C6" s="421"/>
      <c r="D6" s="421"/>
      <c r="E6" s="421"/>
      <c r="F6" s="421"/>
      <c r="G6" s="422"/>
    </row>
    <row r="7" spans="1:19" x14ac:dyDescent="0.2">
      <c r="A7" s="175"/>
      <c r="B7" s="423"/>
      <c r="C7" s="416" t="s">
        <v>276</v>
      </c>
      <c r="D7" s="417"/>
      <c r="E7" s="181"/>
      <c r="F7" s="182"/>
      <c r="G7" s="437" t="s">
        <v>156</v>
      </c>
      <c r="H7" s="437"/>
      <c r="I7" s="437"/>
      <c r="J7" s="437"/>
      <c r="K7" s="438"/>
    </row>
    <row r="8" spans="1:19" ht="15.75" thickBot="1" x14ac:dyDescent="0.25">
      <c r="A8" s="176"/>
      <c r="B8" s="424"/>
      <c r="C8" s="418"/>
      <c r="D8" s="419"/>
      <c r="E8" s="431" t="s">
        <v>136</v>
      </c>
      <c r="F8" s="431"/>
      <c r="G8" s="439"/>
      <c r="H8" s="439"/>
      <c r="I8" s="439"/>
      <c r="J8" s="439"/>
      <c r="K8" s="440"/>
      <c r="L8" s="149"/>
      <c r="M8" s="478" t="s">
        <v>135</v>
      </c>
      <c r="N8" s="479"/>
      <c r="O8" s="479"/>
      <c r="P8" s="480"/>
      <c r="Q8" s="102"/>
    </row>
    <row r="9" spans="1:19" ht="90" customHeight="1" thickBot="1" x14ac:dyDescent="0.25">
      <c r="A9" s="11" t="s">
        <v>3</v>
      </c>
      <c r="B9" s="120" t="s">
        <v>125</v>
      </c>
      <c r="C9" s="119" t="s">
        <v>134</v>
      </c>
      <c r="D9" s="119" t="s">
        <v>133</v>
      </c>
      <c r="E9" s="138" t="s">
        <v>132</v>
      </c>
      <c r="F9" s="138" t="s">
        <v>296</v>
      </c>
      <c r="G9" s="119" t="s">
        <v>131</v>
      </c>
      <c r="H9" s="119" t="s">
        <v>1</v>
      </c>
      <c r="I9" s="120" t="s">
        <v>314</v>
      </c>
      <c r="J9" s="141" t="s">
        <v>7</v>
      </c>
      <c r="K9" s="119" t="s">
        <v>130</v>
      </c>
      <c r="L9" s="12" t="s">
        <v>315</v>
      </c>
      <c r="M9" s="139" t="s">
        <v>129</v>
      </c>
      <c r="N9" s="139" t="s">
        <v>128</v>
      </c>
      <c r="O9" s="139" t="s">
        <v>127</v>
      </c>
      <c r="P9" s="140" t="s">
        <v>126</v>
      </c>
      <c r="Q9" s="145" t="s">
        <v>0</v>
      </c>
      <c r="R9" s="197"/>
      <c r="S9" s="197"/>
    </row>
    <row r="10" spans="1:19" ht="26.25" customHeight="1" thickTop="1" x14ac:dyDescent="0.2">
      <c r="A10" s="13">
        <v>1</v>
      </c>
      <c r="B10" s="32"/>
      <c r="C10" s="3"/>
      <c r="D10" s="101"/>
      <c r="E10" s="100" t="e">
        <f>'Calculation Sheet'!B4</f>
        <v>#N/A</v>
      </c>
      <c r="F10" s="99" t="e">
        <f>'Calculation Sheet'!B11</f>
        <v>#N/A</v>
      </c>
      <c r="G10" s="98"/>
      <c r="H10" s="1"/>
      <c r="I10" s="32"/>
      <c r="J10" s="32"/>
      <c r="K10" s="92"/>
      <c r="L10" s="92"/>
      <c r="M10" s="97"/>
      <c r="N10" s="96"/>
      <c r="O10" s="2"/>
      <c r="P10" s="107"/>
      <c r="Q10" s="142" t="str">
        <f t="shared" ref="Q10:Q20" si="0">IF(SUM(D10)=0,"",IF(G10&gt;0,SUM(((C10*D10)/1000000)*G10),SUM(((C10*D10)/1000000))))</f>
        <v/>
      </c>
      <c r="R10" s="19"/>
      <c r="S10" s="198"/>
    </row>
    <row r="11" spans="1:19" ht="26.25" customHeight="1" x14ac:dyDescent="0.2">
      <c r="A11" s="14">
        <v>2</v>
      </c>
      <c r="B11" s="29"/>
      <c r="C11" s="3"/>
      <c r="D11" s="28"/>
      <c r="E11" s="95" t="e">
        <f>'Calculation Sheet'!C4</f>
        <v>#N/A</v>
      </c>
      <c r="F11" s="94" t="e">
        <f>'Calculation Sheet'!C11</f>
        <v>#N/A</v>
      </c>
      <c r="G11" s="93"/>
      <c r="H11" s="1"/>
      <c r="I11" s="29"/>
      <c r="J11" s="29"/>
      <c r="K11" s="92"/>
      <c r="L11" s="92"/>
      <c r="M11" s="90"/>
      <c r="N11" s="90"/>
      <c r="O11" s="2"/>
      <c r="P11" s="107"/>
      <c r="Q11" s="142" t="str">
        <f t="shared" si="0"/>
        <v/>
      </c>
      <c r="R11" s="19"/>
      <c r="S11" s="198"/>
    </row>
    <row r="12" spans="1:19" ht="26.25" customHeight="1" x14ac:dyDescent="0.2">
      <c r="A12" s="14">
        <v>3</v>
      </c>
      <c r="B12" s="29"/>
      <c r="C12" s="3"/>
      <c r="D12" s="28"/>
      <c r="E12" s="95" t="e">
        <f>'Calculation Sheet'!D4</f>
        <v>#N/A</v>
      </c>
      <c r="F12" s="94" t="e">
        <f>'Calculation Sheet'!D11</f>
        <v>#N/A</v>
      </c>
      <c r="G12" s="93"/>
      <c r="H12" s="1"/>
      <c r="I12" s="29"/>
      <c r="J12" s="29"/>
      <c r="K12" s="92"/>
      <c r="L12" s="92"/>
      <c r="M12" s="90"/>
      <c r="N12" s="90"/>
      <c r="O12" s="2"/>
      <c r="P12" s="107"/>
      <c r="Q12" s="142" t="str">
        <f t="shared" si="0"/>
        <v/>
      </c>
      <c r="R12" s="19"/>
      <c r="S12" s="198"/>
    </row>
    <row r="13" spans="1:19" ht="26.25" customHeight="1" x14ac:dyDescent="0.2">
      <c r="A13" s="14">
        <v>4</v>
      </c>
      <c r="B13" s="29"/>
      <c r="C13" s="3"/>
      <c r="D13" s="28"/>
      <c r="E13" s="95" t="e">
        <f>'Calculation Sheet'!E4</f>
        <v>#N/A</v>
      </c>
      <c r="F13" s="94" t="e">
        <f>'Calculation Sheet'!E11</f>
        <v>#N/A</v>
      </c>
      <c r="G13" s="93"/>
      <c r="H13" s="1"/>
      <c r="I13" s="29"/>
      <c r="J13" s="29"/>
      <c r="K13" s="92"/>
      <c r="L13" s="92"/>
      <c r="M13" s="91"/>
      <c r="N13" s="90"/>
      <c r="O13" s="2"/>
      <c r="P13" s="107"/>
      <c r="Q13" s="142" t="str">
        <f t="shared" si="0"/>
        <v/>
      </c>
      <c r="R13" s="19"/>
      <c r="S13" s="198"/>
    </row>
    <row r="14" spans="1:19" ht="26.25" customHeight="1" x14ac:dyDescent="0.2">
      <c r="A14" s="14">
        <v>5</v>
      </c>
      <c r="B14" s="29"/>
      <c r="C14" s="3"/>
      <c r="D14" s="28"/>
      <c r="E14" s="95" t="e">
        <f>'Calculation Sheet'!F4</f>
        <v>#N/A</v>
      </c>
      <c r="F14" s="94" t="e">
        <f>'Calculation Sheet'!F11</f>
        <v>#N/A</v>
      </c>
      <c r="G14" s="93"/>
      <c r="H14" s="1"/>
      <c r="I14" s="29"/>
      <c r="J14" s="29"/>
      <c r="K14" s="92"/>
      <c r="L14" s="92"/>
      <c r="M14" s="91"/>
      <c r="N14" s="90"/>
      <c r="O14" s="2"/>
      <c r="P14" s="107"/>
      <c r="Q14" s="142" t="str">
        <f t="shared" si="0"/>
        <v/>
      </c>
      <c r="R14" s="19"/>
      <c r="S14" s="198"/>
    </row>
    <row r="15" spans="1:19" ht="26.25" customHeight="1" x14ac:dyDescent="0.2">
      <c r="A15" s="14">
        <v>6</v>
      </c>
      <c r="B15" s="29"/>
      <c r="C15" s="3"/>
      <c r="D15" s="28"/>
      <c r="E15" s="95" t="e">
        <f>'Calculation Sheet'!G4</f>
        <v>#N/A</v>
      </c>
      <c r="F15" s="94" t="e">
        <f>'Calculation Sheet'!G11</f>
        <v>#N/A</v>
      </c>
      <c r="G15" s="93"/>
      <c r="H15" s="1"/>
      <c r="I15" s="29"/>
      <c r="J15" s="29"/>
      <c r="K15" s="92"/>
      <c r="L15" s="92"/>
      <c r="M15" s="91"/>
      <c r="N15" s="90"/>
      <c r="O15" s="2"/>
      <c r="P15" s="107"/>
      <c r="Q15" s="142" t="str">
        <f t="shared" si="0"/>
        <v/>
      </c>
      <c r="R15" s="19"/>
      <c r="S15" s="198"/>
    </row>
    <row r="16" spans="1:19" ht="26.25" customHeight="1" x14ac:dyDescent="0.2">
      <c r="A16" s="14">
        <v>7</v>
      </c>
      <c r="B16" s="29"/>
      <c r="C16" s="3"/>
      <c r="D16" s="28"/>
      <c r="E16" s="95" t="e">
        <f>'Calculation Sheet'!H4</f>
        <v>#N/A</v>
      </c>
      <c r="F16" s="94" t="e">
        <f>'Calculation Sheet'!H11</f>
        <v>#N/A</v>
      </c>
      <c r="G16" s="93"/>
      <c r="H16" s="1"/>
      <c r="I16" s="29"/>
      <c r="J16" s="29"/>
      <c r="K16" s="92"/>
      <c r="L16" s="92"/>
      <c r="M16" s="91"/>
      <c r="N16" s="90"/>
      <c r="O16" s="2"/>
      <c r="P16" s="107"/>
      <c r="Q16" s="142" t="str">
        <f t="shared" si="0"/>
        <v/>
      </c>
      <c r="R16" s="19"/>
      <c r="S16" s="198"/>
    </row>
    <row r="17" spans="1:39" ht="26.25" customHeight="1" x14ac:dyDescent="0.2">
      <c r="A17" s="14">
        <v>8</v>
      </c>
      <c r="B17" s="29"/>
      <c r="C17" s="3"/>
      <c r="D17" s="28"/>
      <c r="E17" s="95" t="e">
        <f>'Calculation Sheet'!I4</f>
        <v>#N/A</v>
      </c>
      <c r="F17" s="94" t="e">
        <f>'Calculation Sheet'!I11</f>
        <v>#N/A</v>
      </c>
      <c r="G17" s="93"/>
      <c r="H17" s="1"/>
      <c r="I17" s="29"/>
      <c r="J17" s="29"/>
      <c r="K17" s="92"/>
      <c r="L17" s="92"/>
      <c r="M17" s="91"/>
      <c r="N17" s="90"/>
      <c r="O17" s="2"/>
      <c r="P17" s="107"/>
      <c r="Q17" s="142" t="str">
        <f t="shared" si="0"/>
        <v/>
      </c>
      <c r="R17" s="19"/>
      <c r="S17" s="198"/>
    </row>
    <row r="18" spans="1:39" ht="26.25" customHeight="1" x14ac:dyDescent="0.2">
      <c r="A18" s="16">
        <v>9</v>
      </c>
      <c r="B18" s="29"/>
      <c r="C18" s="3"/>
      <c r="D18" s="28"/>
      <c r="E18" s="95" t="e">
        <f>'Calculation Sheet'!J4</f>
        <v>#N/A</v>
      </c>
      <c r="F18" s="94" t="e">
        <f>'Calculation Sheet'!J11</f>
        <v>#N/A</v>
      </c>
      <c r="G18" s="93"/>
      <c r="H18" s="1"/>
      <c r="I18" s="29"/>
      <c r="J18" s="29"/>
      <c r="K18" s="92"/>
      <c r="L18" s="92"/>
      <c r="M18" s="91"/>
      <c r="N18" s="90"/>
      <c r="O18" s="2"/>
      <c r="P18" s="107"/>
      <c r="Q18" s="142" t="str">
        <f t="shared" si="0"/>
        <v/>
      </c>
      <c r="R18" s="19"/>
      <c r="S18" s="198"/>
    </row>
    <row r="19" spans="1:39" ht="26.25" customHeight="1" x14ac:dyDescent="0.2">
      <c r="A19" s="16">
        <v>10</v>
      </c>
      <c r="B19" s="29"/>
      <c r="C19" s="3"/>
      <c r="D19" s="28"/>
      <c r="E19" s="95" t="e">
        <f>'Calculation Sheet'!K4</f>
        <v>#N/A</v>
      </c>
      <c r="F19" s="94" t="e">
        <f>'Calculation Sheet'!K11</f>
        <v>#N/A</v>
      </c>
      <c r="G19" s="93"/>
      <c r="H19" s="1"/>
      <c r="I19" s="29"/>
      <c r="J19" s="29"/>
      <c r="K19" s="92"/>
      <c r="L19" s="92"/>
      <c r="M19" s="91"/>
      <c r="N19" s="90"/>
      <c r="O19" s="2"/>
      <c r="P19" s="107"/>
      <c r="Q19" s="142" t="str">
        <f t="shared" si="0"/>
        <v/>
      </c>
      <c r="R19" s="19"/>
      <c r="S19" s="198"/>
    </row>
    <row r="20" spans="1:39" ht="26.25" customHeight="1" thickBot="1" x14ac:dyDescent="0.25">
      <c r="A20" s="17">
        <v>11</v>
      </c>
      <c r="B20" s="31"/>
      <c r="C20" s="3"/>
      <c r="D20" s="27"/>
      <c r="E20" s="89" t="e">
        <f>'Calculation Sheet'!L4</f>
        <v>#N/A</v>
      </c>
      <c r="F20" s="88" t="e">
        <f>'Calculation Sheet'!L11</f>
        <v>#N/A</v>
      </c>
      <c r="G20" s="87"/>
      <c r="H20" s="1"/>
      <c r="I20" s="31"/>
      <c r="J20" s="31"/>
      <c r="K20" s="86"/>
      <c r="L20" s="86"/>
      <c r="M20" s="85"/>
      <c r="N20" s="84"/>
      <c r="O20" s="2"/>
      <c r="P20" s="107"/>
      <c r="Q20" s="143" t="str">
        <f t="shared" si="0"/>
        <v/>
      </c>
      <c r="R20" s="19"/>
      <c r="S20" s="198"/>
    </row>
    <row r="21" spans="1:39" ht="32.25" customHeight="1" thickBot="1" x14ac:dyDescent="0.4">
      <c r="A21" s="466" t="s">
        <v>290</v>
      </c>
      <c r="B21" s="467"/>
      <c r="C21" s="467"/>
      <c r="D21" s="467"/>
      <c r="E21" s="467"/>
      <c r="F21" s="467"/>
      <c r="G21" s="467"/>
      <c r="H21" s="467"/>
      <c r="I21" s="468"/>
      <c r="J21" s="468"/>
      <c r="K21" s="468"/>
      <c r="L21" s="468"/>
      <c r="M21" s="468"/>
      <c r="N21" s="468"/>
      <c r="O21" s="468"/>
      <c r="P21" s="468"/>
      <c r="Q21" s="469"/>
    </row>
    <row r="22" spans="1:39" ht="83.25" customHeight="1" thickBot="1" x14ac:dyDescent="0.25">
      <c r="A22" s="148" t="s">
        <v>3</v>
      </c>
      <c r="B22" s="127" t="s">
        <v>125</v>
      </c>
      <c r="C22" s="428" t="s">
        <v>61</v>
      </c>
      <c r="D22" s="429"/>
      <c r="E22" s="429"/>
      <c r="F22" s="430"/>
      <c r="G22" s="83" t="s">
        <v>62</v>
      </c>
      <c r="H22" s="83" t="s">
        <v>124</v>
      </c>
      <c r="I22" s="82" t="s">
        <v>7</v>
      </c>
      <c r="J22" s="481" t="s">
        <v>123</v>
      </c>
      <c r="K22" s="482"/>
      <c r="L22" s="482"/>
      <c r="M22" s="482"/>
      <c r="N22" s="482"/>
      <c r="O22" s="482"/>
      <c r="P22" s="482"/>
      <c r="Q22" s="483"/>
      <c r="R22" s="488"/>
      <c r="S22" s="487"/>
      <c r="T22" s="488"/>
      <c r="U22" s="487"/>
      <c r="V22" s="487"/>
      <c r="W22" s="487"/>
      <c r="X22" s="488"/>
      <c r="Y22" s="487"/>
      <c r="Z22" s="487"/>
      <c r="AA22" s="488"/>
      <c r="AB22" s="487"/>
      <c r="AC22" s="487"/>
      <c r="AD22" s="487"/>
      <c r="AE22" s="487"/>
      <c r="AF22" s="487"/>
      <c r="AG22" s="487"/>
      <c r="AH22" s="487"/>
      <c r="AI22" s="487"/>
      <c r="AJ22" s="487"/>
      <c r="AL22" s="19" t="s">
        <v>308</v>
      </c>
    </row>
    <row r="23" spans="1:39" ht="23.1" customHeight="1" thickTop="1" x14ac:dyDescent="0.2">
      <c r="A23" s="81"/>
      <c r="B23" s="80"/>
      <c r="C23" s="409"/>
      <c r="D23" s="410"/>
      <c r="E23" s="410"/>
      <c r="F23" s="411"/>
      <c r="G23" s="3"/>
      <c r="H23" s="3"/>
      <c r="I23" s="147"/>
      <c r="J23" s="447"/>
      <c r="K23" s="448"/>
      <c r="L23" s="448"/>
      <c r="M23" s="448"/>
      <c r="N23" s="448"/>
      <c r="O23" s="448"/>
      <c r="P23" s="448"/>
      <c r="Q23" s="449"/>
      <c r="R23" s="436"/>
      <c r="S23" s="436"/>
      <c r="T23" s="436"/>
      <c r="U23" s="436"/>
      <c r="V23" s="436"/>
      <c r="W23" s="436"/>
      <c r="X23" s="435"/>
      <c r="Y23" s="435"/>
      <c r="Z23" s="435"/>
      <c r="AA23" s="435"/>
      <c r="AB23" s="435"/>
      <c r="AC23" s="435"/>
      <c r="AD23" s="435"/>
      <c r="AE23" s="435"/>
      <c r="AF23" s="435"/>
      <c r="AG23" s="435"/>
      <c r="AH23" s="435"/>
      <c r="AI23" s="435"/>
      <c r="AJ23" s="435"/>
      <c r="AK23" s="8"/>
      <c r="AL23" s="19" t="b">
        <f>IF(C23='Privacy Screen Data'!$I$1,'Privacy Screen Data'!$J$1, IF(C23='Privacy Screen Data'!$I$2,'Privacy Screen Data'!$K$1, IF(C23='Privacy Screen Data'!$I$3,'Privacy Screen Data'!$L$1, IF(C23='Privacy Screen Data'!$I$4,'Privacy Screen Data'!$M$1, IF(C23='Privacy Screen Data'!$I$5,'Privacy Screen Data'!$N$1, IF(C23='Privacy Screen Data'!$I$6,'Privacy Screen Data'!$O$1, IF(C23='Privacy Screen Data'!$I$7,'Privacy Screen Data'!$P$1, IF(C23='Privacy Screen Data'!$I$8,'Privacy Screen Data'!$Q$1))))))))</f>
        <v>0</v>
      </c>
    </row>
    <row r="24" spans="1:39" ht="23.1" customHeight="1" x14ac:dyDescent="0.2">
      <c r="A24" s="79"/>
      <c r="B24" s="30"/>
      <c r="C24" s="425"/>
      <c r="D24" s="426"/>
      <c r="E24" s="426"/>
      <c r="F24" s="427"/>
      <c r="G24" s="15"/>
      <c r="H24" s="15"/>
      <c r="I24" s="147"/>
      <c r="J24" s="412"/>
      <c r="K24" s="413"/>
      <c r="L24" s="413"/>
      <c r="M24" s="413"/>
      <c r="N24" s="413"/>
      <c r="O24" s="413"/>
      <c r="P24" s="413"/>
      <c r="Q24" s="414"/>
      <c r="R24" s="436"/>
      <c r="S24" s="436"/>
      <c r="T24" s="436"/>
      <c r="U24" s="436"/>
      <c r="V24" s="436"/>
      <c r="W24" s="436"/>
      <c r="X24" s="435"/>
      <c r="Y24" s="435"/>
      <c r="Z24" s="435"/>
      <c r="AA24" s="435"/>
      <c r="AB24" s="435"/>
      <c r="AC24" s="435"/>
      <c r="AD24" s="435"/>
      <c r="AE24" s="435"/>
      <c r="AF24" s="435"/>
      <c r="AG24" s="435"/>
      <c r="AH24" s="435"/>
      <c r="AI24" s="435"/>
      <c r="AJ24" s="435"/>
      <c r="AK24" s="8"/>
      <c r="AL24" s="19" t="b">
        <f>IF(C24='Privacy Screen Data'!$I$1,'Privacy Screen Data'!$J$1, IF(C24='Privacy Screen Data'!$I$2,'Privacy Screen Data'!$K$1, IF(C24='Privacy Screen Data'!$I$3,'Privacy Screen Data'!$L$1, IF(C24='Privacy Screen Data'!$I$4,'Privacy Screen Data'!$M$1, IF(C24='Privacy Screen Data'!$I$5,'Privacy Screen Data'!$N$1, IF(C24='Privacy Screen Data'!$I$6,'Privacy Screen Data'!$O$1, IF(C24='Privacy Screen Data'!$I$7,'Privacy Screen Data'!$P$1, IF(C24='Privacy Screen Data'!$I$8,'Privacy Screen Data'!$Q$1))))))))</f>
        <v>0</v>
      </c>
    </row>
    <row r="25" spans="1:39" ht="23.1" customHeight="1" x14ac:dyDescent="0.2">
      <c r="A25" s="79"/>
      <c r="B25" s="78"/>
      <c r="C25" s="425"/>
      <c r="D25" s="426"/>
      <c r="E25" s="426"/>
      <c r="F25" s="427"/>
      <c r="G25" s="18"/>
      <c r="H25" s="15"/>
      <c r="I25" s="147"/>
      <c r="J25" s="412"/>
      <c r="K25" s="413"/>
      <c r="L25" s="413"/>
      <c r="M25" s="413"/>
      <c r="N25" s="413"/>
      <c r="O25" s="413"/>
      <c r="P25" s="413"/>
      <c r="Q25" s="414"/>
      <c r="R25" s="436"/>
      <c r="S25" s="436"/>
      <c r="T25" s="436"/>
      <c r="U25" s="436"/>
      <c r="V25" s="436"/>
      <c r="W25" s="436"/>
      <c r="X25" s="435"/>
      <c r="Y25" s="435"/>
      <c r="Z25" s="435"/>
      <c r="AA25" s="435"/>
      <c r="AB25" s="435"/>
      <c r="AC25" s="435"/>
      <c r="AD25" s="435"/>
      <c r="AE25" s="435"/>
      <c r="AF25" s="435"/>
      <c r="AG25" s="435"/>
      <c r="AH25" s="435"/>
      <c r="AI25" s="435"/>
      <c r="AJ25" s="435"/>
      <c r="AK25" s="8"/>
      <c r="AL25" s="19" t="b">
        <f>IF(C25='Privacy Screen Data'!$I$1,'Privacy Screen Data'!$J$1, IF(C25='Privacy Screen Data'!$I$2,'Privacy Screen Data'!$K$1, IF(C25='Privacy Screen Data'!$I$3,'Privacy Screen Data'!$L$1, IF(C25='Privacy Screen Data'!$I$4,'Privacy Screen Data'!$M$1, IF(C25='Privacy Screen Data'!$I$5,'Privacy Screen Data'!$N$1, IF(C25='Privacy Screen Data'!$I$6,'Privacy Screen Data'!$O$1, IF(C25='Privacy Screen Data'!$I$7,'Privacy Screen Data'!$P$1, IF(C25='Privacy Screen Data'!$I$8,'Privacy Screen Data'!$Q$1))))))))</f>
        <v>0</v>
      </c>
    </row>
    <row r="26" spans="1:39" ht="23.1" customHeight="1" x14ac:dyDescent="0.2">
      <c r="A26" s="79"/>
      <c r="B26" s="78"/>
      <c r="C26" s="425"/>
      <c r="D26" s="426"/>
      <c r="E26" s="426"/>
      <c r="F26" s="427"/>
      <c r="G26" s="18"/>
      <c r="H26" s="15"/>
      <c r="I26" s="147"/>
      <c r="J26" s="412"/>
      <c r="K26" s="413"/>
      <c r="L26" s="413"/>
      <c r="M26" s="413"/>
      <c r="N26" s="413"/>
      <c r="O26" s="413"/>
      <c r="P26" s="413"/>
      <c r="Q26" s="414"/>
      <c r="R26" s="436"/>
      <c r="S26" s="436"/>
      <c r="T26" s="436"/>
      <c r="U26" s="436"/>
      <c r="V26" s="436"/>
      <c r="W26" s="436"/>
      <c r="X26" s="435"/>
      <c r="Y26" s="435"/>
      <c r="Z26" s="435"/>
      <c r="AA26" s="435"/>
      <c r="AB26" s="435"/>
      <c r="AC26" s="435"/>
      <c r="AD26" s="435"/>
      <c r="AE26" s="435"/>
      <c r="AF26" s="435"/>
      <c r="AG26" s="435"/>
      <c r="AH26" s="435"/>
      <c r="AI26" s="435"/>
      <c r="AJ26" s="435"/>
      <c r="AK26" s="8"/>
      <c r="AL26" s="19" t="b">
        <f>IF(C26='Privacy Screen Data'!$I$1,'Privacy Screen Data'!$J$1, IF(C26='Privacy Screen Data'!$I$2,'Privacy Screen Data'!$K$1, IF(C26='Privacy Screen Data'!$I$3,'Privacy Screen Data'!$L$1, IF(C26='Privacy Screen Data'!$I$4,'Privacy Screen Data'!$M$1, IF(C26='Privacy Screen Data'!$I$5,'Privacy Screen Data'!$N$1, IF(C26='Privacy Screen Data'!$I$6,'Privacy Screen Data'!$O$1, IF(C26='Privacy Screen Data'!$I$7,'Privacy Screen Data'!$P$1, IF(C26='Privacy Screen Data'!$I$8,'Privacy Screen Data'!$Q$1))))))))</f>
        <v>0</v>
      </c>
    </row>
    <row r="27" spans="1:39" ht="23.1" customHeight="1" x14ac:dyDescent="0.2">
      <c r="A27" s="79"/>
      <c r="B27" s="78"/>
      <c r="C27" s="425"/>
      <c r="D27" s="426"/>
      <c r="E27" s="426"/>
      <c r="F27" s="427"/>
      <c r="G27" s="18"/>
      <c r="H27" s="15"/>
      <c r="I27" s="147"/>
      <c r="J27" s="412"/>
      <c r="K27" s="413"/>
      <c r="L27" s="413"/>
      <c r="M27" s="413"/>
      <c r="N27" s="413"/>
      <c r="O27" s="413"/>
      <c r="P27" s="413"/>
      <c r="Q27" s="414"/>
      <c r="R27" s="436"/>
      <c r="S27" s="436"/>
      <c r="T27" s="436"/>
      <c r="U27" s="436"/>
      <c r="V27" s="436"/>
      <c r="W27" s="436"/>
      <c r="X27" s="435"/>
      <c r="Y27" s="435"/>
      <c r="Z27" s="435"/>
      <c r="AA27" s="435"/>
      <c r="AB27" s="435"/>
      <c r="AC27" s="435"/>
      <c r="AD27" s="435"/>
      <c r="AE27" s="435"/>
      <c r="AF27" s="435"/>
      <c r="AG27" s="435"/>
      <c r="AH27" s="435"/>
      <c r="AI27" s="435"/>
      <c r="AJ27" s="435"/>
      <c r="AK27" s="8"/>
      <c r="AL27" s="19" t="b">
        <f>IF(C27='Privacy Screen Data'!$I$1,'Privacy Screen Data'!$J$1, IF(C27='Privacy Screen Data'!$I$2,'Privacy Screen Data'!$K$1, IF(C27='Privacy Screen Data'!$I$3,'Privacy Screen Data'!$L$1, IF(C27='Privacy Screen Data'!$I$4,'Privacy Screen Data'!$M$1, IF(C27='Privacy Screen Data'!$I$5,'Privacy Screen Data'!$N$1, IF(C27='Privacy Screen Data'!$I$6,'Privacy Screen Data'!$O$1, IF(C27='Privacy Screen Data'!$I$7,'Privacy Screen Data'!$P$1, IF(C27='Privacy Screen Data'!$I$8,'Privacy Screen Data'!$Q$1))))))))</f>
        <v>0</v>
      </c>
    </row>
    <row r="28" spans="1:39" ht="23.1" customHeight="1" x14ac:dyDescent="0.2">
      <c r="A28" s="79"/>
      <c r="B28" s="78"/>
      <c r="C28" s="425"/>
      <c r="D28" s="426"/>
      <c r="E28" s="426"/>
      <c r="F28" s="427"/>
      <c r="G28" s="18"/>
      <c r="H28" s="15"/>
      <c r="I28" s="147"/>
      <c r="J28" s="412"/>
      <c r="K28" s="413"/>
      <c r="L28" s="413"/>
      <c r="M28" s="413"/>
      <c r="N28" s="413"/>
      <c r="O28" s="413"/>
      <c r="P28" s="413"/>
      <c r="Q28" s="414"/>
      <c r="R28" s="436"/>
      <c r="S28" s="436"/>
      <c r="T28" s="436"/>
      <c r="U28" s="436"/>
      <c r="V28" s="436"/>
      <c r="W28" s="436"/>
      <c r="X28" s="435"/>
      <c r="Y28" s="435"/>
      <c r="Z28" s="435"/>
      <c r="AA28" s="435"/>
      <c r="AB28" s="435"/>
      <c r="AC28" s="435"/>
      <c r="AD28" s="435"/>
      <c r="AE28" s="435"/>
      <c r="AF28" s="435"/>
      <c r="AG28" s="435"/>
      <c r="AH28" s="435"/>
      <c r="AI28" s="435"/>
      <c r="AJ28" s="435"/>
      <c r="AK28" s="8"/>
      <c r="AL28" s="19" t="b">
        <f>IF(C28='Privacy Screen Data'!$I$1,'Privacy Screen Data'!$J$1, IF(C28='Privacy Screen Data'!$I$2,'Privacy Screen Data'!$K$1, IF(C28='Privacy Screen Data'!$I$3,'Privacy Screen Data'!$L$1, IF(C28='Privacy Screen Data'!$I$4,'Privacy Screen Data'!$M$1, IF(C28='Privacy Screen Data'!$I$5,'Privacy Screen Data'!$N$1, IF(C28='Privacy Screen Data'!$I$6,'Privacy Screen Data'!$O$1, IF(C28='Privacy Screen Data'!$I$7,'Privacy Screen Data'!$P$1, IF(C28='Privacy Screen Data'!$I$8,'Privacy Screen Data'!$Q$1))))))))</f>
        <v>0</v>
      </c>
    </row>
    <row r="29" spans="1:39" ht="23.1" customHeight="1" x14ac:dyDescent="0.2">
      <c r="A29" s="79"/>
      <c r="B29" s="78"/>
      <c r="C29" s="425"/>
      <c r="D29" s="426"/>
      <c r="E29" s="426"/>
      <c r="F29" s="427"/>
      <c r="G29" s="18"/>
      <c r="H29" s="15"/>
      <c r="I29" s="147"/>
      <c r="J29" s="412"/>
      <c r="K29" s="413"/>
      <c r="L29" s="413"/>
      <c r="M29" s="413"/>
      <c r="N29" s="413"/>
      <c r="O29" s="413"/>
      <c r="P29" s="413"/>
      <c r="Q29" s="414"/>
      <c r="R29" s="436"/>
      <c r="S29" s="436"/>
      <c r="T29" s="436"/>
      <c r="U29" s="436"/>
      <c r="V29" s="436"/>
      <c r="W29" s="436"/>
      <c r="X29" s="435"/>
      <c r="Y29" s="435"/>
      <c r="Z29" s="435"/>
      <c r="AA29" s="435"/>
      <c r="AB29" s="435"/>
      <c r="AC29" s="435"/>
      <c r="AD29" s="435"/>
      <c r="AE29" s="435"/>
      <c r="AF29" s="435"/>
      <c r="AG29" s="435"/>
      <c r="AH29" s="435"/>
      <c r="AI29" s="435"/>
      <c r="AJ29" s="435"/>
      <c r="AK29" s="8"/>
      <c r="AL29" s="19" t="b">
        <f>IF(C29='Privacy Screen Data'!$I$1,'Privacy Screen Data'!$J$1, IF(C29='Privacy Screen Data'!$I$2,'Privacy Screen Data'!$K$1, IF(C29='Privacy Screen Data'!$I$3,'Privacy Screen Data'!$L$1, IF(C29='Privacy Screen Data'!$I$4,'Privacy Screen Data'!$M$1, IF(C29='Privacy Screen Data'!$I$5,'Privacy Screen Data'!$N$1, IF(C29='Privacy Screen Data'!$I$6,'Privacy Screen Data'!$O$1, IF(C29='Privacy Screen Data'!$I$7,'Privacy Screen Data'!$P$1, IF(C29='Privacy Screen Data'!$I$8,'Privacy Screen Data'!$Q$1))))))))</f>
        <v>0</v>
      </c>
      <c r="AM29" s="19"/>
    </row>
    <row r="30" spans="1:39" ht="23.1" customHeight="1" x14ac:dyDescent="0.2">
      <c r="A30" s="79"/>
      <c r="B30" s="78"/>
      <c r="C30" s="425"/>
      <c r="D30" s="426"/>
      <c r="E30" s="426"/>
      <c r="F30" s="427"/>
      <c r="G30" s="18"/>
      <c r="H30" s="15"/>
      <c r="I30" s="147"/>
      <c r="J30" s="412"/>
      <c r="K30" s="413"/>
      <c r="L30" s="413"/>
      <c r="M30" s="413"/>
      <c r="N30" s="413"/>
      <c r="O30" s="413"/>
      <c r="P30" s="413"/>
      <c r="Q30" s="414"/>
      <c r="R30" s="436"/>
      <c r="S30" s="436"/>
      <c r="T30" s="436"/>
      <c r="U30" s="436"/>
      <c r="V30" s="436"/>
      <c r="W30" s="436"/>
      <c r="X30" s="435"/>
      <c r="Y30" s="435"/>
      <c r="Z30" s="435"/>
      <c r="AA30" s="435"/>
      <c r="AB30" s="435"/>
      <c r="AC30" s="435"/>
      <c r="AD30" s="435"/>
      <c r="AE30" s="435"/>
      <c r="AF30" s="435"/>
      <c r="AG30" s="435"/>
      <c r="AH30" s="435"/>
      <c r="AI30" s="435"/>
      <c r="AJ30" s="435"/>
      <c r="AK30" s="8"/>
      <c r="AL30" s="19" t="b">
        <f>IF(C30='Privacy Screen Data'!$I$1,'Privacy Screen Data'!$J$1, IF(C30='Privacy Screen Data'!$I$2,'Privacy Screen Data'!$K$1, IF(C30='Privacy Screen Data'!$I$3,'Privacy Screen Data'!$L$1, IF(C30='Privacy Screen Data'!$I$4,'Privacy Screen Data'!$M$1, IF(C30='Privacy Screen Data'!$I$5,'Privacy Screen Data'!$N$1, IF(C30='Privacy Screen Data'!$I$6,'Privacy Screen Data'!$O$1, IF(C30='Privacy Screen Data'!$I$7,'Privacy Screen Data'!$P$1, IF(C30='Privacy Screen Data'!$I$8,'Privacy Screen Data'!$Q$1))))))))</f>
        <v>0</v>
      </c>
    </row>
    <row r="31" spans="1:39" ht="23.1" customHeight="1" x14ac:dyDescent="0.2">
      <c r="A31" s="79"/>
      <c r="B31" s="78"/>
      <c r="C31" s="425"/>
      <c r="D31" s="426"/>
      <c r="E31" s="426"/>
      <c r="F31" s="427"/>
      <c r="G31" s="18"/>
      <c r="H31" s="15"/>
      <c r="I31" s="147"/>
      <c r="J31" s="412"/>
      <c r="K31" s="413"/>
      <c r="L31" s="413"/>
      <c r="M31" s="413"/>
      <c r="N31" s="413"/>
      <c r="O31" s="413"/>
      <c r="P31" s="413"/>
      <c r="Q31" s="414"/>
      <c r="R31" s="436"/>
      <c r="S31" s="436"/>
      <c r="T31" s="436"/>
      <c r="U31" s="436"/>
      <c r="V31" s="436"/>
      <c r="W31" s="436"/>
      <c r="X31" s="435"/>
      <c r="Y31" s="435"/>
      <c r="Z31" s="435"/>
      <c r="AA31" s="435"/>
      <c r="AB31" s="435"/>
      <c r="AC31" s="435"/>
      <c r="AD31" s="435"/>
      <c r="AE31" s="435"/>
      <c r="AF31" s="435"/>
      <c r="AG31" s="435"/>
      <c r="AH31" s="435"/>
      <c r="AI31" s="435"/>
      <c r="AJ31" s="435"/>
      <c r="AK31" s="8"/>
      <c r="AL31" s="19" t="b">
        <f>IF(C31='Privacy Screen Data'!$I$1,'Privacy Screen Data'!$J$1, IF(C31='Privacy Screen Data'!$I$2,'Privacy Screen Data'!$K$1, IF(C31='Privacy Screen Data'!$I$3,'Privacy Screen Data'!$L$1, IF(C31='Privacy Screen Data'!$I$4,'Privacy Screen Data'!$M$1, IF(C31='Privacy Screen Data'!$I$5,'Privacy Screen Data'!$N$1, IF(C31='Privacy Screen Data'!$I$6,'Privacy Screen Data'!$O$1, IF(C31='Privacy Screen Data'!$I$7,'Privacy Screen Data'!$P$1, IF(C31='Privacy Screen Data'!$I$8,'Privacy Screen Data'!$Q$1))))))))</f>
        <v>0</v>
      </c>
    </row>
    <row r="32" spans="1:39" ht="23.1" customHeight="1" x14ac:dyDescent="0.2">
      <c r="A32" s="79"/>
      <c r="B32" s="78"/>
      <c r="C32" s="425"/>
      <c r="D32" s="426"/>
      <c r="E32" s="426"/>
      <c r="F32" s="427"/>
      <c r="G32" s="18"/>
      <c r="H32" s="15"/>
      <c r="I32" s="147"/>
      <c r="J32" s="412"/>
      <c r="K32" s="413"/>
      <c r="L32" s="413"/>
      <c r="M32" s="413"/>
      <c r="N32" s="413"/>
      <c r="O32" s="413"/>
      <c r="P32" s="413"/>
      <c r="Q32" s="414"/>
      <c r="R32" s="436"/>
      <c r="S32" s="436"/>
      <c r="T32" s="436"/>
      <c r="U32" s="436"/>
      <c r="V32" s="436"/>
      <c r="W32" s="436"/>
      <c r="X32" s="435"/>
      <c r="Y32" s="435"/>
      <c r="Z32" s="435"/>
      <c r="AA32" s="435"/>
      <c r="AB32" s="435"/>
      <c r="AC32" s="435"/>
      <c r="AD32" s="435"/>
      <c r="AE32" s="435"/>
      <c r="AF32" s="435"/>
      <c r="AG32" s="435"/>
      <c r="AH32" s="435"/>
      <c r="AI32" s="435"/>
      <c r="AJ32" s="435"/>
      <c r="AK32" s="8"/>
      <c r="AL32" s="19" t="b">
        <f>IF(C32='Privacy Screen Data'!$I$1,'Privacy Screen Data'!$J$1, IF(C32='Privacy Screen Data'!$I$2,'Privacy Screen Data'!$K$1, IF(C32='Privacy Screen Data'!$I$3,'Privacy Screen Data'!$L$1, IF(C32='Privacy Screen Data'!$I$4,'Privacy Screen Data'!$M$1, IF(C32='Privacy Screen Data'!$I$5,'Privacy Screen Data'!$N$1, IF(C32='Privacy Screen Data'!$I$6,'Privacy Screen Data'!$O$1, IF(C32='Privacy Screen Data'!$I$7,'Privacy Screen Data'!$P$1, IF(C32='Privacy Screen Data'!$I$8,'Privacy Screen Data'!$Q$1))))))))</f>
        <v>0</v>
      </c>
    </row>
    <row r="33" spans="1:38" ht="23.1" customHeight="1" thickBot="1" x14ac:dyDescent="0.25">
      <c r="A33" s="77"/>
      <c r="B33" s="76"/>
      <c r="C33" s="473"/>
      <c r="D33" s="464"/>
      <c r="E33" s="464"/>
      <c r="F33" s="474"/>
      <c r="G33" s="22"/>
      <c r="H33" s="21"/>
      <c r="I33" s="147"/>
      <c r="J33" s="470"/>
      <c r="K33" s="471"/>
      <c r="L33" s="471"/>
      <c r="M33" s="471"/>
      <c r="N33" s="471"/>
      <c r="O33" s="471"/>
      <c r="P33" s="471"/>
      <c r="Q33" s="472"/>
      <c r="R33" s="436"/>
      <c r="S33" s="436"/>
      <c r="T33" s="436"/>
      <c r="U33" s="436"/>
      <c r="V33" s="436"/>
      <c r="W33" s="436"/>
      <c r="X33" s="435"/>
      <c r="Y33" s="435"/>
      <c r="Z33" s="435"/>
      <c r="AA33" s="435"/>
      <c r="AB33" s="435"/>
      <c r="AC33" s="435"/>
      <c r="AD33" s="435"/>
      <c r="AE33" s="435"/>
      <c r="AF33" s="435"/>
      <c r="AG33" s="435"/>
      <c r="AH33" s="435"/>
      <c r="AI33" s="435"/>
      <c r="AJ33" s="435"/>
      <c r="AK33" s="8"/>
      <c r="AL33" s="19" t="b">
        <f>IF(C33='Privacy Screen Data'!$I$1,'Privacy Screen Data'!$J$1, IF(C33='Privacy Screen Data'!$I$2,'Privacy Screen Data'!$K$1, IF(C33='Privacy Screen Data'!$I$3,'Privacy Screen Data'!$L$1, IF(C33='Privacy Screen Data'!$I$4,'Privacy Screen Data'!$M$1, IF(C33='Privacy Screen Data'!$I$5,'Privacy Screen Data'!$N$1, IF(C33='Privacy Screen Data'!$I$6,'Privacy Screen Data'!$O$1, IF(C33='Privacy Screen Data'!$I$7,'Privacy Screen Data'!$P$1, IF(C33='Privacy Screen Data'!$I$8,'Privacy Screen Data'!$Q$1))))))))</f>
        <v>0</v>
      </c>
    </row>
    <row r="34" spans="1:38" ht="31.5" customHeight="1" thickBot="1" x14ac:dyDescent="0.25">
      <c r="A34" s="146" t="s">
        <v>316</v>
      </c>
      <c r="B34" s="453" t="s">
        <v>295</v>
      </c>
      <c r="C34" s="454"/>
      <c r="D34" s="454"/>
      <c r="E34" s="454"/>
      <c r="F34" s="454"/>
      <c r="G34" s="454"/>
      <c r="H34" s="454"/>
      <c r="I34" s="454"/>
      <c r="J34" s="454"/>
      <c r="K34" s="454"/>
      <c r="L34" s="454"/>
      <c r="M34" s="450" t="s">
        <v>292</v>
      </c>
      <c r="N34" s="451"/>
      <c r="O34" s="451"/>
      <c r="P34" s="451"/>
      <c r="Q34" s="452"/>
    </row>
    <row r="35" spans="1:38" ht="23.1" customHeight="1" x14ac:dyDescent="0.2">
      <c r="A35" s="23">
        <v>1</v>
      </c>
      <c r="B35" s="484"/>
      <c r="C35" s="485"/>
      <c r="D35" s="485"/>
      <c r="E35" s="485"/>
      <c r="F35" s="485"/>
      <c r="G35" s="485"/>
      <c r="H35" s="485"/>
      <c r="I35" s="485"/>
      <c r="J35" s="485"/>
      <c r="K35" s="485"/>
      <c r="L35" s="486"/>
      <c r="M35" s="455"/>
      <c r="N35" s="456"/>
      <c r="O35" s="456"/>
      <c r="P35" s="456"/>
      <c r="Q35" s="457"/>
    </row>
    <row r="36" spans="1:38" ht="23.1" customHeight="1" x14ac:dyDescent="0.2">
      <c r="A36" s="14">
        <v>2</v>
      </c>
      <c r="B36" s="441"/>
      <c r="C36" s="426"/>
      <c r="D36" s="426"/>
      <c r="E36" s="426"/>
      <c r="F36" s="426"/>
      <c r="G36" s="426"/>
      <c r="H36" s="426"/>
      <c r="I36" s="426"/>
      <c r="J36" s="426"/>
      <c r="K36" s="426"/>
      <c r="L36" s="442"/>
      <c r="M36" s="458"/>
      <c r="N36" s="436"/>
      <c r="O36" s="436"/>
      <c r="P36" s="436"/>
      <c r="Q36" s="459"/>
    </row>
    <row r="37" spans="1:38" ht="23.1" customHeight="1" x14ac:dyDescent="0.2">
      <c r="A37" s="24">
        <v>3</v>
      </c>
      <c r="B37" s="441"/>
      <c r="C37" s="426"/>
      <c r="D37" s="426"/>
      <c r="E37" s="426"/>
      <c r="F37" s="426"/>
      <c r="G37" s="426"/>
      <c r="H37" s="426"/>
      <c r="I37" s="426"/>
      <c r="J37" s="426"/>
      <c r="K37" s="426"/>
      <c r="L37" s="442"/>
      <c r="M37" s="458"/>
      <c r="N37" s="436"/>
      <c r="O37" s="436"/>
      <c r="P37" s="436"/>
      <c r="Q37" s="459"/>
    </row>
    <row r="38" spans="1:38" ht="23.1" customHeight="1" x14ac:dyDescent="0.2">
      <c r="A38" s="23">
        <v>4</v>
      </c>
      <c r="B38" s="441"/>
      <c r="C38" s="426"/>
      <c r="D38" s="426"/>
      <c r="E38" s="426"/>
      <c r="F38" s="426"/>
      <c r="G38" s="426"/>
      <c r="H38" s="426"/>
      <c r="I38" s="426"/>
      <c r="J38" s="426"/>
      <c r="K38" s="426"/>
      <c r="L38" s="442"/>
      <c r="M38" s="458"/>
      <c r="N38" s="436"/>
      <c r="O38" s="436"/>
      <c r="P38" s="436"/>
      <c r="Q38" s="459"/>
    </row>
    <row r="39" spans="1:38" ht="23.1" customHeight="1" x14ac:dyDescent="0.2">
      <c r="A39" s="24">
        <v>5</v>
      </c>
      <c r="B39" s="441"/>
      <c r="C39" s="426"/>
      <c r="D39" s="426"/>
      <c r="E39" s="426"/>
      <c r="F39" s="426"/>
      <c r="G39" s="426"/>
      <c r="H39" s="426"/>
      <c r="I39" s="426"/>
      <c r="J39" s="426"/>
      <c r="K39" s="426"/>
      <c r="L39" s="442"/>
      <c r="M39" s="458"/>
      <c r="N39" s="436"/>
      <c r="O39" s="436"/>
      <c r="P39" s="436"/>
      <c r="Q39" s="459"/>
    </row>
    <row r="40" spans="1:38" ht="23.1" customHeight="1" x14ac:dyDescent="0.2">
      <c r="A40" s="14">
        <v>6</v>
      </c>
      <c r="B40" s="441"/>
      <c r="C40" s="426"/>
      <c r="D40" s="426"/>
      <c r="E40" s="426"/>
      <c r="F40" s="426"/>
      <c r="G40" s="426"/>
      <c r="H40" s="426"/>
      <c r="I40" s="426"/>
      <c r="J40" s="426"/>
      <c r="K40" s="426"/>
      <c r="L40" s="442"/>
      <c r="M40" s="458"/>
      <c r="N40" s="436"/>
      <c r="O40" s="436"/>
      <c r="P40" s="436"/>
      <c r="Q40" s="459"/>
    </row>
    <row r="41" spans="1:38" ht="23.1" customHeight="1" x14ac:dyDescent="0.2">
      <c r="A41" s="14">
        <v>7</v>
      </c>
      <c r="B41" s="441"/>
      <c r="C41" s="426"/>
      <c r="D41" s="426"/>
      <c r="E41" s="426"/>
      <c r="F41" s="426"/>
      <c r="G41" s="426"/>
      <c r="H41" s="426"/>
      <c r="I41" s="426"/>
      <c r="J41" s="426"/>
      <c r="K41" s="426"/>
      <c r="L41" s="442"/>
      <c r="M41" s="458"/>
      <c r="N41" s="436"/>
      <c r="O41" s="436"/>
      <c r="P41" s="436"/>
      <c r="Q41" s="459"/>
    </row>
    <row r="42" spans="1:38" ht="23.1" customHeight="1" x14ac:dyDescent="0.2">
      <c r="A42" s="14">
        <v>8</v>
      </c>
      <c r="B42" s="441"/>
      <c r="C42" s="426"/>
      <c r="D42" s="426"/>
      <c r="E42" s="426"/>
      <c r="F42" s="426"/>
      <c r="G42" s="426"/>
      <c r="H42" s="426"/>
      <c r="I42" s="426"/>
      <c r="J42" s="426"/>
      <c r="K42" s="426"/>
      <c r="L42" s="442"/>
      <c r="M42" s="458"/>
      <c r="N42" s="436"/>
      <c r="O42" s="436"/>
      <c r="P42" s="436"/>
      <c r="Q42" s="459"/>
    </row>
    <row r="43" spans="1:38" ht="23.1" customHeight="1" x14ac:dyDescent="0.2">
      <c r="A43" s="14">
        <v>9</v>
      </c>
      <c r="B43" s="441"/>
      <c r="C43" s="426"/>
      <c r="D43" s="426"/>
      <c r="E43" s="426"/>
      <c r="F43" s="426"/>
      <c r="G43" s="426"/>
      <c r="H43" s="426"/>
      <c r="I43" s="426"/>
      <c r="J43" s="426"/>
      <c r="K43" s="426"/>
      <c r="L43" s="442"/>
      <c r="M43" s="458"/>
      <c r="N43" s="436"/>
      <c r="O43" s="436"/>
      <c r="P43" s="436"/>
      <c r="Q43" s="459"/>
    </row>
    <row r="44" spans="1:38" ht="23.1" customHeight="1" x14ac:dyDescent="0.2">
      <c r="A44" s="14">
        <v>10</v>
      </c>
      <c r="B44" s="441"/>
      <c r="C44" s="426"/>
      <c r="D44" s="426"/>
      <c r="E44" s="426"/>
      <c r="F44" s="426"/>
      <c r="G44" s="426"/>
      <c r="H44" s="426"/>
      <c r="I44" s="426"/>
      <c r="J44" s="426"/>
      <c r="K44" s="426"/>
      <c r="L44" s="442"/>
      <c r="M44" s="458"/>
      <c r="N44" s="436"/>
      <c r="O44" s="436"/>
      <c r="P44" s="436"/>
      <c r="Q44" s="459"/>
    </row>
    <row r="45" spans="1:38" ht="23.1" customHeight="1" thickBot="1" x14ac:dyDescent="0.25">
      <c r="A45" s="20">
        <v>11</v>
      </c>
      <c r="B45" s="463"/>
      <c r="C45" s="464"/>
      <c r="D45" s="464"/>
      <c r="E45" s="464"/>
      <c r="F45" s="464"/>
      <c r="G45" s="464"/>
      <c r="H45" s="464"/>
      <c r="I45" s="464"/>
      <c r="J45" s="464"/>
      <c r="K45" s="464"/>
      <c r="L45" s="465"/>
      <c r="M45" s="460"/>
      <c r="N45" s="461"/>
      <c r="O45" s="461"/>
      <c r="P45" s="461"/>
      <c r="Q45" s="462"/>
    </row>
    <row r="46" spans="1:38" x14ac:dyDescent="0.2">
      <c r="B46" s="25"/>
      <c r="C46" s="25"/>
      <c r="D46" s="25"/>
      <c r="E46" s="25"/>
      <c r="F46" s="25"/>
      <c r="G46" s="25"/>
      <c r="H46" s="25"/>
      <c r="I46" s="25"/>
      <c r="J46" s="25"/>
      <c r="K46" s="25"/>
      <c r="L46" s="25"/>
    </row>
  </sheetData>
  <sheetProtection password="A0FF" sheet="1" objects="1" scenarios="1"/>
  <dataConsolidate/>
  <mergeCells count="114">
    <mergeCell ref="AG22:AJ22"/>
    <mergeCell ref="AA22:AF22"/>
    <mergeCell ref="R22:S22"/>
    <mergeCell ref="T22:W22"/>
    <mergeCell ref="X22:Z22"/>
    <mergeCell ref="R23:S23"/>
    <mergeCell ref="R24:S24"/>
    <mergeCell ref="R25:S25"/>
    <mergeCell ref="T24:W24"/>
    <mergeCell ref="X25:Z25"/>
    <mergeCell ref="X24:Z24"/>
    <mergeCell ref="AA24:AF24"/>
    <mergeCell ref="T23:W23"/>
    <mergeCell ref="X23:Z23"/>
    <mergeCell ref="AG23:AJ23"/>
    <mergeCell ref="AG24:AJ24"/>
    <mergeCell ref="AG25:AJ25"/>
    <mergeCell ref="A4:B4"/>
    <mergeCell ref="C4:D4"/>
    <mergeCell ref="J23:Q23"/>
    <mergeCell ref="J24:Q24"/>
    <mergeCell ref="J25:Q25"/>
    <mergeCell ref="M34:Q34"/>
    <mergeCell ref="B34:L34"/>
    <mergeCell ref="B41:L41"/>
    <mergeCell ref="B42:L42"/>
    <mergeCell ref="B40:L40"/>
    <mergeCell ref="B38:L38"/>
    <mergeCell ref="B39:L39"/>
    <mergeCell ref="M35:Q45"/>
    <mergeCell ref="B44:L44"/>
    <mergeCell ref="B45:L45"/>
    <mergeCell ref="A21:Q21"/>
    <mergeCell ref="J33:Q33"/>
    <mergeCell ref="C33:F33"/>
    <mergeCell ref="J4:O4"/>
    <mergeCell ref="M8:P8"/>
    <mergeCell ref="J22:Q22"/>
    <mergeCell ref="B35:L35"/>
    <mergeCell ref="B36:L36"/>
    <mergeCell ref="B37:L37"/>
    <mergeCell ref="R26:S26"/>
    <mergeCell ref="T26:W26"/>
    <mergeCell ref="C32:F32"/>
    <mergeCell ref="J31:Q31"/>
    <mergeCell ref="J32:Q32"/>
    <mergeCell ref="T30:W30"/>
    <mergeCell ref="T32:W32"/>
    <mergeCell ref="G7:K8"/>
    <mergeCell ref="B43:L43"/>
    <mergeCell ref="T25:W25"/>
    <mergeCell ref="C31:F31"/>
    <mergeCell ref="R27:S27"/>
    <mergeCell ref="R33:S33"/>
    <mergeCell ref="AG32:AJ32"/>
    <mergeCell ref="R28:S28"/>
    <mergeCell ref="AG27:AJ27"/>
    <mergeCell ref="R29:S29"/>
    <mergeCell ref="T28:W28"/>
    <mergeCell ref="X29:Z29"/>
    <mergeCell ref="R31:S31"/>
    <mergeCell ref="AA32:AF32"/>
    <mergeCell ref="X30:Z30"/>
    <mergeCell ref="AA28:AF28"/>
    <mergeCell ref="R30:S30"/>
    <mergeCell ref="R32:S32"/>
    <mergeCell ref="X26:Z26"/>
    <mergeCell ref="T27:W27"/>
    <mergeCell ref="AG33:AJ33"/>
    <mergeCell ref="X27:Z27"/>
    <mergeCell ref="AA27:AF27"/>
    <mergeCell ref="X33:Z33"/>
    <mergeCell ref="AG26:AJ26"/>
    <mergeCell ref="AA25:AF25"/>
    <mergeCell ref="AA23:AF23"/>
    <mergeCell ref="AA26:AF26"/>
    <mergeCell ref="AA31:AF31"/>
    <mergeCell ref="AA29:AF29"/>
    <mergeCell ref="AA30:AF30"/>
    <mergeCell ref="AG29:AJ29"/>
    <mergeCell ref="T33:W33"/>
    <mergeCell ref="T31:W31"/>
    <mergeCell ref="T29:W29"/>
    <mergeCell ref="AA33:AF33"/>
    <mergeCell ref="X31:Z31"/>
    <mergeCell ref="AG28:AJ28"/>
    <mergeCell ref="X32:Z32"/>
    <mergeCell ref="X28:Z28"/>
    <mergeCell ref="AG30:AJ30"/>
    <mergeCell ref="AG31:AJ31"/>
    <mergeCell ref="E2:G2"/>
    <mergeCell ref="J1:O1"/>
    <mergeCell ref="C23:F23"/>
    <mergeCell ref="J26:Q26"/>
    <mergeCell ref="J27:Q27"/>
    <mergeCell ref="J28:Q28"/>
    <mergeCell ref="J29:Q29"/>
    <mergeCell ref="J30:Q30"/>
    <mergeCell ref="F4:G4"/>
    <mergeCell ref="C7:D8"/>
    <mergeCell ref="A6:G6"/>
    <mergeCell ref="B7:B8"/>
    <mergeCell ref="C24:F24"/>
    <mergeCell ref="C25:F25"/>
    <mergeCell ref="C26:F26"/>
    <mergeCell ref="C27:F27"/>
    <mergeCell ref="C28:F28"/>
    <mergeCell ref="C29:F29"/>
    <mergeCell ref="C30:F30"/>
    <mergeCell ref="C22:F22"/>
    <mergeCell ref="E8:F8"/>
    <mergeCell ref="J2:O2"/>
    <mergeCell ref="J3:O3"/>
    <mergeCell ref="J5:O5"/>
  </mergeCells>
  <conditionalFormatting sqref="E10:F20">
    <cfRule type="containsErrors" dxfId="6" priority="1">
      <formula>ISERROR(E10)</formula>
    </cfRule>
  </conditionalFormatting>
  <dataValidations count="17">
    <dataValidation type="list" allowBlank="1" showInputMessage="1" showErrorMessage="1" errorTitle="Invalid Entry" error="Invalid Entry" sqref="I23:I33" xr:uid="{00000000-0002-0000-0300-000000000000}">
      <formula1>INDIRECT(AL23)</formula1>
    </dataValidation>
    <dataValidation allowBlank="1" showErrorMessage="1" errorTitle="Invalid Height Selected" error="Invalid Height Selected" sqref="E10:F20" xr:uid="{00000000-0002-0000-0300-000001000000}"/>
    <dataValidation type="list" allowBlank="1" showInputMessage="1" showErrorMessage="1" errorTitle="Invalid Entry" sqref="A23:A33" xr:uid="{00000000-0002-0000-0300-000002000000}">
      <formula1>Line_Item_Number</formula1>
    </dataValidation>
    <dataValidation allowBlank="1" showInputMessage="1" errorTitle="Please Enter Quantity" error="Please Enter Quantity" sqref="L10:L20" xr:uid="{00000000-0002-0000-0300-000003000000}"/>
    <dataValidation type="list" allowBlank="1" showInputMessage="1" showErrorMessage="1" errorTitle="Please Enter Quantity" error="Please Enter Quantity" sqref="N10:N20 P10:P20" xr:uid="{00000000-0002-0000-0300-000004000000}">
      <formula1>Quantity</formula1>
    </dataValidation>
    <dataValidation type="list" errorStyle="warning" allowBlank="1" showInputMessage="1" showErrorMessage="1" errorTitle="Please Enter Quantity" error="Please Enter Quantity" sqref="G10:G20 K10:K20" xr:uid="{00000000-0002-0000-0300-000005000000}">
      <formula1>Quantity</formula1>
    </dataValidation>
    <dataValidation type="list" allowBlank="1" showInputMessage="1" showErrorMessage="1" errorTitle="Invald Entry" error="Please Select From List" sqref="C23:D33" xr:uid="{00000000-0002-0000-0300-000006000000}">
      <formula1>Item</formula1>
    </dataValidation>
    <dataValidation allowBlank="1" showInputMessage="1" sqref="B23:B33 J23:J33 G23:H33" xr:uid="{00000000-0002-0000-0300-000007000000}"/>
    <dataValidation type="whole" errorStyle="information" allowBlank="1" showInputMessage="1" errorTitle="Be Aware" error="All openings over 3600mm wide will have framing split into 2 pieces." sqref="B10:B20" xr:uid="{00000000-0002-0000-0300-000008000000}">
      <formula1>1</formula1>
      <formula2>3600</formula2>
    </dataValidation>
    <dataValidation allowBlank="1" showErrorMessage="1" sqref="B34" xr:uid="{00000000-0002-0000-0300-000009000000}"/>
    <dataValidation type="whole" errorStyle="information" allowBlank="1" showInputMessage="1" showErrorMessage="1" errorTitle="Warning" error="Minimum Panel Width is 180mm._x000a__x000a_Maximum Panel Width is 1400mm." sqref="C10:C20" xr:uid="{00000000-0002-0000-0300-00000A000000}">
      <formula1>180</formula1>
      <formula2>1400</formula2>
    </dataValidation>
    <dataValidation type="whole" errorStyle="warning" allowBlank="1" showErrorMessage="1" errorTitle="Be Aware" error="Minimum Panel Width is 321mm._x000a__x000a_Maximum Panel Width is 2700mm." sqref="D10:D20" xr:uid="{00000000-0002-0000-0300-00000B000000}">
      <formula1>321</formula1>
      <formula2>2700</formula2>
    </dataValidation>
    <dataValidation type="list" allowBlank="1" showInputMessage="1" showErrorMessage="1" errorTitle="Invalid Entry" error="Invalid Entry" sqref="I10:I20" xr:uid="{00000000-0002-0000-0300-00000C000000}">
      <formula1>"Aluminium Screen"</formula1>
    </dataValidation>
    <dataValidation type="list" allowBlank="1" showInputMessage="1" showErrorMessage="1" errorTitle="Invalid Entry" error="Please Select From List" sqref="H10:H20" xr:uid="{00000000-0002-0000-0300-00000D000000}">
      <formula1>"89mm"</formula1>
    </dataValidation>
    <dataValidation type="list" allowBlank="1" showInputMessage="1" showErrorMessage="1" errorTitle="Invalid Entry" error="Invalid Entry" sqref="J10:J20" xr:uid="{00000000-0002-0000-0300-00000E000000}">
      <formula1>Colour</formula1>
    </dataValidation>
    <dataValidation type="whole" errorStyle="warning" allowBlank="1" showInputMessage="1" showErrorMessage="1" errorTitle="Maximum Length = 3000mm" error="Maximum Length = 3000mm" sqref="M10:M20 O10:O20" xr:uid="{00000000-0002-0000-0300-00000F000000}">
      <formula1>0</formula1>
      <formula2>3000</formula2>
    </dataValidation>
    <dataValidation allowBlank="1" sqref="R3:S21" xr:uid="{00000000-0002-0000-0300-000010000000}"/>
  </dataValidations>
  <printOptions horizontalCentered="1"/>
  <pageMargins left="0.19685039370078741" right="0.19685039370078741" top="0.19685039370078741" bottom="0.19685039370078741" header="0" footer="0"/>
  <pageSetup paperSize="9" scale="4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O120"/>
  <sheetViews>
    <sheetView topLeftCell="AD1" workbookViewId="0">
      <selection activeCell="AH30" sqref="AH30"/>
    </sheetView>
  </sheetViews>
  <sheetFormatPr defaultRowHeight="15" x14ac:dyDescent="0.2"/>
  <cols>
    <col min="1" max="1" width="14.33203125" customWidth="1"/>
    <col min="2" max="2" width="12.88671875" bestFit="1" customWidth="1"/>
    <col min="3" max="3" width="9.5546875" customWidth="1"/>
    <col min="19" max="19" width="25.109375" customWidth="1"/>
    <col min="21" max="21" width="22.6640625" bestFit="1" customWidth="1"/>
    <col min="22" max="22" width="103.109375" bestFit="1" customWidth="1"/>
    <col min="24" max="24" width="19.44140625" bestFit="1" customWidth="1"/>
    <col min="26" max="26" width="156.109375" bestFit="1" customWidth="1"/>
    <col min="28" max="28" width="16.6640625" bestFit="1" customWidth="1"/>
    <col min="30" max="30" width="28" bestFit="1" customWidth="1"/>
    <col min="33" max="33" width="15.109375" bestFit="1" customWidth="1"/>
    <col min="36" max="36" width="28.77734375" bestFit="1" customWidth="1"/>
    <col min="37" max="37" width="22.88671875" bestFit="1" customWidth="1"/>
    <col min="38" max="38" width="22.21875" bestFit="1" customWidth="1"/>
    <col min="39" max="40" width="21.88671875" bestFit="1" customWidth="1"/>
    <col min="41" max="41" width="22.109375" bestFit="1" customWidth="1"/>
    <col min="42" max="42" width="31" bestFit="1" customWidth="1"/>
    <col min="43" max="43" width="20.109375" customWidth="1"/>
    <col min="45" max="45" width="13.44140625" bestFit="1" customWidth="1"/>
    <col min="46" max="46" width="12.21875" bestFit="1" customWidth="1"/>
    <col min="47" max="47" width="14.33203125" bestFit="1" customWidth="1"/>
    <col min="49" max="49" width="22.6640625" bestFit="1" customWidth="1"/>
    <col min="51" max="51" width="15" bestFit="1" customWidth="1"/>
    <col min="52" max="52" width="12.109375" bestFit="1" customWidth="1"/>
    <col min="53" max="53" width="11" bestFit="1" customWidth="1"/>
    <col min="55" max="55" width="17" customWidth="1"/>
    <col min="58" max="58" width="13.5546875" customWidth="1"/>
    <col min="59" max="59" width="16.44140625" style="118" customWidth="1"/>
    <col min="60" max="61" width="11.6640625" style="118" bestFit="1" customWidth="1"/>
    <col min="62" max="63" width="8.88671875" style="118"/>
    <col min="65" max="65" width="15.109375" customWidth="1"/>
    <col min="68" max="68" width="16.33203125" bestFit="1" customWidth="1"/>
    <col min="69" max="69" width="16.109375" bestFit="1" customWidth="1"/>
    <col min="70" max="70" width="15.88671875" bestFit="1" customWidth="1"/>
    <col min="71" max="71" width="15.109375" bestFit="1" customWidth="1"/>
    <col min="72" max="72" width="13.21875" bestFit="1" customWidth="1"/>
    <col min="75" max="76" width="31.21875" bestFit="1" customWidth="1"/>
    <col min="83" max="83" width="15.5546875" customWidth="1"/>
    <col min="84" max="84" width="12.77734375" bestFit="1" customWidth="1"/>
    <col min="85" max="85" width="10.44140625" bestFit="1" customWidth="1"/>
    <col min="86" max="86" width="11.6640625" bestFit="1" customWidth="1"/>
    <col min="87" max="87" width="8.5546875" bestFit="1" customWidth="1"/>
    <col min="88" max="88" width="12.5546875" bestFit="1" customWidth="1"/>
  </cols>
  <sheetData>
    <row r="1" spans="1:93" ht="15.75" x14ac:dyDescent="0.25">
      <c r="A1" s="26" t="s">
        <v>23</v>
      </c>
      <c r="B1" t="s">
        <v>25</v>
      </c>
      <c r="C1" t="s">
        <v>24</v>
      </c>
      <c r="E1" s="26" t="s">
        <v>23</v>
      </c>
      <c r="G1" s="26" t="s">
        <v>38</v>
      </c>
      <c r="H1" s="26" t="s">
        <v>40</v>
      </c>
      <c r="I1" s="26" t="s">
        <v>41</v>
      </c>
      <c r="K1" s="26" t="s">
        <v>39</v>
      </c>
      <c r="L1" s="26" t="s">
        <v>42</v>
      </c>
      <c r="M1" s="26" t="s">
        <v>43</v>
      </c>
      <c r="O1" t="s">
        <v>47</v>
      </c>
      <c r="P1" t="s">
        <v>48</v>
      </c>
      <c r="Q1" t="s">
        <v>49</v>
      </c>
      <c r="S1" s="26" t="s">
        <v>60</v>
      </c>
      <c r="AG1" t="s">
        <v>163</v>
      </c>
      <c r="AJ1" s="109" t="s">
        <v>164</v>
      </c>
      <c r="AK1" s="110" t="s">
        <v>237</v>
      </c>
      <c r="AL1" s="111" t="s">
        <v>238</v>
      </c>
      <c r="AM1" s="112" t="s">
        <v>239</v>
      </c>
      <c r="AN1" s="113" t="s">
        <v>240</v>
      </c>
      <c r="AO1" t="s">
        <v>241</v>
      </c>
      <c r="AP1" s="26" t="s">
        <v>470</v>
      </c>
      <c r="AQ1" s="26" t="s">
        <v>500</v>
      </c>
      <c r="AS1" s="26" t="s">
        <v>244</v>
      </c>
      <c r="AT1" s="26" t="s">
        <v>245</v>
      </c>
      <c r="AU1" s="26" t="s">
        <v>246</v>
      </c>
      <c r="AY1" t="s">
        <v>2</v>
      </c>
      <c r="AZ1" t="s">
        <v>155</v>
      </c>
      <c r="BA1" t="s">
        <v>247</v>
      </c>
      <c r="BC1" s="26" t="s">
        <v>257</v>
      </c>
      <c r="BG1" s="131" t="s">
        <v>264</v>
      </c>
      <c r="BH1" s="131" t="s">
        <v>265</v>
      </c>
      <c r="BI1" s="131" t="s">
        <v>266</v>
      </c>
      <c r="BJ1" s="131" t="s">
        <v>267</v>
      </c>
      <c r="BK1" s="131" t="s">
        <v>268</v>
      </c>
      <c r="BM1" s="26" t="s">
        <v>263</v>
      </c>
      <c r="BO1" t="s">
        <v>46</v>
      </c>
      <c r="BP1" s="133" t="s">
        <v>271</v>
      </c>
      <c r="BQ1" s="134" t="s">
        <v>272</v>
      </c>
      <c r="BR1" s="135" t="s">
        <v>273</v>
      </c>
      <c r="BS1" s="136" t="s">
        <v>274</v>
      </c>
      <c r="BT1" s="137" t="s">
        <v>275</v>
      </c>
      <c r="BW1" s="26" t="s">
        <v>289</v>
      </c>
      <c r="BX1" s="26" t="s">
        <v>288</v>
      </c>
      <c r="BZ1" s="26" t="s">
        <v>46</v>
      </c>
      <c r="CA1">
        <v>900</v>
      </c>
      <c r="CD1" t="s">
        <v>162</v>
      </c>
      <c r="CF1" s="26" t="s">
        <v>319</v>
      </c>
      <c r="CG1" s="26" t="s">
        <v>320</v>
      </c>
      <c r="CH1" s="26" t="s">
        <v>321</v>
      </c>
      <c r="CI1" s="26" t="s">
        <v>322</v>
      </c>
      <c r="CJ1" s="26" t="s">
        <v>323</v>
      </c>
      <c r="CM1">
        <v>1</v>
      </c>
      <c r="CN1">
        <v>2</v>
      </c>
      <c r="CO1">
        <v>3</v>
      </c>
    </row>
    <row r="2" spans="1:93" x14ac:dyDescent="0.2">
      <c r="A2" t="s">
        <v>161</v>
      </c>
      <c r="B2" t="s">
        <v>161</v>
      </c>
      <c r="C2" t="s">
        <v>26</v>
      </c>
      <c r="E2" s="26" t="s">
        <v>25</v>
      </c>
      <c r="G2" s="26" t="s">
        <v>30</v>
      </c>
      <c r="H2" s="26" t="s">
        <v>30</v>
      </c>
      <c r="I2" s="26" t="s">
        <v>26</v>
      </c>
      <c r="K2" s="26" t="s">
        <v>31</v>
      </c>
      <c r="L2" s="26" t="s">
        <v>31</v>
      </c>
      <c r="M2" s="26" t="s">
        <v>26</v>
      </c>
      <c r="O2" t="s">
        <v>44</v>
      </c>
      <c r="P2" t="s">
        <v>44</v>
      </c>
      <c r="Q2" t="s">
        <v>26</v>
      </c>
      <c r="S2" s="26" t="s">
        <v>56</v>
      </c>
      <c r="AD2" t="s">
        <v>148</v>
      </c>
      <c r="AG2" t="s">
        <v>72</v>
      </c>
      <c r="AJ2" s="114" t="s">
        <v>46</v>
      </c>
      <c r="AK2" s="210" t="s">
        <v>165</v>
      </c>
      <c r="AL2" s="210" t="s">
        <v>168</v>
      </c>
      <c r="AM2" s="109" t="s">
        <v>166</v>
      </c>
      <c r="AN2" s="109" t="s">
        <v>26</v>
      </c>
      <c r="AO2" t="s">
        <v>26</v>
      </c>
      <c r="AP2" s="210" t="s">
        <v>464</v>
      </c>
      <c r="AQ2" t="s">
        <v>165</v>
      </c>
      <c r="AR2" s="26" t="s">
        <v>24</v>
      </c>
      <c r="AS2" s="26" t="s">
        <v>26</v>
      </c>
      <c r="AT2" s="26" t="s">
        <v>243</v>
      </c>
      <c r="AU2" s="26" t="s">
        <v>243</v>
      </c>
      <c r="AW2" s="26" t="s">
        <v>258</v>
      </c>
      <c r="AY2" t="s">
        <v>2</v>
      </c>
      <c r="AZ2" t="s">
        <v>155</v>
      </c>
      <c r="BA2">
        <v>0</v>
      </c>
      <c r="BC2" t="s">
        <v>161</v>
      </c>
      <c r="BD2" s="26" t="s">
        <v>19</v>
      </c>
      <c r="BF2" s="26" t="s">
        <v>46</v>
      </c>
      <c r="BG2" s="26" t="s">
        <v>158</v>
      </c>
      <c r="BH2" s="26" t="s">
        <v>158</v>
      </c>
      <c r="BI2" s="26" t="s">
        <v>158</v>
      </c>
      <c r="BJ2" s="131" t="s">
        <v>26</v>
      </c>
      <c r="BK2" s="131" t="s">
        <v>26</v>
      </c>
      <c r="BO2" t="s">
        <v>45</v>
      </c>
      <c r="BP2" s="26" t="s">
        <v>243</v>
      </c>
      <c r="BQ2" s="26" t="s">
        <v>26</v>
      </c>
      <c r="BR2" s="26" t="s">
        <v>243</v>
      </c>
      <c r="BS2" s="26" t="s">
        <v>26</v>
      </c>
      <c r="BT2" s="26" t="s">
        <v>26</v>
      </c>
      <c r="BW2" t="s">
        <v>277</v>
      </c>
      <c r="BX2" t="s">
        <v>277</v>
      </c>
      <c r="BZ2" s="26" t="s">
        <v>45</v>
      </c>
      <c r="CA2">
        <v>1350</v>
      </c>
      <c r="CD2" t="s">
        <v>44</v>
      </c>
      <c r="CF2" t="s">
        <v>161</v>
      </c>
      <c r="CG2" t="s">
        <v>29</v>
      </c>
      <c r="CH2" t="s">
        <v>27</v>
      </c>
      <c r="CI2" t="s">
        <v>26</v>
      </c>
      <c r="CJ2" t="s">
        <v>28</v>
      </c>
      <c r="CL2" t="s">
        <v>31</v>
      </c>
      <c r="CM2" s="26">
        <v>1</v>
      </c>
      <c r="CN2" s="26">
        <v>0</v>
      </c>
      <c r="CO2" s="26">
        <v>0</v>
      </c>
    </row>
    <row r="3" spans="1:93" x14ac:dyDescent="0.2">
      <c r="A3" t="s">
        <v>27</v>
      </c>
      <c r="B3" t="s">
        <v>27</v>
      </c>
      <c r="E3" s="26" t="s">
        <v>24</v>
      </c>
      <c r="G3" s="26" t="s">
        <v>19</v>
      </c>
      <c r="H3" s="26" t="s">
        <v>19</v>
      </c>
      <c r="K3" s="26" t="s">
        <v>32</v>
      </c>
      <c r="L3" s="26" t="s">
        <v>32</v>
      </c>
      <c r="O3" t="s">
        <v>46</v>
      </c>
      <c r="P3" t="s">
        <v>46</v>
      </c>
      <c r="S3" s="26" t="s">
        <v>54</v>
      </c>
      <c r="AD3" s="26" t="s">
        <v>349</v>
      </c>
      <c r="AG3" t="s">
        <v>71</v>
      </c>
      <c r="AJ3" s="115" t="s">
        <v>45</v>
      </c>
      <c r="AK3" s="210" t="s">
        <v>471</v>
      </c>
      <c r="AL3" s="210" t="s">
        <v>170</v>
      </c>
      <c r="AM3" s="109" t="s">
        <v>169</v>
      </c>
      <c r="AN3" s="109"/>
      <c r="AP3" s="210" t="s">
        <v>465</v>
      </c>
      <c r="AQ3" t="s">
        <v>471</v>
      </c>
      <c r="AR3" s="26" t="s">
        <v>23</v>
      </c>
      <c r="AY3" t="s">
        <v>166</v>
      </c>
      <c r="AZ3">
        <v>2</v>
      </c>
      <c r="BA3">
        <v>0</v>
      </c>
      <c r="BB3">
        <f>LEN(AY3)-LEN(SUBSTITUTE(AY3,"T",""))</f>
        <v>0</v>
      </c>
      <c r="BC3" t="s">
        <v>27</v>
      </c>
      <c r="BD3" s="26" t="s">
        <v>19</v>
      </c>
      <c r="BF3" s="26" t="s">
        <v>45</v>
      </c>
      <c r="BG3" s="26" t="s">
        <v>346</v>
      </c>
      <c r="BH3" s="26" t="s">
        <v>22</v>
      </c>
      <c r="BI3" s="26" t="s">
        <v>22</v>
      </c>
      <c r="BO3" t="s">
        <v>162</v>
      </c>
      <c r="BW3" t="s">
        <v>278</v>
      </c>
      <c r="BX3" t="s">
        <v>278</v>
      </c>
      <c r="BZ3" t="s">
        <v>162</v>
      </c>
      <c r="CA3">
        <v>600</v>
      </c>
      <c r="CD3" t="s">
        <v>46</v>
      </c>
      <c r="CL3" t="s">
        <v>32</v>
      </c>
      <c r="CM3" s="26">
        <v>1</v>
      </c>
      <c r="CN3" s="26">
        <v>0</v>
      </c>
      <c r="CO3" s="26">
        <v>0</v>
      </c>
    </row>
    <row r="4" spans="1:93" x14ac:dyDescent="0.2">
      <c r="A4" t="s">
        <v>28</v>
      </c>
      <c r="B4" t="s">
        <v>28</v>
      </c>
      <c r="K4" s="26" t="s">
        <v>33</v>
      </c>
      <c r="L4" s="26" t="s">
        <v>33</v>
      </c>
      <c r="O4" t="s">
        <v>45</v>
      </c>
      <c r="P4" t="s">
        <v>45</v>
      </c>
      <c r="S4" s="26" t="s">
        <v>51</v>
      </c>
      <c r="AD4" t="s">
        <v>352</v>
      </c>
      <c r="AG4" t="s">
        <v>69</v>
      </c>
      <c r="AJ4" s="135" t="s">
        <v>360</v>
      </c>
      <c r="AK4" s="210" t="s">
        <v>472</v>
      </c>
      <c r="AL4" s="210" t="s">
        <v>172</v>
      </c>
      <c r="AM4" s="109" t="s">
        <v>171</v>
      </c>
      <c r="AN4" s="109"/>
      <c r="AP4" s="210" t="s">
        <v>166</v>
      </c>
      <c r="AQ4" t="s">
        <v>472</v>
      </c>
      <c r="AR4" s="26" t="s">
        <v>25</v>
      </c>
      <c r="AY4" t="s">
        <v>190</v>
      </c>
      <c r="AZ4">
        <v>2</v>
      </c>
      <c r="BA4">
        <v>0</v>
      </c>
      <c r="BB4">
        <f t="shared" ref="BB4:BB67" si="0">LEN(AY4)-LEN(SUBSTITUTE(AY4,"T",""))</f>
        <v>0</v>
      </c>
      <c r="BC4" t="s">
        <v>28</v>
      </c>
      <c r="BD4" s="26" t="s">
        <v>19</v>
      </c>
      <c r="BF4" s="26" t="s">
        <v>162</v>
      </c>
      <c r="BG4" s="26" t="s">
        <v>22</v>
      </c>
      <c r="BH4" s="26" t="s">
        <v>263</v>
      </c>
      <c r="BI4" s="26" t="s">
        <v>263</v>
      </c>
      <c r="BO4" t="s">
        <v>44</v>
      </c>
      <c r="BW4" t="s">
        <v>286</v>
      </c>
      <c r="BX4" t="s">
        <v>286</v>
      </c>
      <c r="BZ4" t="s">
        <v>44</v>
      </c>
      <c r="CA4">
        <v>1500</v>
      </c>
      <c r="CD4" t="s">
        <v>26</v>
      </c>
      <c r="CL4" t="s">
        <v>33</v>
      </c>
      <c r="CM4" s="26">
        <v>1</v>
      </c>
      <c r="CN4" s="26">
        <v>1</v>
      </c>
      <c r="CO4" s="26">
        <v>0</v>
      </c>
    </row>
    <row r="5" spans="1:93" x14ac:dyDescent="0.2">
      <c r="A5" t="s">
        <v>29</v>
      </c>
      <c r="B5" t="s">
        <v>29</v>
      </c>
      <c r="K5" s="26" t="s">
        <v>34</v>
      </c>
      <c r="L5" s="26" t="s">
        <v>34</v>
      </c>
      <c r="S5" s="26" t="s">
        <v>50</v>
      </c>
      <c r="AD5" t="s">
        <v>351</v>
      </c>
      <c r="AG5" t="s">
        <v>67</v>
      </c>
      <c r="AJ5" s="116" t="s">
        <v>44</v>
      </c>
      <c r="AK5" s="210" t="s">
        <v>473</v>
      </c>
      <c r="AL5" s="210" t="s">
        <v>174</v>
      </c>
      <c r="AM5" s="109" t="s">
        <v>173</v>
      </c>
      <c r="AN5" s="109"/>
      <c r="AP5" s="210" t="s">
        <v>466</v>
      </c>
      <c r="AQ5" s="26" t="s">
        <v>226</v>
      </c>
      <c r="AY5" t="s">
        <v>181</v>
      </c>
      <c r="AZ5">
        <v>4</v>
      </c>
      <c r="BA5">
        <v>0</v>
      </c>
      <c r="BB5">
        <f t="shared" si="0"/>
        <v>0</v>
      </c>
      <c r="BC5" t="s">
        <v>29</v>
      </c>
      <c r="BD5" s="26" t="s">
        <v>19</v>
      </c>
      <c r="BF5" s="26" t="s">
        <v>44</v>
      </c>
      <c r="BG5" s="26" t="s">
        <v>263</v>
      </c>
      <c r="BH5" s="26"/>
      <c r="BI5" s="26"/>
      <c r="BO5" t="s">
        <v>26</v>
      </c>
      <c r="BW5" t="s">
        <v>287</v>
      </c>
      <c r="BX5" t="s">
        <v>287</v>
      </c>
      <c r="BZ5" t="s">
        <v>26</v>
      </c>
      <c r="CA5">
        <v>1500</v>
      </c>
      <c r="CD5" t="s">
        <v>45</v>
      </c>
      <c r="CL5" t="s">
        <v>34</v>
      </c>
      <c r="CM5" s="26">
        <v>1</v>
      </c>
      <c r="CN5" s="26">
        <v>1</v>
      </c>
      <c r="CO5" s="26">
        <v>0</v>
      </c>
    </row>
    <row r="6" spans="1:93" x14ac:dyDescent="0.2">
      <c r="K6" s="26" t="s">
        <v>35</v>
      </c>
      <c r="L6" s="26" t="s">
        <v>35</v>
      </c>
      <c r="S6" s="26" t="s">
        <v>55</v>
      </c>
      <c r="AD6" t="s">
        <v>350</v>
      </c>
      <c r="AJ6" s="117" t="s">
        <v>26</v>
      </c>
      <c r="AK6" s="210" t="s">
        <v>474</v>
      </c>
      <c r="AL6" s="210" t="s">
        <v>176</v>
      </c>
      <c r="AM6" s="109" t="s">
        <v>175</v>
      </c>
      <c r="AN6" s="109"/>
      <c r="AP6" s="210" t="s">
        <v>467</v>
      </c>
      <c r="AY6" t="s">
        <v>169</v>
      </c>
      <c r="AZ6">
        <v>4</v>
      </c>
      <c r="BA6">
        <v>0</v>
      </c>
      <c r="BB6">
        <f t="shared" si="0"/>
        <v>0</v>
      </c>
      <c r="BC6" s="26" t="s">
        <v>26</v>
      </c>
      <c r="BD6" s="26" t="s">
        <v>30</v>
      </c>
      <c r="BF6" t="s">
        <v>26</v>
      </c>
      <c r="BW6" t="s">
        <v>279</v>
      </c>
      <c r="BX6" t="s">
        <v>279</v>
      </c>
      <c r="CL6" t="s">
        <v>35</v>
      </c>
      <c r="CM6" s="26">
        <v>1</v>
      </c>
      <c r="CN6" s="26">
        <v>1</v>
      </c>
      <c r="CO6" s="26">
        <v>1</v>
      </c>
    </row>
    <row r="7" spans="1:93" x14ac:dyDescent="0.2">
      <c r="K7" s="26" t="s">
        <v>36</v>
      </c>
      <c r="L7" s="26" t="s">
        <v>36</v>
      </c>
      <c r="S7" s="26" t="s">
        <v>59</v>
      </c>
      <c r="AJ7" s="26" t="s">
        <v>358</v>
      </c>
      <c r="AK7" s="210" t="s">
        <v>475</v>
      </c>
      <c r="AL7" s="210" t="s">
        <v>178</v>
      </c>
      <c r="AM7" s="109" t="s">
        <v>177</v>
      </c>
      <c r="AN7" s="109"/>
      <c r="AP7" s="210" t="s">
        <v>468</v>
      </c>
      <c r="AY7" t="s">
        <v>193</v>
      </c>
      <c r="AZ7">
        <v>4</v>
      </c>
      <c r="BA7">
        <v>0</v>
      </c>
      <c r="BB7">
        <f t="shared" si="0"/>
        <v>0</v>
      </c>
      <c r="BW7" t="s">
        <v>280</v>
      </c>
      <c r="BX7" t="s">
        <v>280</v>
      </c>
      <c r="CL7" t="s">
        <v>36</v>
      </c>
      <c r="CM7" s="26">
        <v>1</v>
      </c>
      <c r="CN7" s="26">
        <v>1</v>
      </c>
      <c r="CO7" s="26">
        <v>1</v>
      </c>
    </row>
    <row r="8" spans="1:93" x14ac:dyDescent="0.2">
      <c r="K8" s="26" t="s">
        <v>37</v>
      </c>
      <c r="L8" s="26" t="s">
        <v>37</v>
      </c>
      <c r="S8" s="26" t="s">
        <v>57</v>
      </c>
      <c r="AJ8" s="26" t="s">
        <v>359</v>
      </c>
      <c r="AK8" s="210" t="s">
        <v>476</v>
      </c>
      <c r="AL8" s="210" t="s">
        <v>180</v>
      </c>
      <c r="AM8" s="109" t="s">
        <v>179</v>
      </c>
      <c r="AN8" s="109"/>
      <c r="AP8" s="210" t="s">
        <v>469</v>
      </c>
      <c r="AY8" t="s">
        <v>171</v>
      </c>
      <c r="AZ8">
        <v>6</v>
      </c>
      <c r="BA8">
        <v>0</v>
      </c>
      <c r="BB8">
        <f t="shared" si="0"/>
        <v>0</v>
      </c>
      <c r="BW8" t="s">
        <v>285</v>
      </c>
      <c r="BX8" t="s">
        <v>285</v>
      </c>
      <c r="CL8" t="s">
        <v>37</v>
      </c>
      <c r="CM8" s="26">
        <v>1</v>
      </c>
      <c r="CN8" s="26">
        <v>1</v>
      </c>
      <c r="CO8" s="26">
        <v>1</v>
      </c>
    </row>
    <row r="9" spans="1:93" x14ac:dyDescent="0.2">
      <c r="K9" s="26" t="s">
        <v>20</v>
      </c>
      <c r="L9" s="26" t="s">
        <v>20</v>
      </c>
      <c r="S9" s="26" t="s">
        <v>58</v>
      </c>
      <c r="AK9" s="210" t="s">
        <v>477</v>
      </c>
      <c r="AL9" s="210" t="s">
        <v>183</v>
      </c>
      <c r="AM9" s="109" t="s">
        <v>181</v>
      </c>
      <c r="AN9" s="109"/>
      <c r="AP9" s="210" t="s">
        <v>190</v>
      </c>
      <c r="AY9" t="s">
        <v>196</v>
      </c>
      <c r="AZ9">
        <v>6</v>
      </c>
      <c r="BA9">
        <v>0</v>
      </c>
      <c r="BB9">
        <f t="shared" si="0"/>
        <v>0</v>
      </c>
      <c r="BW9" t="s">
        <v>281</v>
      </c>
      <c r="BX9" t="s">
        <v>281</v>
      </c>
      <c r="CL9" t="s">
        <v>20</v>
      </c>
      <c r="CM9" s="26">
        <v>1</v>
      </c>
      <c r="CN9" s="26">
        <v>1</v>
      </c>
      <c r="CO9" s="26">
        <v>1</v>
      </c>
    </row>
    <row r="10" spans="1:93" x14ac:dyDescent="0.2">
      <c r="S10" s="26" t="s">
        <v>53</v>
      </c>
      <c r="AK10" s="210" t="s">
        <v>478</v>
      </c>
      <c r="AL10" s="210" t="s">
        <v>186</v>
      </c>
      <c r="AM10" s="109" t="s">
        <v>184</v>
      </c>
      <c r="AN10" s="109"/>
      <c r="AY10" t="s">
        <v>173</v>
      </c>
      <c r="AZ10">
        <v>8</v>
      </c>
      <c r="BA10">
        <v>0</v>
      </c>
      <c r="BB10">
        <f t="shared" si="0"/>
        <v>0</v>
      </c>
      <c r="BW10" t="s">
        <v>282</v>
      </c>
      <c r="BX10" t="s">
        <v>282</v>
      </c>
    </row>
    <row r="11" spans="1:93" x14ac:dyDescent="0.2">
      <c r="S11" s="26" t="s">
        <v>52</v>
      </c>
      <c r="AK11" s="210" t="s">
        <v>479</v>
      </c>
      <c r="AL11" s="210" t="s">
        <v>192</v>
      </c>
      <c r="AM11" s="109" t="s">
        <v>187</v>
      </c>
      <c r="AN11" s="109"/>
      <c r="AY11" t="s">
        <v>177</v>
      </c>
      <c r="AZ11">
        <v>6</v>
      </c>
      <c r="BA11">
        <v>0</v>
      </c>
      <c r="BB11">
        <f t="shared" si="0"/>
        <v>0</v>
      </c>
      <c r="BW11" t="s">
        <v>283</v>
      </c>
      <c r="BX11" t="s">
        <v>283</v>
      </c>
    </row>
    <row r="12" spans="1:93" x14ac:dyDescent="0.2">
      <c r="S12" s="26"/>
      <c r="AK12" s="210" t="s">
        <v>480</v>
      </c>
      <c r="AL12" s="210" t="s">
        <v>195</v>
      </c>
      <c r="AM12" s="109" t="s">
        <v>190</v>
      </c>
      <c r="AN12" s="109"/>
      <c r="AY12" t="s">
        <v>179</v>
      </c>
      <c r="AZ12">
        <v>8</v>
      </c>
      <c r="BA12">
        <v>0</v>
      </c>
      <c r="BB12">
        <f t="shared" si="0"/>
        <v>0</v>
      </c>
      <c r="BW12" t="s">
        <v>284</v>
      </c>
      <c r="BX12" t="s">
        <v>284</v>
      </c>
    </row>
    <row r="13" spans="1:93" x14ac:dyDescent="0.2">
      <c r="AK13" s="210" t="s">
        <v>481</v>
      </c>
      <c r="AL13" s="210" t="s">
        <v>198</v>
      </c>
      <c r="AM13" s="109" t="s">
        <v>193</v>
      </c>
      <c r="AN13" s="109"/>
      <c r="AY13" t="s">
        <v>175</v>
      </c>
      <c r="AZ13">
        <v>8</v>
      </c>
      <c r="BA13">
        <v>0</v>
      </c>
      <c r="BB13">
        <f t="shared" si="0"/>
        <v>0</v>
      </c>
    </row>
    <row r="14" spans="1:93" x14ac:dyDescent="0.2">
      <c r="AK14" s="210" t="s">
        <v>482</v>
      </c>
      <c r="AL14" s="210" t="s">
        <v>200</v>
      </c>
      <c r="AM14" s="109" t="s">
        <v>196</v>
      </c>
      <c r="AN14" s="109"/>
      <c r="AY14" t="s">
        <v>184</v>
      </c>
      <c r="AZ14">
        <v>6</v>
      </c>
      <c r="BA14">
        <v>0</v>
      </c>
      <c r="BB14">
        <f t="shared" si="0"/>
        <v>0</v>
      </c>
    </row>
    <row r="15" spans="1:93" x14ac:dyDescent="0.2">
      <c r="AK15" s="210" t="s">
        <v>483</v>
      </c>
      <c r="AL15" s="210" t="s">
        <v>204</v>
      </c>
      <c r="AM15" s="118"/>
      <c r="AN15" s="118"/>
      <c r="AY15" t="s">
        <v>187</v>
      </c>
      <c r="AZ15">
        <v>8</v>
      </c>
      <c r="BA15">
        <v>0</v>
      </c>
      <c r="BB15">
        <f t="shared" si="0"/>
        <v>0</v>
      </c>
    </row>
    <row r="16" spans="1:93" x14ac:dyDescent="0.2">
      <c r="AK16" s="210" t="s">
        <v>484</v>
      </c>
      <c r="AL16" s="210" t="s">
        <v>206</v>
      </c>
      <c r="AM16" s="118"/>
      <c r="AN16" s="118"/>
      <c r="AY16" t="s">
        <v>189</v>
      </c>
      <c r="AZ16">
        <v>1</v>
      </c>
      <c r="BA16">
        <v>0</v>
      </c>
      <c r="BB16">
        <f t="shared" si="0"/>
        <v>0</v>
      </c>
    </row>
    <row r="17" spans="21:54" x14ac:dyDescent="0.2">
      <c r="AK17" s="210" t="s">
        <v>218</v>
      </c>
      <c r="AL17" s="210" t="s">
        <v>208</v>
      </c>
      <c r="AM17" s="118"/>
      <c r="AN17" s="118"/>
      <c r="AY17" t="s">
        <v>192</v>
      </c>
      <c r="AZ17">
        <v>2</v>
      </c>
      <c r="BA17">
        <v>0</v>
      </c>
      <c r="BB17">
        <f t="shared" si="0"/>
        <v>0</v>
      </c>
    </row>
    <row r="18" spans="21:54" x14ac:dyDescent="0.2">
      <c r="AK18" s="210" t="s">
        <v>485</v>
      </c>
      <c r="AL18" s="210" t="s">
        <v>209</v>
      </c>
      <c r="AM18" s="118"/>
      <c r="AN18" s="118"/>
      <c r="AY18" t="s">
        <v>174</v>
      </c>
      <c r="AZ18">
        <v>2</v>
      </c>
      <c r="BA18">
        <v>0</v>
      </c>
      <c r="BB18">
        <f t="shared" si="0"/>
        <v>0</v>
      </c>
    </row>
    <row r="19" spans="21:54" x14ac:dyDescent="0.2">
      <c r="AK19" s="210" t="s">
        <v>486</v>
      </c>
      <c r="AL19" s="210" t="s">
        <v>210</v>
      </c>
      <c r="AM19" s="118"/>
      <c r="AN19" s="118"/>
      <c r="AY19" t="s">
        <v>202</v>
      </c>
      <c r="AZ19">
        <v>2</v>
      </c>
      <c r="BA19">
        <v>0</v>
      </c>
      <c r="BB19">
        <f t="shared" si="0"/>
        <v>0</v>
      </c>
    </row>
    <row r="20" spans="21:54" x14ac:dyDescent="0.2">
      <c r="AK20" s="210" t="s">
        <v>487</v>
      </c>
      <c r="AL20" s="210" t="s">
        <v>211</v>
      </c>
      <c r="AM20" s="118"/>
      <c r="AN20" s="118"/>
      <c r="AY20" t="s">
        <v>167</v>
      </c>
      <c r="AZ20">
        <v>2</v>
      </c>
      <c r="BA20">
        <v>0</v>
      </c>
      <c r="BB20">
        <f t="shared" si="0"/>
        <v>0</v>
      </c>
    </row>
    <row r="21" spans="21:54" x14ac:dyDescent="0.2">
      <c r="AK21" s="210" t="s">
        <v>488</v>
      </c>
      <c r="AL21" s="210"/>
      <c r="AM21" s="118"/>
      <c r="AN21" s="118"/>
      <c r="AY21" t="s">
        <v>207</v>
      </c>
      <c r="AZ21">
        <v>3</v>
      </c>
      <c r="BA21">
        <v>0</v>
      </c>
      <c r="BB21">
        <f t="shared" si="0"/>
        <v>0</v>
      </c>
    </row>
    <row r="22" spans="21:54" x14ac:dyDescent="0.2">
      <c r="AK22" s="210" t="s">
        <v>489</v>
      </c>
      <c r="AL22" s="210"/>
      <c r="AM22" s="118"/>
      <c r="AN22" s="118"/>
      <c r="AY22" t="s">
        <v>198</v>
      </c>
      <c r="AZ22">
        <v>3</v>
      </c>
      <c r="BA22">
        <v>0</v>
      </c>
      <c r="BB22">
        <f t="shared" si="0"/>
        <v>0</v>
      </c>
    </row>
    <row r="23" spans="21:54" x14ac:dyDescent="0.2">
      <c r="AK23" s="210" t="s">
        <v>490</v>
      </c>
      <c r="AL23" s="210"/>
      <c r="AM23" s="118"/>
      <c r="AN23" s="118"/>
      <c r="AY23" t="s">
        <v>176</v>
      </c>
      <c r="AZ23">
        <v>3</v>
      </c>
      <c r="BA23">
        <v>0</v>
      </c>
      <c r="BB23">
        <f t="shared" si="0"/>
        <v>0</v>
      </c>
    </row>
    <row r="24" spans="21:54" x14ac:dyDescent="0.2">
      <c r="AK24" s="210" t="s">
        <v>491</v>
      </c>
      <c r="AL24" s="210"/>
      <c r="AM24" s="118"/>
      <c r="AN24" s="118"/>
      <c r="AY24" t="s">
        <v>180</v>
      </c>
      <c r="AZ24">
        <v>3</v>
      </c>
      <c r="BA24">
        <v>0</v>
      </c>
      <c r="BB24">
        <f t="shared" si="0"/>
        <v>0</v>
      </c>
    </row>
    <row r="25" spans="21:54" x14ac:dyDescent="0.2">
      <c r="AK25" s="210" t="s">
        <v>492</v>
      </c>
      <c r="AL25" s="210"/>
      <c r="AM25" s="118"/>
      <c r="AN25" s="118"/>
      <c r="AY25" t="s">
        <v>209</v>
      </c>
      <c r="AZ25">
        <v>3</v>
      </c>
      <c r="BA25">
        <v>0</v>
      </c>
      <c r="BB25">
        <f t="shared" si="0"/>
        <v>0</v>
      </c>
    </row>
    <row r="26" spans="21:54" x14ac:dyDescent="0.2">
      <c r="AK26" s="210" t="s">
        <v>493</v>
      </c>
      <c r="AL26" s="210"/>
      <c r="AM26" s="118"/>
      <c r="AN26" s="118"/>
      <c r="AY26" t="s">
        <v>168</v>
      </c>
      <c r="AZ26">
        <v>4</v>
      </c>
      <c r="BA26">
        <v>0</v>
      </c>
      <c r="BB26">
        <f t="shared" si="0"/>
        <v>0</v>
      </c>
    </row>
    <row r="27" spans="21:54" x14ac:dyDescent="0.2">
      <c r="AK27" s="210" t="s">
        <v>494</v>
      </c>
      <c r="AL27" s="210"/>
      <c r="AM27" s="118"/>
      <c r="AN27" s="118"/>
      <c r="AY27" t="s">
        <v>178</v>
      </c>
      <c r="AZ27">
        <v>4</v>
      </c>
      <c r="BA27">
        <v>0</v>
      </c>
      <c r="BB27">
        <f t="shared" si="0"/>
        <v>0</v>
      </c>
    </row>
    <row r="28" spans="21:54" x14ac:dyDescent="0.2">
      <c r="AK28" s="210" t="s">
        <v>219</v>
      </c>
      <c r="AL28" s="210"/>
      <c r="AM28" s="118"/>
      <c r="AN28" s="118"/>
      <c r="AY28" t="s">
        <v>195</v>
      </c>
      <c r="AZ28">
        <v>4</v>
      </c>
      <c r="BA28">
        <v>0</v>
      </c>
      <c r="BB28">
        <f t="shared" si="0"/>
        <v>0</v>
      </c>
    </row>
    <row r="29" spans="21:54" x14ac:dyDescent="0.2">
      <c r="AK29" s="210" t="s">
        <v>221</v>
      </c>
      <c r="AL29" s="210"/>
      <c r="AM29" s="118"/>
      <c r="AN29" s="118"/>
      <c r="AY29" t="s">
        <v>200</v>
      </c>
      <c r="AZ29">
        <v>4</v>
      </c>
      <c r="BA29">
        <v>0</v>
      </c>
      <c r="BB29">
        <f t="shared" si="0"/>
        <v>0</v>
      </c>
    </row>
    <row r="30" spans="21:54" x14ac:dyDescent="0.2">
      <c r="U30" s="26"/>
      <c r="V30" s="26"/>
      <c r="AK30" s="210" t="s">
        <v>222</v>
      </c>
      <c r="AL30" s="210"/>
      <c r="AM30" s="118"/>
      <c r="AN30" s="118"/>
      <c r="AY30" t="s">
        <v>204</v>
      </c>
      <c r="AZ30">
        <v>4</v>
      </c>
      <c r="BA30">
        <v>0</v>
      </c>
      <c r="BB30">
        <f t="shared" si="0"/>
        <v>0</v>
      </c>
    </row>
    <row r="31" spans="21:54" x14ac:dyDescent="0.2">
      <c r="AK31" s="210" t="s">
        <v>225</v>
      </c>
      <c r="AL31" s="210"/>
      <c r="AM31" s="118"/>
      <c r="AN31" s="118"/>
      <c r="AY31" t="s">
        <v>211</v>
      </c>
      <c r="AZ31">
        <v>4</v>
      </c>
      <c r="BA31">
        <v>0</v>
      </c>
      <c r="BB31">
        <f t="shared" si="0"/>
        <v>0</v>
      </c>
    </row>
    <row r="32" spans="21:54" x14ac:dyDescent="0.2">
      <c r="AK32" s="210" t="s">
        <v>226</v>
      </c>
      <c r="AL32" s="210"/>
      <c r="AM32" s="118"/>
      <c r="AN32" s="118"/>
      <c r="AY32" t="s">
        <v>186</v>
      </c>
      <c r="AZ32">
        <v>4</v>
      </c>
      <c r="BA32">
        <v>0</v>
      </c>
      <c r="BB32">
        <f t="shared" si="0"/>
        <v>0</v>
      </c>
    </row>
    <row r="33" spans="21:54" x14ac:dyDescent="0.2">
      <c r="AK33" s="109"/>
      <c r="AL33" s="210"/>
      <c r="AM33" s="118"/>
      <c r="AN33" s="118"/>
      <c r="AY33" t="s">
        <v>170</v>
      </c>
      <c r="AZ33">
        <v>8</v>
      </c>
      <c r="BA33">
        <v>0</v>
      </c>
      <c r="BB33">
        <f t="shared" si="0"/>
        <v>0</v>
      </c>
    </row>
    <row r="34" spans="21:54" x14ac:dyDescent="0.2">
      <c r="AK34" s="109"/>
      <c r="AL34" s="210"/>
      <c r="AM34" s="118"/>
      <c r="AN34" s="118"/>
      <c r="AY34" t="s">
        <v>172</v>
      </c>
      <c r="AZ34">
        <v>6</v>
      </c>
      <c r="BA34">
        <v>0</v>
      </c>
      <c r="BB34">
        <f t="shared" si="0"/>
        <v>0</v>
      </c>
    </row>
    <row r="35" spans="21:54" x14ac:dyDescent="0.2">
      <c r="AK35" s="109"/>
      <c r="AL35" s="210"/>
      <c r="AM35" s="118"/>
      <c r="AN35" s="118"/>
      <c r="AY35" t="s">
        <v>183</v>
      </c>
      <c r="AZ35">
        <v>6</v>
      </c>
      <c r="BA35">
        <v>0</v>
      </c>
      <c r="BB35">
        <f t="shared" si="0"/>
        <v>0</v>
      </c>
    </row>
    <row r="36" spans="21:54" x14ac:dyDescent="0.2">
      <c r="AK36" s="109"/>
      <c r="AL36" s="210"/>
      <c r="AM36" s="118"/>
      <c r="AN36" s="118"/>
      <c r="AY36" t="s">
        <v>206</v>
      </c>
      <c r="AZ36">
        <v>8</v>
      </c>
      <c r="BA36">
        <v>0</v>
      </c>
      <c r="BB36">
        <f t="shared" si="0"/>
        <v>0</v>
      </c>
    </row>
    <row r="37" spans="21:54" x14ac:dyDescent="0.2">
      <c r="AK37" s="109"/>
      <c r="AL37" s="210"/>
      <c r="AM37" s="118"/>
      <c r="AN37" s="118"/>
      <c r="AY37" t="s">
        <v>208</v>
      </c>
      <c r="AZ37">
        <v>6</v>
      </c>
      <c r="BA37">
        <v>0</v>
      </c>
      <c r="BB37">
        <f t="shared" si="0"/>
        <v>0</v>
      </c>
    </row>
    <row r="38" spans="21:54" x14ac:dyDescent="0.2">
      <c r="AK38" s="109"/>
      <c r="AL38" s="210"/>
      <c r="AM38" s="118"/>
      <c r="AN38" s="118"/>
      <c r="AY38" t="s">
        <v>210</v>
      </c>
      <c r="AZ38">
        <v>6</v>
      </c>
      <c r="BA38">
        <v>0</v>
      </c>
      <c r="BB38">
        <f t="shared" si="0"/>
        <v>0</v>
      </c>
    </row>
    <row r="39" spans="21:54" x14ac:dyDescent="0.2">
      <c r="AK39" s="109"/>
      <c r="AL39" s="210"/>
      <c r="AM39" s="118"/>
      <c r="AN39" s="118"/>
      <c r="AY39" t="s">
        <v>165</v>
      </c>
      <c r="AZ39">
        <v>1</v>
      </c>
      <c r="BA39">
        <v>0</v>
      </c>
      <c r="BB39">
        <f t="shared" si="0"/>
        <v>0</v>
      </c>
    </row>
    <row r="40" spans="21:54" x14ac:dyDescent="0.2">
      <c r="AK40" s="109"/>
      <c r="AL40" s="210"/>
      <c r="AM40" s="118"/>
      <c r="AN40" s="118"/>
      <c r="AY40" t="s">
        <v>226</v>
      </c>
      <c r="AZ40">
        <v>1</v>
      </c>
      <c r="BA40">
        <v>0</v>
      </c>
      <c r="BB40">
        <f t="shared" si="0"/>
        <v>0</v>
      </c>
    </row>
    <row r="41" spans="21:54" x14ac:dyDescent="0.2">
      <c r="U41" s="26"/>
      <c r="V41" s="26"/>
      <c r="AK41" s="109"/>
      <c r="AL41" s="210"/>
      <c r="AM41" s="118"/>
      <c r="AN41" s="118"/>
      <c r="AY41" t="s">
        <v>471</v>
      </c>
      <c r="AZ41">
        <v>2</v>
      </c>
      <c r="BA41">
        <v>0</v>
      </c>
      <c r="BB41">
        <f t="shared" si="0"/>
        <v>0</v>
      </c>
    </row>
    <row r="42" spans="21:54" x14ac:dyDescent="0.2">
      <c r="AK42" s="109"/>
      <c r="AL42" s="210"/>
      <c r="AM42" s="118"/>
      <c r="AN42" s="118"/>
      <c r="AY42" t="s">
        <v>472</v>
      </c>
      <c r="AZ42">
        <v>2</v>
      </c>
      <c r="BA42">
        <v>0</v>
      </c>
      <c r="BB42">
        <f t="shared" si="0"/>
        <v>0</v>
      </c>
    </row>
    <row r="43" spans="21:54" x14ac:dyDescent="0.2">
      <c r="AK43" s="109"/>
      <c r="AL43" s="210"/>
      <c r="AM43" s="118"/>
      <c r="AN43" s="118"/>
      <c r="AY43" t="s">
        <v>222</v>
      </c>
      <c r="AZ43">
        <v>2</v>
      </c>
      <c r="BA43">
        <v>1</v>
      </c>
      <c r="BB43">
        <f t="shared" si="0"/>
        <v>1</v>
      </c>
    </row>
    <row r="44" spans="21:54" x14ac:dyDescent="0.2">
      <c r="AK44" s="109"/>
      <c r="AL44" s="210"/>
      <c r="AM44" s="118"/>
      <c r="AN44" s="118"/>
      <c r="AY44" t="s">
        <v>218</v>
      </c>
      <c r="AZ44">
        <v>2</v>
      </c>
      <c r="BA44">
        <v>1</v>
      </c>
      <c r="BB44">
        <f t="shared" si="0"/>
        <v>1</v>
      </c>
    </row>
    <row r="45" spans="21:54" x14ac:dyDescent="0.2">
      <c r="AK45" s="109"/>
      <c r="AL45" s="118"/>
      <c r="AM45" s="118"/>
      <c r="AN45" s="118"/>
      <c r="AY45" t="s">
        <v>234</v>
      </c>
      <c r="AZ45">
        <v>2</v>
      </c>
      <c r="BA45">
        <v>1</v>
      </c>
      <c r="BB45">
        <f>LEN(AY45)-LEN(SUBSTITUTE(AY45,"T",""))</f>
        <v>1</v>
      </c>
    </row>
    <row r="46" spans="21:54" x14ac:dyDescent="0.2">
      <c r="AK46" s="109"/>
      <c r="AL46" s="118"/>
      <c r="AM46" s="118"/>
      <c r="AN46" s="118"/>
      <c r="AY46" t="s">
        <v>232</v>
      </c>
      <c r="AZ46">
        <v>2</v>
      </c>
      <c r="BA46">
        <v>1</v>
      </c>
      <c r="BB46">
        <f t="shared" si="0"/>
        <v>1</v>
      </c>
    </row>
    <row r="47" spans="21:54" x14ac:dyDescent="0.2">
      <c r="AK47" s="109"/>
      <c r="AL47" s="118"/>
      <c r="AM47" s="118"/>
      <c r="AN47" s="118"/>
      <c r="AY47" t="s">
        <v>473</v>
      </c>
      <c r="AZ47">
        <v>3</v>
      </c>
      <c r="BA47">
        <v>1</v>
      </c>
      <c r="BB47">
        <f t="shared" si="0"/>
        <v>1</v>
      </c>
    </row>
    <row r="48" spans="21:54" x14ac:dyDescent="0.2">
      <c r="AK48" s="109"/>
      <c r="AL48" s="118"/>
      <c r="AM48" s="118"/>
      <c r="AN48" s="118"/>
      <c r="AY48" t="s">
        <v>474</v>
      </c>
      <c r="AZ48">
        <v>3</v>
      </c>
      <c r="BA48">
        <v>1</v>
      </c>
      <c r="BB48">
        <f t="shared" si="0"/>
        <v>1</v>
      </c>
    </row>
    <row r="49" spans="37:54" x14ac:dyDescent="0.2">
      <c r="AK49" s="109"/>
      <c r="AL49" s="118"/>
      <c r="AM49" s="118"/>
      <c r="AN49" s="118"/>
      <c r="AY49" t="s">
        <v>483</v>
      </c>
      <c r="AZ49">
        <v>3</v>
      </c>
      <c r="BA49">
        <v>1</v>
      </c>
      <c r="BB49">
        <f t="shared" si="0"/>
        <v>1</v>
      </c>
    </row>
    <row r="50" spans="37:54" x14ac:dyDescent="0.2">
      <c r="AK50" s="109"/>
      <c r="AL50" s="118"/>
      <c r="AM50" s="118"/>
      <c r="AN50" s="118"/>
      <c r="AY50" t="s">
        <v>484</v>
      </c>
      <c r="AZ50">
        <v>3</v>
      </c>
      <c r="BA50">
        <v>1</v>
      </c>
      <c r="BB50">
        <f t="shared" si="0"/>
        <v>1</v>
      </c>
    </row>
    <row r="51" spans="37:54" x14ac:dyDescent="0.2">
      <c r="AK51" s="109"/>
      <c r="AL51" s="118"/>
      <c r="AM51" s="118"/>
      <c r="AN51" s="118"/>
      <c r="AY51" t="s">
        <v>485</v>
      </c>
      <c r="AZ51">
        <v>3</v>
      </c>
      <c r="BA51">
        <v>1</v>
      </c>
      <c r="BB51">
        <f t="shared" si="0"/>
        <v>1</v>
      </c>
    </row>
    <row r="52" spans="37:54" x14ac:dyDescent="0.2">
      <c r="AK52" s="109"/>
      <c r="AL52" s="118"/>
      <c r="AM52" s="118"/>
      <c r="AN52" s="118"/>
      <c r="AY52" t="s">
        <v>486</v>
      </c>
      <c r="AZ52">
        <v>3</v>
      </c>
      <c r="BA52">
        <v>1</v>
      </c>
      <c r="BB52">
        <f t="shared" si="0"/>
        <v>1</v>
      </c>
    </row>
    <row r="53" spans="37:54" x14ac:dyDescent="0.2">
      <c r="AK53" s="109"/>
      <c r="AL53" s="118"/>
      <c r="AM53" s="118"/>
      <c r="AN53" s="118"/>
      <c r="AY53" t="s">
        <v>219</v>
      </c>
      <c r="AZ53">
        <v>3</v>
      </c>
      <c r="BA53">
        <v>2</v>
      </c>
      <c r="BB53">
        <f t="shared" si="0"/>
        <v>2</v>
      </c>
    </row>
    <row r="54" spans="37:54" x14ac:dyDescent="0.2">
      <c r="AK54" s="109"/>
      <c r="AL54" s="118"/>
      <c r="AM54" s="118"/>
      <c r="AN54" s="118"/>
      <c r="AY54" t="s">
        <v>519</v>
      </c>
      <c r="AZ54">
        <v>3</v>
      </c>
      <c r="BA54">
        <v>1</v>
      </c>
      <c r="BB54">
        <f t="shared" si="0"/>
        <v>1</v>
      </c>
    </row>
    <row r="55" spans="37:54" x14ac:dyDescent="0.2">
      <c r="AK55" s="109"/>
      <c r="AL55" s="118"/>
      <c r="AM55" s="118"/>
      <c r="AN55" s="118"/>
      <c r="AY55" t="s">
        <v>520</v>
      </c>
      <c r="AZ55">
        <v>3</v>
      </c>
      <c r="BA55">
        <v>1</v>
      </c>
      <c r="BB55">
        <f t="shared" si="0"/>
        <v>1</v>
      </c>
    </row>
    <row r="56" spans="37:54" x14ac:dyDescent="0.2">
      <c r="AK56" s="109"/>
      <c r="AL56" s="118"/>
      <c r="AM56" s="118"/>
      <c r="AN56" s="118"/>
      <c r="AY56" t="s">
        <v>236</v>
      </c>
      <c r="AZ56">
        <v>3</v>
      </c>
      <c r="BA56">
        <v>2</v>
      </c>
      <c r="BB56">
        <f t="shared" si="0"/>
        <v>2</v>
      </c>
    </row>
    <row r="57" spans="37:54" x14ac:dyDescent="0.2">
      <c r="AK57" s="109"/>
      <c r="AL57" s="118"/>
      <c r="AM57" s="118"/>
      <c r="AN57" s="118"/>
      <c r="AY57" t="s">
        <v>221</v>
      </c>
      <c r="AZ57">
        <v>3</v>
      </c>
      <c r="BA57">
        <v>2</v>
      </c>
      <c r="BB57">
        <f t="shared" si="0"/>
        <v>2</v>
      </c>
    </row>
    <row r="58" spans="37:54" x14ac:dyDescent="0.2">
      <c r="AK58" s="109"/>
      <c r="AL58" s="118"/>
      <c r="AM58" s="118"/>
      <c r="AN58" s="118"/>
      <c r="AY58" t="s">
        <v>225</v>
      </c>
      <c r="AZ58">
        <v>3</v>
      </c>
      <c r="BA58">
        <v>2</v>
      </c>
      <c r="BB58">
        <f t="shared" si="0"/>
        <v>2</v>
      </c>
    </row>
    <row r="59" spans="37:54" x14ac:dyDescent="0.2">
      <c r="AK59" s="109"/>
      <c r="AL59" s="118"/>
      <c r="AM59" s="118"/>
      <c r="AN59" s="118"/>
      <c r="AY59" t="s">
        <v>235</v>
      </c>
      <c r="AZ59">
        <v>3</v>
      </c>
      <c r="BA59">
        <v>2</v>
      </c>
      <c r="BB59">
        <f t="shared" si="0"/>
        <v>2</v>
      </c>
    </row>
    <row r="60" spans="37:54" x14ac:dyDescent="0.2">
      <c r="AK60" s="109"/>
      <c r="AL60" s="118"/>
      <c r="AM60" s="118"/>
      <c r="AN60" s="118"/>
      <c r="AY60" t="s">
        <v>233</v>
      </c>
      <c r="AZ60">
        <v>3</v>
      </c>
      <c r="BA60">
        <v>2</v>
      </c>
      <c r="BB60">
        <f t="shared" si="0"/>
        <v>2</v>
      </c>
    </row>
    <row r="61" spans="37:54" x14ac:dyDescent="0.2">
      <c r="AK61" s="109"/>
      <c r="AL61" s="118"/>
      <c r="AM61" s="118"/>
      <c r="AN61" s="118"/>
      <c r="AY61" t="s">
        <v>475</v>
      </c>
      <c r="AZ61">
        <v>4</v>
      </c>
      <c r="BA61">
        <v>1</v>
      </c>
      <c r="BB61">
        <f t="shared" si="0"/>
        <v>1</v>
      </c>
    </row>
    <row r="62" spans="37:54" x14ac:dyDescent="0.2">
      <c r="AK62" s="109"/>
      <c r="AL62" s="118"/>
      <c r="AM62" s="118"/>
      <c r="AN62" s="118"/>
      <c r="AY62" t="s">
        <v>476</v>
      </c>
      <c r="AZ62">
        <v>4</v>
      </c>
      <c r="BA62">
        <v>1</v>
      </c>
      <c r="BB62">
        <f t="shared" si="0"/>
        <v>1</v>
      </c>
    </row>
    <row r="63" spans="37:54" x14ac:dyDescent="0.2">
      <c r="AK63" s="109"/>
      <c r="AL63" s="118"/>
      <c r="AM63" s="118"/>
      <c r="AN63" s="118"/>
      <c r="AY63" t="s">
        <v>477</v>
      </c>
      <c r="AZ63">
        <v>4</v>
      </c>
      <c r="BA63">
        <v>1</v>
      </c>
      <c r="BB63">
        <f t="shared" si="0"/>
        <v>1</v>
      </c>
    </row>
    <row r="64" spans="37:54" x14ac:dyDescent="0.2">
      <c r="AK64" s="109"/>
      <c r="AL64" s="118"/>
      <c r="AM64" s="118"/>
      <c r="AN64" s="118"/>
      <c r="AY64" t="s">
        <v>491</v>
      </c>
      <c r="AZ64">
        <v>4</v>
      </c>
      <c r="BA64">
        <v>2</v>
      </c>
      <c r="BB64">
        <f t="shared" si="0"/>
        <v>2</v>
      </c>
    </row>
    <row r="65" spans="37:54" x14ac:dyDescent="0.2">
      <c r="AK65" s="109"/>
      <c r="AL65" s="118"/>
      <c r="AM65" s="118"/>
      <c r="AN65" s="118"/>
      <c r="AY65" t="s">
        <v>492</v>
      </c>
      <c r="AZ65">
        <v>4</v>
      </c>
      <c r="BA65">
        <v>2</v>
      </c>
      <c r="BB65">
        <f t="shared" si="0"/>
        <v>2</v>
      </c>
    </row>
    <row r="66" spans="37:54" x14ac:dyDescent="0.2">
      <c r="AY66" t="s">
        <v>521</v>
      </c>
      <c r="AZ66">
        <v>4</v>
      </c>
      <c r="BA66">
        <v>2</v>
      </c>
      <c r="BB66">
        <f t="shared" si="0"/>
        <v>2</v>
      </c>
    </row>
    <row r="67" spans="37:54" x14ac:dyDescent="0.2">
      <c r="AY67" t="s">
        <v>522</v>
      </c>
      <c r="AZ67">
        <v>4</v>
      </c>
      <c r="BA67">
        <v>2</v>
      </c>
      <c r="BB67">
        <f t="shared" si="0"/>
        <v>2</v>
      </c>
    </row>
    <row r="68" spans="37:54" x14ac:dyDescent="0.2">
      <c r="AY68" t="s">
        <v>478</v>
      </c>
      <c r="AZ68">
        <v>5</v>
      </c>
      <c r="BA68">
        <v>2</v>
      </c>
      <c r="BB68">
        <f t="shared" ref="BB68:BB120" si="1">LEN(AY68)-LEN(SUBSTITUTE(AY68,"T",""))</f>
        <v>2</v>
      </c>
    </row>
    <row r="69" spans="37:54" x14ac:dyDescent="0.2">
      <c r="AY69" t="s">
        <v>481</v>
      </c>
      <c r="AZ69">
        <v>5</v>
      </c>
      <c r="BA69">
        <v>2</v>
      </c>
      <c r="BB69">
        <f t="shared" si="1"/>
        <v>2</v>
      </c>
    </row>
    <row r="70" spans="37:54" x14ac:dyDescent="0.2">
      <c r="AY70" t="s">
        <v>482</v>
      </c>
      <c r="AZ70">
        <v>5</v>
      </c>
      <c r="BA70">
        <v>2</v>
      </c>
      <c r="BB70">
        <f t="shared" si="1"/>
        <v>2</v>
      </c>
    </row>
    <row r="71" spans="37:54" x14ac:dyDescent="0.2">
      <c r="AY71" t="s">
        <v>487</v>
      </c>
      <c r="AZ71">
        <v>5</v>
      </c>
      <c r="BA71">
        <v>2</v>
      </c>
      <c r="BB71">
        <f t="shared" si="1"/>
        <v>2</v>
      </c>
    </row>
    <row r="72" spans="37:54" x14ac:dyDescent="0.2">
      <c r="AY72" t="s">
        <v>488</v>
      </c>
      <c r="AZ72">
        <v>5</v>
      </c>
      <c r="BA72">
        <v>2</v>
      </c>
      <c r="BB72">
        <f t="shared" si="1"/>
        <v>2</v>
      </c>
    </row>
    <row r="73" spans="37:54" x14ac:dyDescent="0.2">
      <c r="AY73" t="s">
        <v>479</v>
      </c>
      <c r="AZ73">
        <v>6</v>
      </c>
      <c r="BA73">
        <v>2</v>
      </c>
      <c r="BB73">
        <f t="shared" si="1"/>
        <v>2</v>
      </c>
    </row>
    <row r="74" spans="37:54" x14ac:dyDescent="0.2">
      <c r="AY74" t="s">
        <v>480</v>
      </c>
      <c r="AZ74">
        <v>6</v>
      </c>
      <c r="BA74">
        <v>2</v>
      </c>
      <c r="BB74">
        <f t="shared" si="1"/>
        <v>2</v>
      </c>
    </row>
    <row r="75" spans="37:54" x14ac:dyDescent="0.2">
      <c r="AY75" t="s">
        <v>489</v>
      </c>
      <c r="AZ75">
        <v>6</v>
      </c>
      <c r="BA75">
        <v>3</v>
      </c>
      <c r="BB75">
        <f t="shared" si="1"/>
        <v>3</v>
      </c>
    </row>
    <row r="76" spans="37:54" x14ac:dyDescent="0.2">
      <c r="AY76" t="s">
        <v>490</v>
      </c>
      <c r="AZ76">
        <v>6</v>
      </c>
      <c r="BA76">
        <v>3</v>
      </c>
      <c r="BB76">
        <f t="shared" si="1"/>
        <v>3</v>
      </c>
    </row>
    <row r="77" spans="37:54" x14ac:dyDescent="0.2">
      <c r="AY77" t="s">
        <v>493</v>
      </c>
      <c r="AZ77">
        <v>8</v>
      </c>
      <c r="BA77">
        <v>5</v>
      </c>
      <c r="BB77">
        <f t="shared" si="1"/>
        <v>5</v>
      </c>
    </row>
    <row r="78" spans="37:54" x14ac:dyDescent="0.2">
      <c r="AY78" t="s">
        <v>494</v>
      </c>
      <c r="AZ78">
        <v>8</v>
      </c>
      <c r="BA78">
        <v>5</v>
      </c>
      <c r="BB78">
        <f t="shared" si="1"/>
        <v>5</v>
      </c>
    </row>
    <row r="79" spans="37:54" x14ac:dyDescent="0.2">
      <c r="AY79" t="s">
        <v>249</v>
      </c>
      <c r="AZ79">
        <v>4</v>
      </c>
      <c r="BA79">
        <v>0</v>
      </c>
      <c r="BB79">
        <f t="shared" si="1"/>
        <v>0</v>
      </c>
    </row>
    <row r="80" spans="37:54" x14ac:dyDescent="0.2">
      <c r="AY80" t="s">
        <v>252</v>
      </c>
      <c r="AZ80">
        <v>6</v>
      </c>
      <c r="BA80">
        <v>0</v>
      </c>
      <c r="BB80">
        <f t="shared" si="1"/>
        <v>0</v>
      </c>
    </row>
    <row r="81" spans="51:54" x14ac:dyDescent="0.2">
      <c r="AY81" t="s">
        <v>248</v>
      </c>
      <c r="AZ81">
        <v>4</v>
      </c>
      <c r="BA81">
        <v>0</v>
      </c>
      <c r="BB81">
        <f t="shared" si="1"/>
        <v>0</v>
      </c>
    </row>
    <row r="82" spans="51:54" x14ac:dyDescent="0.2">
      <c r="AY82" t="s">
        <v>253</v>
      </c>
      <c r="AZ82">
        <v>8</v>
      </c>
      <c r="BA82">
        <v>0</v>
      </c>
      <c r="BB82">
        <f t="shared" si="1"/>
        <v>0</v>
      </c>
    </row>
    <row r="83" spans="51:54" x14ac:dyDescent="0.2">
      <c r="AY83" t="s">
        <v>251</v>
      </c>
      <c r="AZ83">
        <v>4</v>
      </c>
      <c r="BA83">
        <v>0</v>
      </c>
      <c r="BB83">
        <f t="shared" si="1"/>
        <v>0</v>
      </c>
    </row>
    <row r="84" spans="51:54" x14ac:dyDescent="0.2">
      <c r="AY84" t="s">
        <v>250</v>
      </c>
      <c r="AZ84">
        <v>4</v>
      </c>
      <c r="BA84">
        <v>0</v>
      </c>
      <c r="BB84">
        <f t="shared" si="1"/>
        <v>0</v>
      </c>
    </row>
    <row r="85" spans="51:54" x14ac:dyDescent="0.2">
      <c r="AY85" t="s">
        <v>182</v>
      </c>
      <c r="AZ85">
        <v>3</v>
      </c>
      <c r="BA85">
        <v>0</v>
      </c>
      <c r="BB85">
        <f t="shared" si="1"/>
        <v>0</v>
      </c>
    </row>
    <row r="86" spans="51:54" x14ac:dyDescent="0.2">
      <c r="AY86" t="s">
        <v>185</v>
      </c>
      <c r="AZ86">
        <v>3</v>
      </c>
      <c r="BA86">
        <v>0</v>
      </c>
      <c r="BB86">
        <f t="shared" si="1"/>
        <v>0</v>
      </c>
    </row>
    <row r="87" spans="51:54" x14ac:dyDescent="0.2">
      <c r="AY87" t="s">
        <v>188</v>
      </c>
      <c r="AZ87">
        <v>4</v>
      </c>
      <c r="BA87">
        <v>0</v>
      </c>
      <c r="BB87">
        <f t="shared" si="1"/>
        <v>0</v>
      </c>
    </row>
    <row r="88" spans="51:54" x14ac:dyDescent="0.2">
      <c r="AY88" t="s">
        <v>191</v>
      </c>
      <c r="AZ88">
        <v>6</v>
      </c>
      <c r="BA88">
        <v>1</v>
      </c>
      <c r="BB88">
        <f t="shared" si="1"/>
        <v>1</v>
      </c>
    </row>
    <row r="89" spans="51:54" x14ac:dyDescent="0.2">
      <c r="AY89" t="s">
        <v>194</v>
      </c>
      <c r="AZ89">
        <v>4</v>
      </c>
      <c r="BA89">
        <v>2</v>
      </c>
      <c r="BB89">
        <f t="shared" si="1"/>
        <v>2</v>
      </c>
    </row>
    <row r="90" spans="51:54" x14ac:dyDescent="0.2">
      <c r="AY90" t="s">
        <v>197</v>
      </c>
      <c r="AZ90">
        <v>3</v>
      </c>
      <c r="BA90">
        <v>1</v>
      </c>
      <c r="BB90">
        <f t="shared" si="1"/>
        <v>1</v>
      </c>
    </row>
    <row r="91" spans="51:54" x14ac:dyDescent="0.2">
      <c r="AY91" t="s">
        <v>199</v>
      </c>
      <c r="AZ91">
        <v>4</v>
      </c>
      <c r="BA91">
        <v>1</v>
      </c>
      <c r="BB91">
        <f t="shared" si="1"/>
        <v>1</v>
      </c>
    </row>
    <row r="92" spans="51:54" x14ac:dyDescent="0.2">
      <c r="AY92" t="s">
        <v>201</v>
      </c>
      <c r="AZ92">
        <v>2</v>
      </c>
      <c r="BA92">
        <v>0</v>
      </c>
      <c r="BB92">
        <f t="shared" si="1"/>
        <v>0</v>
      </c>
    </row>
    <row r="93" spans="51:54" x14ac:dyDescent="0.2">
      <c r="AY93" t="s">
        <v>203</v>
      </c>
      <c r="AZ93">
        <v>3</v>
      </c>
      <c r="BA93">
        <v>0</v>
      </c>
      <c r="BB93">
        <f t="shared" si="1"/>
        <v>0</v>
      </c>
    </row>
    <row r="94" spans="51:54" x14ac:dyDescent="0.2">
      <c r="AY94" t="s">
        <v>205</v>
      </c>
      <c r="AZ94">
        <v>3</v>
      </c>
      <c r="BA94">
        <v>1</v>
      </c>
      <c r="BB94">
        <f t="shared" si="1"/>
        <v>1</v>
      </c>
    </row>
    <row r="95" spans="51:54" x14ac:dyDescent="0.2">
      <c r="AY95" t="s">
        <v>212</v>
      </c>
      <c r="AZ95">
        <v>3</v>
      </c>
      <c r="BA95">
        <v>0</v>
      </c>
      <c r="BB95">
        <f t="shared" si="1"/>
        <v>0</v>
      </c>
    </row>
    <row r="96" spans="51:54" x14ac:dyDescent="0.2">
      <c r="AY96" t="s">
        <v>213</v>
      </c>
      <c r="AZ96">
        <v>4</v>
      </c>
      <c r="BA96">
        <v>0</v>
      </c>
      <c r="BB96">
        <f t="shared" si="1"/>
        <v>0</v>
      </c>
    </row>
    <row r="97" spans="51:54" x14ac:dyDescent="0.2">
      <c r="AY97" t="s">
        <v>214</v>
      </c>
      <c r="AZ97">
        <v>6</v>
      </c>
      <c r="BA97">
        <v>0</v>
      </c>
      <c r="BB97">
        <f t="shared" si="1"/>
        <v>0</v>
      </c>
    </row>
    <row r="98" spans="51:54" x14ac:dyDescent="0.2">
      <c r="AY98" t="s">
        <v>215</v>
      </c>
      <c r="AZ98">
        <v>8</v>
      </c>
      <c r="BA98">
        <v>1</v>
      </c>
      <c r="BB98">
        <f t="shared" si="1"/>
        <v>1</v>
      </c>
    </row>
    <row r="99" spans="51:54" x14ac:dyDescent="0.2">
      <c r="AY99" t="s">
        <v>216</v>
      </c>
      <c r="AZ99">
        <v>7</v>
      </c>
      <c r="BA99">
        <v>2</v>
      </c>
      <c r="BB99">
        <f t="shared" si="1"/>
        <v>2</v>
      </c>
    </row>
    <row r="100" spans="51:54" x14ac:dyDescent="0.2">
      <c r="AY100" t="s">
        <v>217</v>
      </c>
      <c r="AZ100">
        <v>3</v>
      </c>
      <c r="BA100">
        <v>0</v>
      </c>
      <c r="BB100">
        <f t="shared" si="1"/>
        <v>0</v>
      </c>
    </row>
    <row r="101" spans="51:54" x14ac:dyDescent="0.2">
      <c r="AY101" t="s">
        <v>223</v>
      </c>
      <c r="AZ101">
        <v>3</v>
      </c>
      <c r="BA101">
        <v>1</v>
      </c>
      <c r="BB101">
        <f t="shared" si="1"/>
        <v>1</v>
      </c>
    </row>
    <row r="102" spans="51:54" x14ac:dyDescent="0.2">
      <c r="AY102" t="s">
        <v>224</v>
      </c>
      <c r="AZ102">
        <v>4</v>
      </c>
      <c r="BA102">
        <v>2</v>
      </c>
      <c r="BB102">
        <f t="shared" si="1"/>
        <v>2</v>
      </c>
    </row>
    <row r="103" spans="51:54" x14ac:dyDescent="0.2">
      <c r="AY103" t="s">
        <v>227</v>
      </c>
      <c r="AZ103">
        <v>2</v>
      </c>
      <c r="BA103">
        <v>0</v>
      </c>
      <c r="BB103">
        <f t="shared" si="1"/>
        <v>0</v>
      </c>
    </row>
    <row r="104" spans="51:54" x14ac:dyDescent="0.2">
      <c r="AY104" t="s">
        <v>228</v>
      </c>
      <c r="AZ104">
        <v>3</v>
      </c>
      <c r="BA104">
        <v>0</v>
      </c>
      <c r="BB104">
        <f t="shared" si="1"/>
        <v>0</v>
      </c>
    </row>
    <row r="105" spans="51:54" x14ac:dyDescent="0.2">
      <c r="AY105" t="s">
        <v>229</v>
      </c>
      <c r="AZ105">
        <v>3</v>
      </c>
      <c r="BA105">
        <v>0</v>
      </c>
      <c r="BB105">
        <f t="shared" si="1"/>
        <v>0</v>
      </c>
    </row>
    <row r="106" spans="51:54" x14ac:dyDescent="0.2">
      <c r="AY106" t="s">
        <v>230</v>
      </c>
      <c r="AZ106">
        <v>3</v>
      </c>
      <c r="BA106">
        <v>0</v>
      </c>
      <c r="BB106">
        <f t="shared" si="1"/>
        <v>0</v>
      </c>
    </row>
    <row r="107" spans="51:54" x14ac:dyDescent="0.2">
      <c r="AY107" t="s">
        <v>231</v>
      </c>
      <c r="AZ107">
        <v>3</v>
      </c>
      <c r="BA107">
        <v>0</v>
      </c>
      <c r="BB107">
        <f t="shared" si="1"/>
        <v>0</v>
      </c>
    </row>
    <row r="108" spans="51:54" x14ac:dyDescent="0.2">
      <c r="AY108" t="s">
        <v>215</v>
      </c>
      <c r="AZ108">
        <v>8</v>
      </c>
      <c r="BA108">
        <v>1</v>
      </c>
      <c r="BB108">
        <f t="shared" si="1"/>
        <v>1</v>
      </c>
    </row>
    <row r="109" spans="51:54" x14ac:dyDescent="0.2">
      <c r="AY109" t="s">
        <v>191</v>
      </c>
      <c r="AZ109">
        <v>6</v>
      </c>
      <c r="BA109">
        <v>1</v>
      </c>
      <c r="BB109">
        <f t="shared" si="1"/>
        <v>1</v>
      </c>
    </row>
    <row r="110" spans="51:54" x14ac:dyDescent="0.2">
      <c r="AY110" t="s">
        <v>216</v>
      </c>
      <c r="AZ110">
        <v>7</v>
      </c>
      <c r="BA110">
        <v>2</v>
      </c>
      <c r="BB110">
        <f t="shared" si="1"/>
        <v>2</v>
      </c>
    </row>
    <row r="111" spans="51:54" x14ac:dyDescent="0.2">
      <c r="AY111" t="s">
        <v>205</v>
      </c>
      <c r="AZ111">
        <v>3</v>
      </c>
      <c r="BA111">
        <v>1</v>
      </c>
      <c r="BB111">
        <f t="shared" si="1"/>
        <v>1</v>
      </c>
    </row>
    <row r="112" spans="51:54" x14ac:dyDescent="0.2">
      <c r="AY112" t="s">
        <v>197</v>
      </c>
      <c r="AZ112">
        <v>3</v>
      </c>
      <c r="BA112">
        <v>1</v>
      </c>
      <c r="BB112">
        <f t="shared" si="1"/>
        <v>1</v>
      </c>
    </row>
    <row r="113" spans="51:54" x14ac:dyDescent="0.2">
      <c r="AY113" t="s">
        <v>223</v>
      </c>
      <c r="AZ113">
        <v>3</v>
      </c>
      <c r="BA113">
        <v>1</v>
      </c>
      <c r="BB113">
        <f t="shared" si="1"/>
        <v>1</v>
      </c>
    </row>
    <row r="114" spans="51:54" x14ac:dyDescent="0.2">
      <c r="AY114" t="s">
        <v>194</v>
      </c>
      <c r="AZ114">
        <v>4</v>
      </c>
      <c r="BA114">
        <v>2</v>
      </c>
      <c r="BB114">
        <f t="shared" si="1"/>
        <v>2</v>
      </c>
    </row>
    <row r="115" spans="51:54" x14ac:dyDescent="0.2">
      <c r="AY115" t="s">
        <v>220</v>
      </c>
      <c r="AZ115">
        <v>4</v>
      </c>
      <c r="BA115">
        <v>2</v>
      </c>
      <c r="BB115">
        <f t="shared" si="1"/>
        <v>2</v>
      </c>
    </row>
    <row r="116" spans="51:54" x14ac:dyDescent="0.2">
      <c r="AY116" t="s">
        <v>218</v>
      </c>
      <c r="AZ116">
        <v>2</v>
      </c>
      <c r="BA116">
        <v>1</v>
      </c>
      <c r="BB116">
        <f t="shared" si="1"/>
        <v>1</v>
      </c>
    </row>
    <row r="117" spans="51:54" x14ac:dyDescent="0.2">
      <c r="AY117" t="s">
        <v>234</v>
      </c>
      <c r="AZ117">
        <v>2</v>
      </c>
      <c r="BA117">
        <v>1</v>
      </c>
      <c r="BB117">
        <f t="shared" si="1"/>
        <v>1</v>
      </c>
    </row>
    <row r="118" spans="51:54" x14ac:dyDescent="0.2">
      <c r="AY118" t="s">
        <v>232</v>
      </c>
      <c r="AZ118">
        <v>2</v>
      </c>
      <c r="BA118">
        <v>1</v>
      </c>
      <c r="BB118">
        <f t="shared" si="1"/>
        <v>1</v>
      </c>
    </row>
    <row r="119" spans="51:54" x14ac:dyDescent="0.2">
      <c r="AY119" t="s">
        <v>235</v>
      </c>
      <c r="AZ119">
        <v>3</v>
      </c>
      <c r="BA119">
        <v>2</v>
      </c>
      <c r="BB119">
        <f t="shared" si="1"/>
        <v>2</v>
      </c>
    </row>
    <row r="120" spans="51:54" x14ac:dyDescent="0.2">
      <c r="AY120" t="s">
        <v>233</v>
      </c>
      <c r="AZ120">
        <v>3</v>
      </c>
      <c r="BA120">
        <v>2</v>
      </c>
      <c r="BB120">
        <f t="shared" si="1"/>
        <v>2</v>
      </c>
    </row>
  </sheetData>
  <sortState xmlns:xlrd2="http://schemas.microsoft.com/office/spreadsheetml/2017/richdata2" ref="P2:P5">
    <sortCondition ref="P2:P5"/>
  </sortState>
  <conditionalFormatting sqref="AK33:AK65">
    <cfRule type="duplicateValues" dxfId="5" priority="4"/>
  </conditionalFormatting>
  <conditionalFormatting sqref="AM2:AM14">
    <cfRule type="duplicateValues" dxfId="4" priority="6"/>
  </conditionalFormatting>
  <conditionalFormatting sqref="AL2:AL24">
    <cfRule type="duplicateValues" dxfId="3" priority="2"/>
  </conditionalFormatting>
  <conditionalFormatting sqref="AK2:AK32">
    <cfRule type="duplicateValues" dxfId="2"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Q13"/>
  <sheetViews>
    <sheetView topLeftCell="C1" workbookViewId="0">
      <selection activeCell="J1" sqref="J1:R1048576"/>
    </sheetView>
  </sheetViews>
  <sheetFormatPr defaultRowHeight="15" x14ac:dyDescent="0.2"/>
  <cols>
    <col min="1" max="1" width="12.6640625" bestFit="1" customWidth="1"/>
    <col min="4" max="4" width="28.77734375" customWidth="1"/>
    <col min="9" max="9" width="26.44140625" bestFit="1" customWidth="1"/>
    <col min="10" max="10" width="37.33203125" bestFit="1" customWidth="1"/>
    <col min="11" max="11" width="43.6640625" bestFit="1" customWidth="1"/>
    <col min="12" max="12" width="42.44140625" bestFit="1" customWidth="1"/>
    <col min="13" max="13" width="45" bestFit="1" customWidth="1"/>
    <col min="14" max="14" width="45.6640625" bestFit="1" customWidth="1"/>
    <col min="15" max="15" width="46" bestFit="1" customWidth="1"/>
    <col min="16" max="16" width="45.77734375" bestFit="1" customWidth="1"/>
    <col min="17" max="17" width="40.109375" bestFit="1" customWidth="1"/>
  </cols>
  <sheetData>
    <row r="1" spans="1:17" x14ac:dyDescent="0.2">
      <c r="A1" t="s">
        <v>7</v>
      </c>
      <c r="B1" t="s">
        <v>62</v>
      </c>
      <c r="D1" s="26" t="s">
        <v>61</v>
      </c>
      <c r="F1" t="s">
        <v>73</v>
      </c>
      <c r="I1" s="26" t="s">
        <v>306</v>
      </c>
      <c r="J1" s="26" t="s">
        <v>307</v>
      </c>
      <c r="K1" s="26" t="s">
        <v>298</v>
      </c>
      <c r="L1" s="26" t="s">
        <v>299</v>
      </c>
      <c r="M1" s="26" t="s">
        <v>300</v>
      </c>
      <c r="N1" s="26" t="s">
        <v>301</v>
      </c>
      <c r="O1" s="26" t="s">
        <v>302</v>
      </c>
      <c r="P1" s="26" t="s">
        <v>303</v>
      </c>
      <c r="Q1" s="26" t="s">
        <v>304</v>
      </c>
    </row>
    <row r="2" spans="1:17" x14ac:dyDescent="0.2">
      <c r="A2" t="s">
        <v>72</v>
      </c>
      <c r="B2">
        <v>1</v>
      </c>
      <c r="D2" s="26" t="s">
        <v>306</v>
      </c>
      <c r="F2" t="s">
        <v>26</v>
      </c>
      <c r="I2" t="s">
        <v>70</v>
      </c>
      <c r="J2" t="s">
        <v>72</v>
      </c>
      <c r="K2" t="s">
        <v>72</v>
      </c>
      <c r="L2" t="s">
        <v>72</v>
      </c>
      <c r="M2" t="s">
        <v>72</v>
      </c>
      <c r="N2" t="s">
        <v>72</v>
      </c>
      <c r="O2" t="s">
        <v>72</v>
      </c>
      <c r="P2" t="s">
        <v>72</v>
      </c>
      <c r="Q2" s="26" t="s">
        <v>297</v>
      </c>
    </row>
    <row r="3" spans="1:17" x14ac:dyDescent="0.2">
      <c r="A3" t="s">
        <v>71</v>
      </c>
      <c r="B3">
        <v>2</v>
      </c>
      <c r="D3" s="26" t="s">
        <v>70</v>
      </c>
      <c r="F3">
        <v>1</v>
      </c>
      <c r="I3" t="s">
        <v>68</v>
      </c>
      <c r="J3" t="s">
        <v>71</v>
      </c>
      <c r="K3" t="s">
        <v>71</v>
      </c>
      <c r="L3" t="s">
        <v>71</v>
      </c>
      <c r="M3" t="s">
        <v>71</v>
      </c>
      <c r="N3" t="s">
        <v>71</v>
      </c>
      <c r="O3" t="s">
        <v>71</v>
      </c>
      <c r="P3" t="s">
        <v>71</v>
      </c>
    </row>
    <row r="4" spans="1:17" x14ac:dyDescent="0.2">
      <c r="A4" t="s">
        <v>69</v>
      </c>
      <c r="B4">
        <v>3</v>
      </c>
      <c r="D4" s="26" t="s">
        <v>68</v>
      </c>
      <c r="F4">
        <v>2</v>
      </c>
      <c r="I4" t="s">
        <v>66</v>
      </c>
      <c r="J4" t="s">
        <v>69</v>
      </c>
      <c r="K4" t="s">
        <v>69</v>
      </c>
      <c r="L4" t="s">
        <v>69</v>
      </c>
      <c r="M4" t="s">
        <v>69</v>
      </c>
      <c r="N4" t="s">
        <v>69</v>
      </c>
      <c r="O4" t="s">
        <v>69</v>
      </c>
      <c r="P4" t="s">
        <v>69</v>
      </c>
    </row>
    <row r="5" spans="1:17" x14ac:dyDescent="0.2">
      <c r="A5" t="s">
        <v>67</v>
      </c>
      <c r="B5">
        <v>4</v>
      </c>
      <c r="D5" s="26" t="s">
        <v>66</v>
      </c>
      <c r="F5">
        <v>3</v>
      </c>
      <c r="I5" t="s">
        <v>65</v>
      </c>
      <c r="J5" t="s">
        <v>67</v>
      </c>
      <c r="K5" t="s">
        <v>67</v>
      </c>
      <c r="L5" t="s">
        <v>67</v>
      </c>
      <c r="M5" t="s">
        <v>67</v>
      </c>
      <c r="N5" t="s">
        <v>67</v>
      </c>
      <c r="O5" t="s">
        <v>67</v>
      </c>
      <c r="P5" t="s">
        <v>67</v>
      </c>
    </row>
    <row r="6" spans="1:17" x14ac:dyDescent="0.2">
      <c r="B6">
        <v>5</v>
      </c>
      <c r="D6" s="26" t="s">
        <v>65</v>
      </c>
      <c r="F6">
        <v>4</v>
      </c>
      <c r="I6" t="s">
        <v>64</v>
      </c>
    </row>
    <row r="7" spans="1:17" x14ac:dyDescent="0.2">
      <c r="B7">
        <v>6</v>
      </c>
      <c r="D7" s="26" t="s">
        <v>64</v>
      </c>
      <c r="F7">
        <v>5</v>
      </c>
      <c r="I7" t="s">
        <v>63</v>
      </c>
    </row>
    <row r="8" spans="1:17" x14ac:dyDescent="0.2">
      <c r="B8">
        <v>7</v>
      </c>
      <c r="D8" s="26" t="s">
        <v>63</v>
      </c>
      <c r="F8">
        <v>6</v>
      </c>
      <c r="I8" s="26" t="s">
        <v>305</v>
      </c>
    </row>
    <row r="9" spans="1:17" x14ac:dyDescent="0.2">
      <c r="B9">
        <v>8</v>
      </c>
      <c r="D9" s="26" t="s">
        <v>305</v>
      </c>
      <c r="F9">
        <v>7</v>
      </c>
    </row>
    <row r="10" spans="1:17" x14ac:dyDescent="0.2">
      <c r="B10">
        <v>9</v>
      </c>
      <c r="F10">
        <v>8</v>
      </c>
    </row>
    <row r="11" spans="1:17" x14ac:dyDescent="0.2">
      <c r="B11">
        <v>10</v>
      </c>
      <c r="F11">
        <v>9</v>
      </c>
    </row>
    <row r="12" spans="1:17" x14ac:dyDescent="0.2">
      <c r="F12">
        <v>10</v>
      </c>
    </row>
    <row r="13" spans="1:17" x14ac:dyDescent="0.2">
      <c r="F13">
        <v>11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C66"/>
  <sheetViews>
    <sheetView topLeftCell="A4" workbookViewId="0">
      <selection activeCell="B1" sqref="B1:M1"/>
    </sheetView>
  </sheetViews>
  <sheetFormatPr defaultRowHeight="15" x14ac:dyDescent="0.25"/>
  <cols>
    <col min="1" max="1" width="52.88671875" style="36" customWidth="1"/>
    <col min="2" max="5" width="6.21875" style="36" customWidth="1"/>
    <col min="6" max="6" width="6.33203125" style="36" customWidth="1"/>
    <col min="7" max="12" width="6.21875" style="36" customWidth="1"/>
    <col min="13" max="13" width="5.88671875" style="35" customWidth="1"/>
    <col min="14" max="14" width="8.88671875" style="33"/>
    <col min="15" max="15" width="10.77734375" style="34" bestFit="1" customWidth="1"/>
    <col min="16" max="16" width="18.109375" style="33" customWidth="1"/>
    <col min="17" max="17" width="6.21875" style="33" customWidth="1"/>
    <col min="18" max="18" width="7" style="33" customWidth="1"/>
    <col min="19" max="19" width="51.44140625" style="33" customWidth="1"/>
    <col min="20" max="20" width="4.44140625" style="33" customWidth="1"/>
    <col min="21" max="23" width="8.88671875" style="33"/>
    <col min="24" max="24" width="51.33203125" style="33" bestFit="1" customWidth="1"/>
    <col min="25" max="29" width="10.5546875" style="33" customWidth="1"/>
    <col min="30" max="16384" width="8.88671875" style="33"/>
  </cols>
  <sheetData>
    <row r="1" spans="1:29" x14ac:dyDescent="0.25">
      <c r="B1" s="75" t="s">
        <v>122</v>
      </c>
      <c r="C1" s="75" t="s">
        <v>121</v>
      </c>
      <c r="D1" s="75" t="s">
        <v>120</v>
      </c>
      <c r="E1" s="75" t="s">
        <v>119</v>
      </c>
      <c r="F1" s="75" t="s">
        <v>118</v>
      </c>
      <c r="G1" s="75" t="s">
        <v>117</v>
      </c>
      <c r="H1" s="75" t="s">
        <v>116</v>
      </c>
      <c r="I1" s="75" t="s">
        <v>115</v>
      </c>
      <c r="J1" s="75" t="s">
        <v>114</v>
      </c>
      <c r="K1" s="75" t="s">
        <v>113</v>
      </c>
      <c r="L1" s="75" t="s">
        <v>112</v>
      </c>
      <c r="M1" s="74" t="s">
        <v>111</v>
      </c>
    </row>
    <row r="2" spans="1:29" ht="21" customHeight="1" x14ac:dyDescent="0.25">
      <c r="A2" s="73" t="s">
        <v>110</v>
      </c>
      <c r="B2" s="72">
        <f>'Aluminium Screen'!D10</f>
        <v>0</v>
      </c>
      <c r="C2" s="72">
        <f>'Aluminium Screen'!D11</f>
        <v>0</v>
      </c>
      <c r="D2" s="72">
        <f>'Aluminium Screen'!D12</f>
        <v>0</v>
      </c>
      <c r="E2" s="72">
        <f>'Aluminium Screen'!D13</f>
        <v>0</v>
      </c>
      <c r="F2" s="72">
        <f>'Aluminium Screen'!D14</f>
        <v>0</v>
      </c>
      <c r="G2" s="72">
        <f>'Aluminium Screen'!D15</f>
        <v>0</v>
      </c>
      <c r="H2" s="72">
        <f>'Aluminium Screen'!D16</f>
        <v>0</v>
      </c>
      <c r="I2" s="72">
        <f>'Aluminium Screen'!D17</f>
        <v>0</v>
      </c>
      <c r="J2" s="72">
        <f>'Aluminium Screen'!D18</f>
        <v>0</v>
      </c>
      <c r="K2" s="72">
        <f>'Aluminium Screen'!D19</f>
        <v>0</v>
      </c>
      <c r="L2" s="72">
        <f>'Aluminium Screen'!D20</f>
        <v>0</v>
      </c>
      <c r="M2" s="71" t="s">
        <v>74</v>
      </c>
      <c r="O2" s="70" t="s">
        <v>109</v>
      </c>
      <c r="P2" s="69" t="s">
        <v>102</v>
      </c>
      <c r="S2" s="489" t="s">
        <v>108</v>
      </c>
      <c r="T2" s="490"/>
      <c r="X2" s="62" t="s">
        <v>107</v>
      </c>
      <c r="Y2" s="62" t="s">
        <v>62</v>
      </c>
      <c r="Z2" s="49" t="s">
        <v>106</v>
      </c>
      <c r="AA2" s="49" t="s">
        <v>105</v>
      </c>
      <c r="AB2" s="49" t="s">
        <v>104</v>
      </c>
      <c r="AC2" s="49" t="s">
        <v>103</v>
      </c>
    </row>
    <row r="3" spans="1:29" ht="21" customHeight="1" x14ac:dyDescent="0.25">
      <c r="A3" s="68" t="s">
        <v>102</v>
      </c>
      <c r="B3" s="67" t="e">
        <f t="shared" ref="B3:L3" si="0">VLOOKUP(B2,$P$3:$P$31,1,TRUE)</f>
        <v>#N/A</v>
      </c>
      <c r="C3" s="67" t="e">
        <f t="shared" si="0"/>
        <v>#N/A</v>
      </c>
      <c r="D3" s="67" t="e">
        <f t="shared" si="0"/>
        <v>#N/A</v>
      </c>
      <c r="E3" s="67" t="e">
        <f t="shared" si="0"/>
        <v>#N/A</v>
      </c>
      <c r="F3" s="67" t="e">
        <f t="shared" si="0"/>
        <v>#N/A</v>
      </c>
      <c r="G3" s="67" t="e">
        <f t="shared" si="0"/>
        <v>#N/A</v>
      </c>
      <c r="H3" s="67" t="e">
        <f t="shared" si="0"/>
        <v>#N/A</v>
      </c>
      <c r="I3" s="67" t="e">
        <f t="shared" si="0"/>
        <v>#N/A</v>
      </c>
      <c r="J3" s="67" t="e">
        <f t="shared" si="0"/>
        <v>#N/A</v>
      </c>
      <c r="K3" s="67" t="e">
        <f t="shared" si="0"/>
        <v>#N/A</v>
      </c>
      <c r="L3" s="67" t="e">
        <f t="shared" si="0"/>
        <v>#N/A</v>
      </c>
      <c r="M3" s="67" t="s">
        <v>74</v>
      </c>
      <c r="O3" s="37">
        <v>3</v>
      </c>
      <c r="P3" s="42">
        <f t="shared" ref="P3:P31" si="1">(O3*$T$3)+((O3-1)*($T$4))+$T$10</f>
        <v>321</v>
      </c>
      <c r="Q3" s="37">
        <v>3</v>
      </c>
      <c r="S3" s="64" t="s">
        <v>101</v>
      </c>
      <c r="T3" s="62">
        <v>67</v>
      </c>
      <c r="X3" s="58" t="s">
        <v>100</v>
      </c>
      <c r="Y3" s="57" t="e">
        <f>B4</f>
        <v>#N/A</v>
      </c>
      <c r="Z3" s="56">
        <f>T3</f>
        <v>67</v>
      </c>
      <c r="AA3" s="56" t="e">
        <f t="shared" ref="AA3:AA10" si="2">Y3*Z3</f>
        <v>#N/A</v>
      </c>
      <c r="AB3" s="55"/>
      <c r="AC3" s="55"/>
    </row>
    <row r="4" spans="1:29" ht="21" customHeight="1" x14ac:dyDescent="0.25">
      <c r="A4" s="68" t="s">
        <v>100</v>
      </c>
      <c r="B4" s="67" t="e">
        <f t="shared" ref="B4:L4" si="3">VLOOKUP(B3,$P$3:$Q$31,2,TRUE)</f>
        <v>#N/A</v>
      </c>
      <c r="C4" s="67" t="e">
        <f t="shared" si="3"/>
        <v>#N/A</v>
      </c>
      <c r="D4" s="67" t="e">
        <f t="shared" si="3"/>
        <v>#N/A</v>
      </c>
      <c r="E4" s="67" t="e">
        <f t="shared" si="3"/>
        <v>#N/A</v>
      </c>
      <c r="F4" s="67" t="e">
        <f t="shared" si="3"/>
        <v>#N/A</v>
      </c>
      <c r="G4" s="67" t="e">
        <f t="shared" si="3"/>
        <v>#N/A</v>
      </c>
      <c r="H4" s="67" t="e">
        <f t="shared" si="3"/>
        <v>#N/A</v>
      </c>
      <c r="I4" s="67" t="e">
        <f t="shared" si="3"/>
        <v>#N/A</v>
      </c>
      <c r="J4" s="67" t="e">
        <f t="shared" si="3"/>
        <v>#N/A</v>
      </c>
      <c r="K4" s="67" t="e">
        <f t="shared" si="3"/>
        <v>#N/A</v>
      </c>
      <c r="L4" s="67" t="e">
        <f t="shared" si="3"/>
        <v>#N/A</v>
      </c>
      <c r="M4" s="67" t="s">
        <v>99</v>
      </c>
      <c r="O4" s="37">
        <v>4</v>
      </c>
      <c r="P4" s="42">
        <f t="shared" si="1"/>
        <v>406</v>
      </c>
      <c r="Q4" s="37">
        <v>4</v>
      </c>
      <c r="S4" s="64" t="s">
        <v>98</v>
      </c>
      <c r="T4" s="62">
        <v>18</v>
      </c>
      <c r="X4" s="58" t="s">
        <v>98</v>
      </c>
      <c r="Y4" s="66" t="e">
        <f>Y3-1</f>
        <v>#N/A</v>
      </c>
      <c r="Z4" s="56">
        <f>T4</f>
        <v>18</v>
      </c>
      <c r="AA4" s="56" t="e">
        <f t="shared" si="2"/>
        <v>#N/A</v>
      </c>
      <c r="AB4" s="55"/>
      <c r="AC4" s="55"/>
    </row>
    <row r="5" spans="1:29" ht="21" customHeight="1" x14ac:dyDescent="0.25">
      <c r="M5" s="65"/>
      <c r="O5" s="37">
        <v>5</v>
      </c>
      <c r="P5" s="42">
        <f t="shared" si="1"/>
        <v>491</v>
      </c>
      <c r="Q5" s="37">
        <v>5</v>
      </c>
      <c r="S5" s="64" t="s">
        <v>97</v>
      </c>
      <c r="T5" s="62">
        <f>SUM(T3:T4)</f>
        <v>85</v>
      </c>
      <c r="X5" s="58" t="s">
        <v>95</v>
      </c>
      <c r="Y5" s="57">
        <v>1</v>
      </c>
      <c r="Z5" s="56">
        <f>T6</f>
        <v>30</v>
      </c>
      <c r="AA5" s="56">
        <f t="shared" si="2"/>
        <v>30</v>
      </c>
      <c r="AB5" s="55"/>
      <c r="AC5" s="55"/>
    </row>
    <row r="6" spans="1:29" ht="21" customHeight="1" x14ac:dyDescent="0.25">
      <c r="A6" s="46" t="s">
        <v>96</v>
      </c>
      <c r="B6" s="63">
        <v>0.5</v>
      </c>
      <c r="C6" s="63">
        <v>0.5</v>
      </c>
      <c r="D6" s="63">
        <v>0.5</v>
      </c>
      <c r="E6" s="63">
        <v>0.5</v>
      </c>
      <c r="F6" s="63">
        <v>0.5</v>
      </c>
      <c r="G6" s="63">
        <v>0.5</v>
      </c>
      <c r="H6" s="63">
        <v>0.5</v>
      </c>
      <c r="I6" s="63">
        <v>0.5</v>
      </c>
      <c r="J6" s="63">
        <v>0.5</v>
      </c>
      <c r="K6" s="63">
        <v>0.5</v>
      </c>
      <c r="L6" s="63">
        <v>0.5</v>
      </c>
      <c r="M6" s="44" t="s">
        <v>93</v>
      </c>
      <c r="O6" s="37">
        <v>6</v>
      </c>
      <c r="P6" s="42">
        <f t="shared" si="1"/>
        <v>576</v>
      </c>
      <c r="Q6" s="37">
        <v>6</v>
      </c>
      <c r="S6" s="62" t="s">
        <v>95</v>
      </c>
      <c r="T6" s="62">
        <v>30</v>
      </c>
      <c r="X6" s="58" t="s">
        <v>92</v>
      </c>
      <c r="Y6" s="57">
        <v>1</v>
      </c>
      <c r="Z6" s="56">
        <f>T7</f>
        <v>30</v>
      </c>
      <c r="AA6" s="56">
        <f t="shared" si="2"/>
        <v>30</v>
      </c>
      <c r="AB6" s="55"/>
      <c r="AC6" s="55"/>
    </row>
    <row r="7" spans="1:29" ht="21" customHeight="1" x14ac:dyDescent="0.25">
      <c r="A7" s="46" t="s">
        <v>94</v>
      </c>
      <c r="B7" s="63">
        <v>0.5</v>
      </c>
      <c r="C7" s="63">
        <v>0.5</v>
      </c>
      <c r="D7" s="63">
        <v>0.5</v>
      </c>
      <c r="E7" s="63">
        <v>0.5</v>
      </c>
      <c r="F7" s="63">
        <v>0.5</v>
      </c>
      <c r="G7" s="63">
        <v>0.5</v>
      </c>
      <c r="H7" s="63">
        <v>0.5</v>
      </c>
      <c r="I7" s="63">
        <v>0.5</v>
      </c>
      <c r="J7" s="63">
        <v>0.5</v>
      </c>
      <c r="K7" s="63">
        <v>0.5</v>
      </c>
      <c r="L7" s="63">
        <v>0.5</v>
      </c>
      <c r="M7" s="44" t="s">
        <v>93</v>
      </c>
      <c r="O7" s="37">
        <v>7</v>
      </c>
      <c r="P7" s="42">
        <f t="shared" si="1"/>
        <v>661</v>
      </c>
      <c r="Q7" s="37">
        <v>7</v>
      </c>
      <c r="S7" s="62" t="s">
        <v>92</v>
      </c>
      <c r="T7" s="62">
        <v>30</v>
      </c>
      <c r="X7" s="58" t="s">
        <v>91</v>
      </c>
      <c r="Y7" s="57">
        <v>1</v>
      </c>
      <c r="Z7" s="56">
        <f>T8</f>
        <v>12</v>
      </c>
      <c r="AA7" s="56">
        <f t="shared" si="2"/>
        <v>12</v>
      </c>
      <c r="AB7" s="55"/>
      <c r="AC7" s="55"/>
    </row>
    <row r="8" spans="1:29" ht="21" customHeight="1" x14ac:dyDescent="0.25">
      <c r="A8" s="46" t="s">
        <v>90</v>
      </c>
      <c r="B8" s="45" t="e">
        <f t="shared" ref="B8:L8" si="4">B2-B3</f>
        <v>#N/A</v>
      </c>
      <c r="C8" s="45" t="e">
        <f t="shared" si="4"/>
        <v>#N/A</v>
      </c>
      <c r="D8" s="45" t="e">
        <f t="shared" si="4"/>
        <v>#N/A</v>
      </c>
      <c r="E8" s="45" t="e">
        <f t="shared" si="4"/>
        <v>#N/A</v>
      </c>
      <c r="F8" s="45" t="e">
        <f t="shared" si="4"/>
        <v>#N/A</v>
      </c>
      <c r="G8" s="45" t="e">
        <f t="shared" si="4"/>
        <v>#N/A</v>
      </c>
      <c r="H8" s="45" t="e">
        <f t="shared" si="4"/>
        <v>#N/A</v>
      </c>
      <c r="I8" s="45" t="e">
        <f t="shared" si="4"/>
        <v>#N/A</v>
      </c>
      <c r="J8" s="45" t="e">
        <f t="shared" si="4"/>
        <v>#N/A</v>
      </c>
      <c r="K8" s="45" t="e">
        <f t="shared" si="4"/>
        <v>#N/A</v>
      </c>
      <c r="L8" s="45" t="e">
        <f t="shared" si="4"/>
        <v>#N/A</v>
      </c>
      <c r="M8" s="44" t="s">
        <v>74</v>
      </c>
      <c r="O8" s="37">
        <v>8</v>
      </c>
      <c r="P8" s="42">
        <f t="shared" si="1"/>
        <v>746</v>
      </c>
      <c r="Q8" s="37">
        <v>8</v>
      </c>
      <c r="S8" s="49" t="s">
        <v>89</v>
      </c>
      <c r="T8" s="49">
        <v>12</v>
      </c>
      <c r="X8" s="58" t="s">
        <v>88</v>
      </c>
      <c r="Y8" s="57">
        <v>1</v>
      </c>
      <c r="Z8" s="56">
        <f>T9</f>
        <v>12</v>
      </c>
      <c r="AA8" s="56">
        <f t="shared" si="2"/>
        <v>12</v>
      </c>
      <c r="AB8" s="55"/>
      <c r="AC8" s="55"/>
    </row>
    <row r="9" spans="1:29" ht="21" customHeight="1" x14ac:dyDescent="0.25">
      <c r="A9" s="46" t="s">
        <v>87</v>
      </c>
      <c r="B9" s="60" t="e">
        <f t="shared" ref="B9:L9" si="5">ROUNDDOWN(B7*B8,0)</f>
        <v>#N/A</v>
      </c>
      <c r="C9" s="60" t="e">
        <f t="shared" si="5"/>
        <v>#N/A</v>
      </c>
      <c r="D9" s="60" t="e">
        <f t="shared" si="5"/>
        <v>#N/A</v>
      </c>
      <c r="E9" s="60" t="e">
        <f t="shared" si="5"/>
        <v>#N/A</v>
      </c>
      <c r="F9" s="60" t="e">
        <f t="shared" si="5"/>
        <v>#N/A</v>
      </c>
      <c r="G9" s="60" t="e">
        <f t="shared" si="5"/>
        <v>#N/A</v>
      </c>
      <c r="H9" s="60" t="e">
        <f t="shared" si="5"/>
        <v>#N/A</v>
      </c>
      <c r="I9" s="60" t="e">
        <f t="shared" si="5"/>
        <v>#N/A</v>
      </c>
      <c r="J9" s="60" t="e">
        <f t="shared" si="5"/>
        <v>#N/A</v>
      </c>
      <c r="K9" s="60" t="e">
        <f t="shared" si="5"/>
        <v>#N/A</v>
      </c>
      <c r="L9" s="60" t="e">
        <f t="shared" si="5"/>
        <v>#N/A</v>
      </c>
      <c r="M9" s="44" t="s">
        <v>74</v>
      </c>
      <c r="O9" s="37">
        <v>9</v>
      </c>
      <c r="P9" s="42">
        <f t="shared" si="1"/>
        <v>831</v>
      </c>
      <c r="Q9" s="37">
        <v>9</v>
      </c>
      <c r="S9" s="49" t="s">
        <v>86</v>
      </c>
      <c r="T9" s="49">
        <v>12</v>
      </c>
      <c r="X9" s="58" t="s">
        <v>85</v>
      </c>
      <c r="Y9" s="61">
        <v>1</v>
      </c>
      <c r="Z9" s="56" t="e">
        <f>B9</f>
        <v>#N/A</v>
      </c>
      <c r="AA9" s="56" t="e">
        <f t="shared" si="2"/>
        <v>#N/A</v>
      </c>
      <c r="AB9" s="55"/>
      <c r="AC9" s="55"/>
    </row>
    <row r="10" spans="1:29" ht="21" customHeight="1" x14ac:dyDescent="0.25">
      <c r="A10" s="46" t="s">
        <v>84</v>
      </c>
      <c r="B10" s="60" t="e">
        <f t="shared" ref="B10:L10" si="6">B8-B9</f>
        <v>#N/A</v>
      </c>
      <c r="C10" s="60" t="e">
        <f t="shared" si="6"/>
        <v>#N/A</v>
      </c>
      <c r="D10" s="60" t="e">
        <f t="shared" si="6"/>
        <v>#N/A</v>
      </c>
      <c r="E10" s="60" t="e">
        <f t="shared" si="6"/>
        <v>#N/A</v>
      </c>
      <c r="F10" s="60" t="e">
        <f t="shared" si="6"/>
        <v>#N/A</v>
      </c>
      <c r="G10" s="60" t="e">
        <f t="shared" si="6"/>
        <v>#N/A</v>
      </c>
      <c r="H10" s="60" t="e">
        <f t="shared" si="6"/>
        <v>#N/A</v>
      </c>
      <c r="I10" s="60" t="e">
        <f t="shared" si="6"/>
        <v>#N/A</v>
      </c>
      <c r="J10" s="60" t="e">
        <f t="shared" si="6"/>
        <v>#N/A</v>
      </c>
      <c r="K10" s="60" t="e">
        <f t="shared" si="6"/>
        <v>#N/A</v>
      </c>
      <c r="L10" s="60" t="e">
        <f t="shared" si="6"/>
        <v>#N/A</v>
      </c>
      <c r="M10" s="44" t="s">
        <v>74</v>
      </c>
      <c r="O10" s="37">
        <v>10</v>
      </c>
      <c r="P10" s="42">
        <f t="shared" si="1"/>
        <v>916</v>
      </c>
      <c r="Q10" s="37">
        <v>10</v>
      </c>
      <c r="S10" s="59" t="s">
        <v>83</v>
      </c>
      <c r="T10" s="59">
        <f>SUM(T6:T9)</f>
        <v>84</v>
      </c>
      <c r="X10" s="58" t="s">
        <v>82</v>
      </c>
      <c r="Y10" s="57">
        <v>1</v>
      </c>
      <c r="Z10" s="56" t="e">
        <f>B10</f>
        <v>#N/A</v>
      </c>
      <c r="AA10" s="56" t="e">
        <f t="shared" si="2"/>
        <v>#N/A</v>
      </c>
      <c r="AB10" s="55"/>
      <c r="AC10" s="55"/>
    </row>
    <row r="11" spans="1:29" ht="21" customHeight="1" x14ac:dyDescent="0.25">
      <c r="A11" s="46" t="s">
        <v>81</v>
      </c>
      <c r="B11" s="45" t="e">
        <f t="shared" ref="B11:L11" si="7">B9+$T$11</f>
        <v>#N/A</v>
      </c>
      <c r="C11" s="45" t="e">
        <f t="shared" si="7"/>
        <v>#N/A</v>
      </c>
      <c r="D11" s="45" t="e">
        <f t="shared" si="7"/>
        <v>#N/A</v>
      </c>
      <c r="E11" s="45" t="e">
        <f t="shared" si="7"/>
        <v>#N/A</v>
      </c>
      <c r="F11" s="45" t="e">
        <f t="shared" si="7"/>
        <v>#N/A</v>
      </c>
      <c r="G11" s="45" t="e">
        <f t="shared" si="7"/>
        <v>#N/A</v>
      </c>
      <c r="H11" s="45" t="e">
        <f t="shared" si="7"/>
        <v>#N/A</v>
      </c>
      <c r="I11" s="45" t="e">
        <f t="shared" si="7"/>
        <v>#N/A</v>
      </c>
      <c r="J11" s="45" t="e">
        <f t="shared" si="7"/>
        <v>#N/A</v>
      </c>
      <c r="K11" s="45" t="e">
        <f t="shared" si="7"/>
        <v>#N/A</v>
      </c>
      <c r="L11" s="45" t="e">
        <f t="shared" si="7"/>
        <v>#N/A</v>
      </c>
      <c r="M11" s="44" t="s">
        <v>74</v>
      </c>
      <c r="O11" s="37">
        <v>11</v>
      </c>
      <c r="P11" s="42">
        <f t="shared" si="1"/>
        <v>1001</v>
      </c>
      <c r="Q11" s="37">
        <v>11</v>
      </c>
      <c r="S11" s="49" t="s">
        <v>80</v>
      </c>
      <c r="T11" s="49">
        <v>6</v>
      </c>
      <c r="X11" s="54" t="s">
        <v>79</v>
      </c>
      <c r="Y11" s="53"/>
      <c r="Z11" s="52"/>
      <c r="AA11" s="52" t="e">
        <f>SUM(AA3:AA10)</f>
        <v>#N/A</v>
      </c>
      <c r="AB11" s="51">
        <f>B2</f>
        <v>0</v>
      </c>
      <c r="AC11" s="50" t="e">
        <f>IF(AB11-AA11=0, "OK", "ERROR")</f>
        <v>#N/A</v>
      </c>
    </row>
    <row r="12" spans="1:29" ht="21" customHeight="1" x14ac:dyDescent="0.25">
      <c r="A12" s="46" t="s">
        <v>78</v>
      </c>
      <c r="B12" s="45" t="e">
        <f t="shared" ref="B12:L12" si="8">B10+$T$12</f>
        <v>#N/A</v>
      </c>
      <c r="C12" s="45" t="e">
        <f t="shared" si="8"/>
        <v>#N/A</v>
      </c>
      <c r="D12" s="45" t="e">
        <f t="shared" si="8"/>
        <v>#N/A</v>
      </c>
      <c r="E12" s="45" t="e">
        <f t="shared" si="8"/>
        <v>#N/A</v>
      </c>
      <c r="F12" s="45" t="e">
        <f t="shared" si="8"/>
        <v>#N/A</v>
      </c>
      <c r="G12" s="45" t="e">
        <f t="shared" si="8"/>
        <v>#N/A</v>
      </c>
      <c r="H12" s="45" t="e">
        <f t="shared" si="8"/>
        <v>#N/A</v>
      </c>
      <c r="I12" s="45" t="e">
        <f t="shared" si="8"/>
        <v>#N/A</v>
      </c>
      <c r="J12" s="45" t="e">
        <f t="shared" si="8"/>
        <v>#N/A</v>
      </c>
      <c r="K12" s="45" t="e">
        <f t="shared" si="8"/>
        <v>#N/A</v>
      </c>
      <c r="L12" s="45" t="e">
        <f t="shared" si="8"/>
        <v>#N/A</v>
      </c>
      <c r="M12" s="44" t="s">
        <v>74</v>
      </c>
      <c r="O12" s="37">
        <v>12</v>
      </c>
      <c r="P12" s="42">
        <f t="shared" si="1"/>
        <v>1086</v>
      </c>
      <c r="Q12" s="37">
        <v>12</v>
      </c>
      <c r="S12" s="49" t="s">
        <v>77</v>
      </c>
      <c r="T12" s="49">
        <v>6</v>
      </c>
    </row>
    <row r="13" spans="1:29" ht="21" customHeight="1" x14ac:dyDescent="0.25">
      <c r="A13" s="48"/>
      <c r="O13" s="37">
        <v>13</v>
      </c>
      <c r="P13" s="42">
        <f t="shared" si="1"/>
        <v>1171</v>
      </c>
      <c r="Q13" s="37">
        <v>13</v>
      </c>
    </row>
    <row r="14" spans="1:29" ht="21" customHeight="1" x14ac:dyDescent="0.25">
      <c r="A14" s="46" t="s">
        <v>76</v>
      </c>
      <c r="B14" s="47" t="e">
        <f t="shared" ref="B14:L14" si="9">B9+$T$9+$T$7</f>
        <v>#N/A</v>
      </c>
      <c r="C14" s="47" t="e">
        <f t="shared" si="9"/>
        <v>#N/A</v>
      </c>
      <c r="D14" s="47" t="e">
        <f t="shared" si="9"/>
        <v>#N/A</v>
      </c>
      <c r="E14" s="47" t="e">
        <f t="shared" si="9"/>
        <v>#N/A</v>
      </c>
      <c r="F14" s="47" t="e">
        <f t="shared" si="9"/>
        <v>#N/A</v>
      </c>
      <c r="G14" s="47" t="e">
        <f t="shared" si="9"/>
        <v>#N/A</v>
      </c>
      <c r="H14" s="47" t="e">
        <f t="shared" si="9"/>
        <v>#N/A</v>
      </c>
      <c r="I14" s="47" t="e">
        <f t="shared" si="9"/>
        <v>#N/A</v>
      </c>
      <c r="J14" s="47" t="e">
        <f t="shared" si="9"/>
        <v>#N/A</v>
      </c>
      <c r="K14" s="47" t="e">
        <f t="shared" si="9"/>
        <v>#N/A</v>
      </c>
      <c r="L14" s="47" t="e">
        <f t="shared" si="9"/>
        <v>#N/A</v>
      </c>
      <c r="M14" s="44" t="s">
        <v>74</v>
      </c>
      <c r="O14" s="37">
        <v>14</v>
      </c>
      <c r="P14" s="42">
        <f t="shared" si="1"/>
        <v>1256</v>
      </c>
      <c r="Q14" s="37">
        <v>14</v>
      </c>
    </row>
    <row r="15" spans="1:29" ht="21" customHeight="1" x14ac:dyDescent="0.25">
      <c r="A15" s="46" t="s">
        <v>75</v>
      </c>
      <c r="B15" s="45" t="e">
        <f t="shared" ref="B15:L15" si="10">B10+$T$8+$T$6</f>
        <v>#N/A</v>
      </c>
      <c r="C15" s="45" t="e">
        <f t="shared" si="10"/>
        <v>#N/A</v>
      </c>
      <c r="D15" s="45" t="e">
        <f t="shared" si="10"/>
        <v>#N/A</v>
      </c>
      <c r="E15" s="45" t="e">
        <f t="shared" si="10"/>
        <v>#N/A</v>
      </c>
      <c r="F15" s="45" t="e">
        <f t="shared" si="10"/>
        <v>#N/A</v>
      </c>
      <c r="G15" s="45" t="e">
        <f t="shared" si="10"/>
        <v>#N/A</v>
      </c>
      <c r="H15" s="45" t="e">
        <f t="shared" si="10"/>
        <v>#N/A</v>
      </c>
      <c r="I15" s="45" t="e">
        <f t="shared" si="10"/>
        <v>#N/A</v>
      </c>
      <c r="J15" s="45" t="e">
        <f t="shared" si="10"/>
        <v>#N/A</v>
      </c>
      <c r="K15" s="45" t="e">
        <f t="shared" si="10"/>
        <v>#N/A</v>
      </c>
      <c r="L15" s="45" t="e">
        <f t="shared" si="10"/>
        <v>#N/A</v>
      </c>
      <c r="M15" s="44" t="s">
        <v>74</v>
      </c>
      <c r="O15" s="37">
        <v>15</v>
      </c>
      <c r="P15" s="42">
        <f t="shared" si="1"/>
        <v>1341</v>
      </c>
      <c r="Q15" s="37">
        <v>15</v>
      </c>
    </row>
    <row r="16" spans="1:29" ht="21" customHeight="1" x14ac:dyDescent="0.25">
      <c r="O16" s="37">
        <v>16</v>
      </c>
      <c r="P16" s="42">
        <f t="shared" si="1"/>
        <v>1426</v>
      </c>
      <c r="Q16" s="37">
        <v>16</v>
      </c>
    </row>
    <row r="17" spans="2:17" s="33" customFormat="1" ht="21" customHeight="1" x14ac:dyDescent="0.25">
      <c r="B17" s="36"/>
      <c r="C17" s="36"/>
      <c r="D17" s="36"/>
      <c r="E17" s="36"/>
      <c r="F17" s="36"/>
      <c r="G17" s="36"/>
      <c r="H17" s="36"/>
      <c r="I17" s="36"/>
      <c r="J17" s="36"/>
      <c r="K17" s="36"/>
      <c r="L17" s="36"/>
      <c r="M17" s="35"/>
      <c r="O17" s="37">
        <v>17</v>
      </c>
      <c r="P17" s="42">
        <f t="shared" si="1"/>
        <v>1511</v>
      </c>
      <c r="Q17" s="37">
        <v>17</v>
      </c>
    </row>
    <row r="18" spans="2:17" s="33" customFormat="1" ht="21" customHeight="1" x14ac:dyDescent="0.25">
      <c r="B18" s="36"/>
      <c r="C18" s="36"/>
      <c r="D18" s="36"/>
      <c r="E18" s="36"/>
      <c r="F18" s="36"/>
      <c r="G18" s="36"/>
      <c r="H18" s="36"/>
      <c r="I18" s="36"/>
      <c r="J18" s="36"/>
      <c r="K18" s="36"/>
      <c r="L18" s="36"/>
      <c r="M18" s="35"/>
      <c r="O18" s="37">
        <v>18</v>
      </c>
      <c r="P18" s="42">
        <f t="shared" si="1"/>
        <v>1596</v>
      </c>
      <c r="Q18" s="37">
        <v>18</v>
      </c>
    </row>
    <row r="19" spans="2:17" s="33" customFormat="1" ht="21" customHeight="1" x14ac:dyDescent="0.25">
      <c r="B19" s="36"/>
      <c r="C19" s="36"/>
      <c r="D19" s="36"/>
      <c r="E19" s="36"/>
      <c r="F19" s="36"/>
      <c r="G19" s="36"/>
      <c r="H19" s="36"/>
      <c r="I19" s="36"/>
      <c r="J19" s="36"/>
      <c r="K19" s="36"/>
      <c r="L19" s="36"/>
      <c r="M19" s="35"/>
      <c r="O19" s="37">
        <v>19</v>
      </c>
      <c r="P19" s="42">
        <f t="shared" si="1"/>
        <v>1681</v>
      </c>
      <c r="Q19" s="37">
        <v>19</v>
      </c>
    </row>
    <row r="20" spans="2:17" s="33" customFormat="1" ht="21" customHeight="1" x14ac:dyDescent="0.25">
      <c r="B20" s="36"/>
      <c r="C20" s="36"/>
      <c r="D20" s="36"/>
      <c r="E20" s="36"/>
      <c r="F20" s="36"/>
      <c r="G20" s="36"/>
      <c r="H20" s="36"/>
      <c r="I20" s="36"/>
      <c r="J20" s="36"/>
      <c r="K20" s="36"/>
      <c r="L20" s="36"/>
      <c r="M20" s="35"/>
      <c r="O20" s="37">
        <v>20</v>
      </c>
      <c r="P20" s="42">
        <f t="shared" si="1"/>
        <v>1766</v>
      </c>
      <c r="Q20" s="37">
        <v>20</v>
      </c>
    </row>
    <row r="21" spans="2:17" s="33" customFormat="1" ht="21" customHeight="1" x14ac:dyDescent="0.25">
      <c r="B21" s="36"/>
      <c r="C21" s="36"/>
      <c r="D21" s="36"/>
      <c r="E21" s="36"/>
      <c r="F21" s="36"/>
      <c r="G21" s="36"/>
      <c r="H21" s="36"/>
      <c r="I21" s="36"/>
      <c r="J21" s="36"/>
      <c r="K21" s="36"/>
      <c r="L21" s="36"/>
      <c r="M21" s="35"/>
      <c r="O21" s="37">
        <v>21</v>
      </c>
      <c r="P21" s="42">
        <f t="shared" si="1"/>
        <v>1851</v>
      </c>
      <c r="Q21" s="37">
        <v>21</v>
      </c>
    </row>
    <row r="22" spans="2:17" s="33" customFormat="1" ht="21" customHeight="1" x14ac:dyDescent="0.25">
      <c r="B22" s="36"/>
      <c r="C22" s="36"/>
      <c r="D22" s="36"/>
      <c r="E22" s="36"/>
      <c r="F22" s="36"/>
      <c r="G22" s="36"/>
      <c r="H22" s="36"/>
      <c r="I22" s="36"/>
      <c r="J22" s="36"/>
      <c r="K22" s="36"/>
      <c r="L22" s="36"/>
      <c r="M22" s="35"/>
      <c r="O22" s="37">
        <v>22</v>
      </c>
      <c r="P22" s="42">
        <f t="shared" si="1"/>
        <v>1936</v>
      </c>
      <c r="Q22" s="37">
        <v>22</v>
      </c>
    </row>
    <row r="23" spans="2:17" s="33" customFormat="1" ht="21" customHeight="1" x14ac:dyDescent="0.25">
      <c r="B23" s="36"/>
      <c r="C23" s="36"/>
      <c r="D23" s="36"/>
      <c r="E23" s="36"/>
      <c r="F23" s="36"/>
      <c r="G23" s="36"/>
      <c r="H23" s="36"/>
      <c r="I23" s="36"/>
      <c r="J23" s="36"/>
      <c r="K23" s="36"/>
      <c r="L23" s="36"/>
      <c r="M23" s="35"/>
      <c r="O23" s="37">
        <v>23</v>
      </c>
      <c r="P23" s="42">
        <f t="shared" si="1"/>
        <v>2021</v>
      </c>
      <c r="Q23" s="37">
        <v>23</v>
      </c>
    </row>
    <row r="24" spans="2:17" s="33" customFormat="1" ht="21" customHeight="1" x14ac:dyDescent="0.25">
      <c r="B24" s="36"/>
      <c r="C24" s="36"/>
      <c r="D24" s="36"/>
      <c r="E24" s="36"/>
      <c r="F24" s="36"/>
      <c r="G24" s="36"/>
      <c r="H24" s="36"/>
      <c r="I24" s="36"/>
      <c r="J24" s="36"/>
      <c r="K24" s="36"/>
      <c r="L24" s="36"/>
      <c r="M24" s="35"/>
      <c r="O24" s="37">
        <v>24</v>
      </c>
      <c r="P24" s="42">
        <f t="shared" si="1"/>
        <v>2106</v>
      </c>
      <c r="Q24" s="37">
        <v>24</v>
      </c>
    </row>
    <row r="25" spans="2:17" s="33" customFormat="1" ht="21" customHeight="1" x14ac:dyDescent="0.25">
      <c r="B25" s="36"/>
      <c r="C25" s="36"/>
      <c r="D25" s="36"/>
      <c r="E25" s="36"/>
      <c r="F25" s="36"/>
      <c r="G25" s="36"/>
      <c r="H25" s="36"/>
      <c r="I25" s="36"/>
      <c r="J25" s="36"/>
      <c r="K25" s="36"/>
      <c r="L25" s="36"/>
      <c r="M25" s="35"/>
      <c r="O25" s="37">
        <v>25</v>
      </c>
      <c r="P25" s="42">
        <f t="shared" si="1"/>
        <v>2191</v>
      </c>
      <c r="Q25" s="37">
        <v>25</v>
      </c>
    </row>
    <row r="26" spans="2:17" s="33" customFormat="1" ht="21" customHeight="1" x14ac:dyDescent="0.25">
      <c r="B26" s="36"/>
      <c r="C26" s="36"/>
      <c r="D26" s="36"/>
      <c r="E26" s="36"/>
      <c r="F26" s="36"/>
      <c r="G26" s="36"/>
      <c r="H26" s="36"/>
      <c r="I26" s="36"/>
      <c r="J26" s="36"/>
      <c r="K26" s="36"/>
      <c r="L26" s="36"/>
      <c r="M26" s="35"/>
      <c r="O26" s="37">
        <v>26</v>
      </c>
      <c r="P26" s="42">
        <f t="shared" si="1"/>
        <v>2276</v>
      </c>
      <c r="Q26" s="37">
        <v>26</v>
      </c>
    </row>
    <row r="27" spans="2:17" s="33" customFormat="1" ht="21" customHeight="1" x14ac:dyDescent="0.25">
      <c r="B27" s="41"/>
      <c r="C27" s="41"/>
      <c r="D27" s="41"/>
      <c r="E27" s="41"/>
      <c r="F27" s="41"/>
      <c r="G27" s="41"/>
      <c r="H27" s="41"/>
      <c r="I27" s="41"/>
      <c r="J27" s="41"/>
      <c r="K27" s="41"/>
      <c r="L27" s="41"/>
      <c r="M27" s="40"/>
      <c r="N27" s="40"/>
      <c r="O27" s="37">
        <v>27</v>
      </c>
      <c r="P27" s="42">
        <f t="shared" si="1"/>
        <v>2361</v>
      </c>
      <c r="Q27" s="37">
        <v>27</v>
      </c>
    </row>
    <row r="28" spans="2:17" s="33" customFormat="1" ht="21" customHeight="1" x14ac:dyDescent="0.25">
      <c r="B28" s="43"/>
      <c r="C28" s="43"/>
      <c r="D28" s="43"/>
      <c r="E28" s="43"/>
      <c r="F28" s="43"/>
      <c r="G28" s="43"/>
      <c r="H28" s="43"/>
      <c r="I28" s="43"/>
      <c r="J28" s="43"/>
      <c r="K28" s="43"/>
      <c r="L28" s="43"/>
      <c r="M28" s="40"/>
      <c r="N28" s="40"/>
      <c r="O28" s="37">
        <v>28</v>
      </c>
      <c r="P28" s="42">
        <f t="shared" si="1"/>
        <v>2446</v>
      </c>
      <c r="Q28" s="37">
        <v>28</v>
      </c>
    </row>
    <row r="29" spans="2:17" s="33" customFormat="1" ht="21" customHeight="1" x14ac:dyDescent="0.25">
      <c r="B29" s="43"/>
      <c r="C29" s="43"/>
      <c r="D29" s="43"/>
      <c r="E29" s="43"/>
      <c r="F29" s="43"/>
      <c r="G29" s="43"/>
      <c r="H29" s="43"/>
      <c r="I29" s="43"/>
      <c r="J29" s="43"/>
      <c r="K29" s="43"/>
      <c r="L29" s="43"/>
      <c r="M29" s="40"/>
      <c r="N29" s="40"/>
      <c r="O29" s="37">
        <v>29</v>
      </c>
      <c r="P29" s="42">
        <f t="shared" si="1"/>
        <v>2531</v>
      </c>
      <c r="Q29" s="37">
        <v>29</v>
      </c>
    </row>
    <row r="30" spans="2:17" s="33" customFormat="1" ht="21" customHeight="1" x14ac:dyDescent="0.25">
      <c r="B30" s="41"/>
      <c r="C30" s="41"/>
      <c r="D30" s="41"/>
      <c r="E30" s="41"/>
      <c r="F30" s="41"/>
      <c r="G30" s="41"/>
      <c r="H30" s="41"/>
      <c r="I30" s="41"/>
      <c r="J30" s="41"/>
      <c r="K30" s="41"/>
      <c r="L30" s="41"/>
      <c r="M30" s="40"/>
      <c r="N30" s="40"/>
      <c r="O30" s="37">
        <v>30</v>
      </c>
      <c r="P30" s="42">
        <f t="shared" si="1"/>
        <v>2616</v>
      </c>
      <c r="Q30" s="37">
        <v>30</v>
      </c>
    </row>
    <row r="31" spans="2:17" s="33" customFormat="1" ht="21" customHeight="1" x14ac:dyDescent="0.25">
      <c r="B31" s="41"/>
      <c r="C31" s="41"/>
      <c r="D31" s="41"/>
      <c r="E31" s="41"/>
      <c r="F31" s="41"/>
      <c r="G31" s="41"/>
      <c r="H31" s="41"/>
      <c r="I31" s="41"/>
      <c r="J31" s="41"/>
      <c r="K31" s="41"/>
      <c r="L31" s="41"/>
      <c r="M31" s="40"/>
      <c r="N31" s="40"/>
      <c r="O31" s="37">
        <v>31</v>
      </c>
      <c r="P31" s="42">
        <f t="shared" si="1"/>
        <v>2701</v>
      </c>
      <c r="Q31" s="37">
        <v>31</v>
      </c>
    </row>
    <row r="32" spans="2:17" s="33" customFormat="1" ht="21" customHeight="1" x14ac:dyDescent="0.25">
      <c r="B32" s="41"/>
      <c r="C32" s="41"/>
      <c r="D32" s="41"/>
      <c r="E32" s="41"/>
      <c r="F32" s="41"/>
      <c r="G32" s="41"/>
      <c r="H32" s="41"/>
      <c r="I32" s="41"/>
      <c r="J32" s="41"/>
      <c r="K32" s="41"/>
      <c r="L32" s="41"/>
      <c r="M32" s="40"/>
      <c r="N32" s="40"/>
      <c r="O32" s="39"/>
      <c r="P32" s="38"/>
      <c r="Q32" s="37"/>
    </row>
    <row r="33" spans="2:17" s="33" customFormat="1" ht="21" customHeight="1" x14ac:dyDescent="0.25">
      <c r="B33" s="41"/>
      <c r="C33" s="41"/>
      <c r="D33" s="41"/>
      <c r="E33" s="41"/>
      <c r="F33" s="41"/>
      <c r="G33" s="41"/>
      <c r="H33" s="41"/>
      <c r="I33" s="41"/>
      <c r="J33" s="41"/>
      <c r="K33" s="41"/>
      <c r="L33" s="41"/>
      <c r="M33" s="40"/>
      <c r="N33" s="40"/>
      <c r="O33" s="39"/>
      <c r="P33" s="38"/>
      <c r="Q33" s="37"/>
    </row>
    <row r="34" spans="2:17" s="33" customFormat="1" ht="21" customHeight="1" x14ac:dyDescent="0.25">
      <c r="B34" s="41"/>
      <c r="C34" s="41"/>
      <c r="D34" s="41"/>
      <c r="E34" s="41"/>
      <c r="F34" s="41"/>
      <c r="G34" s="41"/>
      <c r="H34" s="41"/>
      <c r="I34" s="41"/>
      <c r="J34" s="41"/>
      <c r="K34" s="41"/>
      <c r="L34" s="41"/>
      <c r="M34" s="40"/>
      <c r="N34" s="40"/>
      <c r="O34" s="39"/>
      <c r="P34" s="38"/>
      <c r="Q34" s="37"/>
    </row>
    <row r="35" spans="2:17" s="33" customFormat="1" ht="21" customHeight="1" x14ac:dyDescent="0.25">
      <c r="B35" s="36"/>
      <c r="C35" s="36"/>
      <c r="D35" s="36"/>
      <c r="E35" s="36"/>
      <c r="F35" s="36"/>
      <c r="G35" s="36"/>
      <c r="H35" s="36"/>
      <c r="I35" s="36"/>
      <c r="J35" s="36"/>
      <c r="K35" s="36"/>
      <c r="L35" s="36"/>
      <c r="M35" s="35"/>
      <c r="O35" s="39"/>
      <c r="P35" s="38"/>
      <c r="Q35" s="37"/>
    </row>
    <row r="36" spans="2:17" s="33" customFormat="1" ht="21" customHeight="1" x14ac:dyDescent="0.25">
      <c r="B36" s="36"/>
      <c r="C36" s="36"/>
      <c r="D36" s="36"/>
      <c r="E36" s="36"/>
      <c r="F36" s="36"/>
      <c r="G36" s="36"/>
      <c r="H36" s="36"/>
      <c r="I36" s="36"/>
      <c r="J36" s="36"/>
      <c r="K36" s="36"/>
      <c r="L36" s="36"/>
      <c r="M36" s="35"/>
      <c r="O36" s="39"/>
      <c r="P36" s="38"/>
      <c r="Q36" s="37"/>
    </row>
    <row r="37" spans="2:17" s="33" customFormat="1" ht="21" customHeight="1" x14ac:dyDescent="0.25">
      <c r="B37" s="36"/>
      <c r="C37" s="36"/>
      <c r="D37" s="36"/>
      <c r="E37" s="36"/>
      <c r="F37" s="36"/>
      <c r="G37" s="36"/>
      <c r="H37" s="36"/>
      <c r="I37" s="36"/>
      <c r="J37" s="36"/>
      <c r="K37" s="36"/>
      <c r="L37" s="36"/>
      <c r="M37" s="35"/>
      <c r="O37" s="39"/>
      <c r="P37" s="38"/>
      <c r="Q37" s="37"/>
    </row>
    <row r="38" spans="2:17" s="33" customFormat="1" ht="21" customHeight="1" x14ac:dyDescent="0.25">
      <c r="B38" s="36"/>
      <c r="C38" s="36"/>
      <c r="D38" s="36"/>
      <c r="E38" s="36"/>
      <c r="F38" s="36"/>
      <c r="G38" s="36"/>
      <c r="H38" s="36"/>
      <c r="I38" s="36"/>
      <c r="J38" s="36"/>
      <c r="K38" s="36"/>
      <c r="L38" s="36"/>
      <c r="M38" s="35"/>
      <c r="O38" s="39"/>
      <c r="P38" s="38"/>
      <c r="Q38" s="37"/>
    </row>
    <row r="39" spans="2:17" s="33" customFormat="1" ht="21" customHeight="1" x14ac:dyDescent="0.25">
      <c r="B39" s="36"/>
      <c r="C39" s="36"/>
      <c r="D39" s="36"/>
      <c r="E39" s="36"/>
      <c r="F39" s="36"/>
      <c r="G39" s="36"/>
      <c r="H39" s="36"/>
      <c r="I39" s="36"/>
      <c r="J39" s="36"/>
      <c r="K39" s="36"/>
      <c r="L39" s="36"/>
      <c r="M39" s="35"/>
      <c r="O39" s="39"/>
      <c r="P39" s="38"/>
      <c r="Q39" s="37"/>
    </row>
    <row r="40" spans="2:17" s="33" customFormat="1" ht="21" customHeight="1" x14ac:dyDescent="0.25">
      <c r="B40" s="36"/>
      <c r="C40" s="36"/>
      <c r="D40" s="36"/>
      <c r="E40" s="36"/>
      <c r="F40" s="36"/>
      <c r="G40" s="36"/>
      <c r="H40" s="36"/>
      <c r="I40" s="36"/>
      <c r="J40" s="36"/>
      <c r="K40" s="36"/>
      <c r="L40" s="36"/>
      <c r="M40" s="35"/>
      <c r="O40" s="39"/>
      <c r="P40" s="38"/>
      <c r="Q40" s="37"/>
    </row>
    <row r="41" spans="2:17" s="33" customFormat="1" ht="21" customHeight="1" x14ac:dyDescent="0.25">
      <c r="B41" s="36"/>
      <c r="C41" s="36"/>
      <c r="D41" s="36"/>
      <c r="E41" s="36"/>
      <c r="F41" s="36"/>
      <c r="G41" s="36"/>
      <c r="H41" s="36"/>
      <c r="I41" s="36"/>
      <c r="J41" s="36"/>
      <c r="K41" s="36"/>
      <c r="L41" s="36"/>
      <c r="M41" s="35"/>
      <c r="O41" s="39"/>
      <c r="P41" s="38"/>
      <c r="Q41" s="37"/>
    </row>
    <row r="42" spans="2:17" s="33" customFormat="1" ht="21" customHeight="1" x14ac:dyDescent="0.25">
      <c r="B42" s="36"/>
      <c r="C42" s="36"/>
      <c r="D42" s="36"/>
      <c r="E42" s="36"/>
      <c r="F42" s="36"/>
      <c r="G42" s="36"/>
      <c r="H42" s="36"/>
      <c r="I42" s="36"/>
      <c r="J42" s="36"/>
      <c r="K42" s="36"/>
      <c r="L42" s="36"/>
      <c r="M42" s="35"/>
      <c r="O42" s="39"/>
      <c r="P42" s="38"/>
      <c r="Q42" s="37"/>
    </row>
    <row r="43" spans="2:17" s="33" customFormat="1" ht="21" customHeight="1" x14ac:dyDescent="0.25">
      <c r="B43" s="36"/>
      <c r="C43" s="36"/>
      <c r="D43" s="36"/>
      <c r="E43" s="36"/>
      <c r="F43" s="36"/>
      <c r="G43" s="36"/>
      <c r="H43" s="36"/>
      <c r="I43" s="36"/>
      <c r="J43" s="36"/>
      <c r="K43" s="36"/>
      <c r="L43" s="36"/>
      <c r="M43" s="35"/>
      <c r="O43" s="39"/>
      <c r="P43" s="38"/>
      <c r="Q43" s="37"/>
    </row>
    <row r="44" spans="2:17" s="33" customFormat="1" ht="21" customHeight="1" x14ac:dyDescent="0.25">
      <c r="B44" s="36"/>
      <c r="C44" s="36"/>
      <c r="D44" s="36"/>
      <c r="E44" s="36"/>
      <c r="F44" s="36"/>
      <c r="G44" s="36"/>
      <c r="H44" s="36"/>
      <c r="I44" s="36"/>
      <c r="J44" s="36"/>
      <c r="K44" s="36"/>
      <c r="L44" s="36"/>
      <c r="M44" s="35"/>
      <c r="O44" s="39"/>
      <c r="P44" s="38"/>
      <c r="Q44" s="37"/>
    </row>
    <row r="45" spans="2:17" s="33" customFormat="1" ht="21" customHeight="1" x14ac:dyDescent="0.25">
      <c r="B45" s="36"/>
      <c r="C45" s="36"/>
      <c r="D45" s="36"/>
      <c r="E45" s="36"/>
      <c r="F45" s="36"/>
      <c r="G45" s="36"/>
      <c r="H45" s="36"/>
      <c r="I45" s="36"/>
      <c r="J45" s="36"/>
      <c r="K45" s="36"/>
      <c r="L45" s="36"/>
      <c r="M45" s="35"/>
      <c r="O45" s="39"/>
      <c r="P45" s="38"/>
      <c r="Q45" s="37"/>
    </row>
    <row r="46" spans="2:17" s="33" customFormat="1" ht="21" customHeight="1" x14ac:dyDescent="0.25">
      <c r="B46" s="36"/>
      <c r="C46" s="36"/>
      <c r="D46" s="36"/>
      <c r="E46" s="36"/>
      <c r="F46" s="36"/>
      <c r="G46" s="36"/>
      <c r="H46" s="36"/>
      <c r="I46" s="36"/>
      <c r="J46" s="36"/>
      <c r="K46" s="36"/>
      <c r="L46" s="36"/>
      <c r="M46" s="35"/>
      <c r="O46" s="39"/>
      <c r="P46" s="38"/>
      <c r="Q46" s="37"/>
    </row>
    <row r="47" spans="2:17" s="33" customFormat="1" ht="21" customHeight="1" x14ac:dyDescent="0.25">
      <c r="B47" s="36"/>
      <c r="C47" s="36"/>
      <c r="D47" s="36"/>
      <c r="E47" s="36"/>
      <c r="F47" s="36"/>
      <c r="G47" s="36"/>
      <c r="H47" s="36"/>
      <c r="I47" s="36"/>
      <c r="J47" s="36"/>
      <c r="K47" s="36"/>
      <c r="L47" s="36"/>
      <c r="M47" s="35"/>
      <c r="O47" s="39"/>
      <c r="P47" s="38"/>
      <c r="Q47" s="37"/>
    </row>
    <row r="48" spans="2:17" s="33" customFormat="1" ht="21" customHeight="1" x14ac:dyDescent="0.25">
      <c r="B48" s="36"/>
      <c r="C48" s="36"/>
      <c r="D48" s="36"/>
      <c r="E48" s="36"/>
      <c r="F48" s="36"/>
      <c r="G48" s="36"/>
      <c r="H48" s="36"/>
      <c r="I48" s="36"/>
      <c r="J48" s="36"/>
      <c r="K48" s="36"/>
      <c r="L48" s="36"/>
      <c r="M48" s="35"/>
      <c r="O48" s="39"/>
      <c r="P48" s="38"/>
      <c r="Q48" s="37"/>
    </row>
    <row r="49" spans="15:17" s="33" customFormat="1" ht="21" customHeight="1" x14ac:dyDescent="0.25">
      <c r="O49" s="39"/>
      <c r="P49" s="38"/>
      <c r="Q49" s="37"/>
    </row>
    <row r="50" spans="15:17" s="33" customFormat="1" ht="21" customHeight="1" x14ac:dyDescent="0.25">
      <c r="O50" s="39"/>
      <c r="P50" s="38"/>
      <c r="Q50" s="37"/>
    </row>
    <row r="51" spans="15:17" s="33" customFormat="1" ht="21" customHeight="1" x14ac:dyDescent="0.25">
      <c r="O51" s="39"/>
      <c r="P51" s="38"/>
      <c r="Q51" s="37"/>
    </row>
    <row r="52" spans="15:17" s="33" customFormat="1" ht="21" customHeight="1" x14ac:dyDescent="0.25">
      <c r="O52" s="39"/>
      <c r="P52" s="38"/>
      <c r="Q52" s="37"/>
    </row>
    <row r="53" spans="15:17" s="33" customFormat="1" ht="21" customHeight="1" x14ac:dyDescent="0.25">
      <c r="O53" s="39"/>
      <c r="P53" s="38"/>
      <c r="Q53" s="37"/>
    </row>
    <row r="54" spans="15:17" s="33" customFormat="1" ht="21" customHeight="1" x14ac:dyDescent="0.25">
      <c r="O54" s="39"/>
      <c r="P54" s="38"/>
      <c r="Q54" s="37"/>
    </row>
    <row r="55" spans="15:17" s="33" customFormat="1" ht="21" customHeight="1" x14ac:dyDescent="0.25">
      <c r="O55" s="39"/>
      <c r="P55" s="38"/>
      <c r="Q55" s="37"/>
    </row>
    <row r="56" spans="15:17" s="33" customFormat="1" ht="21" customHeight="1" x14ac:dyDescent="0.25">
      <c r="O56" s="39"/>
      <c r="P56" s="38"/>
      <c r="Q56" s="37"/>
    </row>
    <row r="57" spans="15:17" s="33" customFormat="1" ht="21" customHeight="1" x14ac:dyDescent="0.25">
      <c r="O57" s="39"/>
      <c r="P57" s="38"/>
      <c r="Q57" s="37"/>
    </row>
    <row r="58" spans="15:17" s="33" customFormat="1" ht="21" customHeight="1" x14ac:dyDescent="0.25">
      <c r="O58" s="39"/>
      <c r="P58" s="38"/>
      <c r="Q58" s="37"/>
    </row>
    <row r="59" spans="15:17" s="33" customFormat="1" ht="21" customHeight="1" x14ac:dyDescent="0.25">
      <c r="O59" s="39"/>
      <c r="P59" s="38"/>
      <c r="Q59" s="37"/>
    </row>
    <row r="60" spans="15:17" s="33" customFormat="1" ht="21" customHeight="1" x14ac:dyDescent="0.25">
      <c r="O60" s="39"/>
      <c r="P60" s="38"/>
      <c r="Q60" s="37"/>
    </row>
    <row r="61" spans="15:17" s="33" customFormat="1" ht="21" customHeight="1" x14ac:dyDescent="0.25">
      <c r="O61" s="39"/>
      <c r="P61" s="38"/>
      <c r="Q61" s="37"/>
    </row>
    <row r="62" spans="15:17" s="33" customFormat="1" ht="21" customHeight="1" x14ac:dyDescent="0.25">
      <c r="O62" s="39"/>
      <c r="P62" s="38"/>
      <c r="Q62" s="37"/>
    </row>
    <row r="63" spans="15:17" s="33" customFormat="1" ht="21" customHeight="1" x14ac:dyDescent="0.25">
      <c r="O63" s="39"/>
      <c r="P63" s="38"/>
      <c r="Q63" s="37"/>
    </row>
    <row r="64" spans="15:17" s="33" customFormat="1" ht="21" customHeight="1" x14ac:dyDescent="0.25">
      <c r="O64" s="39"/>
      <c r="P64" s="38"/>
      <c r="Q64" s="37"/>
    </row>
    <row r="65" s="33" customFormat="1" ht="21" customHeight="1" x14ac:dyDescent="0.25"/>
    <row r="66" s="33" customFormat="1" ht="21" customHeight="1" x14ac:dyDescent="0.25"/>
  </sheetData>
  <mergeCells count="1">
    <mergeCell ref="S2:T2"/>
  </mergeCells>
  <conditionalFormatting sqref="AC11">
    <cfRule type="containsText" dxfId="1" priority="1" operator="containsText" text="ERROR">
      <formula>NOT(ISERROR(SEARCH("ERROR",AC11)))</formula>
    </cfRule>
    <cfRule type="containsText" dxfId="0" priority="2" operator="containsText" text="OK">
      <formula>NOT(ISERROR(SEARCH("OK",AC11)))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109</vt:i4>
      </vt:variant>
    </vt:vector>
  </HeadingPairs>
  <TitlesOfParts>
    <vt:vector size="116" baseType="lpstr">
      <vt:lpstr>Stores &amp; Delivery Addresses </vt:lpstr>
      <vt:lpstr>Summary</vt:lpstr>
      <vt:lpstr>Eco Aluminium External Shutters</vt:lpstr>
      <vt:lpstr>Aluminium Screen</vt:lpstr>
      <vt:lpstr>Data</vt:lpstr>
      <vt:lpstr>Privacy Screen Data</vt:lpstr>
      <vt:lpstr>Calculation Sheet</vt:lpstr>
      <vt:lpstr>_63mm114mmProductInMS</vt:lpstr>
      <vt:lpstr>_63mm114mmProductOut</vt:lpstr>
      <vt:lpstr>AlumimiumExternalLiteColour</vt:lpstr>
      <vt:lpstr>AluminiumBiFoldLayoutCodes</vt:lpstr>
      <vt:lpstr>AluminiumColours</vt:lpstr>
      <vt:lpstr>AluminiumDoubleHingedLayoutCodes</vt:lpstr>
      <vt:lpstr>AluminiumExtraHardwares</vt:lpstr>
      <vt:lpstr>AluminiumExtras</vt:lpstr>
      <vt:lpstr>AluminiumExtrasLimitedColours</vt:lpstr>
      <vt:lpstr>AluminiumFixedLayoutCodes</vt:lpstr>
      <vt:lpstr>AluminiumHingedLayoutCodes</vt:lpstr>
      <vt:lpstr>AluminiumNALayoutCodes</vt:lpstr>
      <vt:lpstr>AluminiumPivotHingedLayoutCodes</vt:lpstr>
      <vt:lpstr>AluminiumProductAll</vt:lpstr>
      <vt:lpstr>AluminiumProductInOut</vt:lpstr>
      <vt:lpstr>AluminiumScreenExtraColourExtraEAngle140mm40mm</vt:lpstr>
      <vt:lpstr>AluminiumScreenExtraColourExtraFAngle240mmx20mm</vt:lpstr>
      <vt:lpstr>AluminiumScreenExtraColourExtraGAngle325mmx20mm</vt:lpstr>
      <vt:lpstr>AluminiumScreenExtraColourExtraHAngle420mmx12mm</vt:lpstr>
      <vt:lpstr>AluminiumScreenExtraColourHFrame65mmx533mm</vt:lpstr>
      <vt:lpstr>AluminiumScreenExtraColourMountingBracket</vt:lpstr>
      <vt:lpstr>AluminiumScreenExtraColourStainlessSteelHinge</vt:lpstr>
      <vt:lpstr>AluminiumScreenExtraColourUChannel536mmx30mm</vt:lpstr>
      <vt:lpstr>AluminiumSlidingLayoutCodes</vt:lpstr>
      <vt:lpstr>AluminiumSpecialComments</vt:lpstr>
      <vt:lpstr>BiFoldFrames</vt:lpstr>
      <vt:lpstr>BiFoldFramesLeftRight</vt:lpstr>
      <vt:lpstr>Colour</vt:lpstr>
      <vt:lpstr>Delivery_Address</vt:lpstr>
      <vt:lpstr>EcoExternalAluminiumColour</vt:lpstr>
      <vt:lpstr>EcoExternalAluminiumColourAll</vt:lpstr>
      <vt:lpstr>ExternalMoutingMethodIN</vt:lpstr>
      <vt:lpstr>ExternalMoutingMethodMS</vt:lpstr>
      <vt:lpstr>ExternalMoutingMethodOUT</vt:lpstr>
      <vt:lpstr>ExternalShapedMountingMethodIn</vt:lpstr>
      <vt:lpstr>ExternalShapedMountingMethodOut</vt:lpstr>
      <vt:lpstr>ExternalWindowType</vt:lpstr>
      <vt:lpstr>FixedFrames</vt:lpstr>
      <vt:lpstr>FlushBoltBiFoldSlinding</vt:lpstr>
      <vt:lpstr>FlushBoltHinged</vt:lpstr>
      <vt:lpstr>FlushBoltLocationNA</vt:lpstr>
      <vt:lpstr>FlushBoltNA</vt:lpstr>
      <vt:lpstr>FlushBoltYes</vt:lpstr>
      <vt:lpstr>FrameBiFold</vt:lpstr>
      <vt:lpstr>FrameFixed</vt:lpstr>
      <vt:lpstr>FrameHinged</vt:lpstr>
      <vt:lpstr>'Eco Aluminium External Shutters'!FrameNA</vt:lpstr>
      <vt:lpstr>FrameNA</vt:lpstr>
      <vt:lpstr>FrameSliding</vt:lpstr>
      <vt:lpstr>FZFrameLeftRight</vt:lpstr>
      <vt:lpstr>HandleLockYes</vt:lpstr>
      <vt:lpstr>Hardware</vt:lpstr>
      <vt:lpstr>HingeColourBiFold</vt:lpstr>
      <vt:lpstr>HingeColourFixed</vt:lpstr>
      <vt:lpstr>HingeColourHinged</vt:lpstr>
      <vt:lpstr>HingeColourIN</vt:lpstr>
      <vt:lpstr>HingeColourMS</vt:lpstr>
      <vt:lpstr>HingeColourNA</vt:lpstr>
      <vt:lpstr>HingeColourNo</vt:lpstr>
      <vt:lpstr>HingeColourOUT</vt:lpstr>
      <vt:lpstr>HingeColourSliding</vt:lpstr>
      <vt:lpstr>HingeColourYes</vt:lpstr>
      <vt:lpstr>HingedDoubleHingedFrames</vt:lpstr>
      <vt:lpstr>IN</vt:lpstr>
      <vt:lpstr>IN_1</vt:lpstr>
      <vt:lpstr>IN_2</vt:lpstr>
      <vt:lpstr>IN_3</vt:lpstr>
      <vt:lpstr>Item</vt:lpstr>
      <vt:lpstr>KeyLock</vt:lpstr>
      <vt:lpstr>Line_Item_Number</vt:lpstr>
      <vt:lpstr>LockBiFold</vt:lpstr>
      <vt:lpstr>LockFixed</vt:lpstr>
      <vt:lpstr>LockHinged</vt:lpstr>
      <vt:lpstr>LockNA</vt:lpstr>
      <vt:lpstr>LockSliding</vt:lpstr>
      <vt:lpstr>LourveLock</vt:lpstr>
      <vt:lpstr>MS</vt:lpstr>
      <vt:lpstr>MS_1</vt:lpstr>
      <vt:lpstr>MS_2</vt:lpstr>
      <vt:lpstr>MS_3</vt:lpstr>
      <vt:lpstr>NoShapes</vt:lpstr>
      <vt:lpstr>OUT</vt:lpstr>
      <vt:lpstr>OUT_1</vt:lpstr>
      <vt:lpstr>OUT_2</vt:lpstr>
      <vt:lpstr>OUT_3</vt:lpstr>
      <vt:lpstr>Pacific_Sales_Coordinator</vt:lpstr>
      <vt:lpstr>PanelOnly</vt:lpstr>
      <vt:lpstr>PivotHingedFrames</vt:lpstr>
      <vt:lpstr>'Aluminium Screen'!Print_Area</vt:lpstr>
      <vt:lpstr>'Eco Aluminium External Shutters'!Print_Area</vt:lpstr>
      <vt:lpstr>Quantity</vt:lpstr>
      <vt:lpstr>SecurityLock</vt:lpstr>
      <vt:lpstr>SecurityLockNA</vt:lpstr>
      <vt:lpstr>SecurityLockNo</vt:lpstr>
      <vt:lpstr>SecurityLockYes</vt:lpstr>
      <vt:lpstr>Shaped</vt:lpstr>
      <vt:lpstr>SlidingFrames</vt:lpstr>
      <vt:lpstr>SlidingFramesLeftRight</vt:lpstr>
      <vt:lpstr>SlidingTopFrame</vt:lpstr>
      <vt:lpstr>SliidingBottomFrame</vt:lpstr>
      <vt:lpstr>SpecialComments1</vt:lpstr>
      <vt:lpstr>SpecialComments2</vt:lpstr>
      <vt:lpstr>StainlessSteelHingeOnly</vt:lpstr>
      <vt:lpstr>Store_Name</vt:lpstr>
      <vt:lpstr>THPost</vt:lpstr>
      <vt:lpstr>TiltPrivacy</vt:lpstr>
      <vt:lpstr>TiltrodBoth</vt:lpstr>
      <vt:lpstr>TopBottomYes</vt:lpstr>
      <vt:lpstr>UChannelLeftRight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Pacific Wholesale Distributors</dc:creator>
  <cp:lastModifiedBy>Tony Sinke</cp:lastModifiedBy>
  <cp:lastPrinted>2026-06-12T01:04:50Z</cp:lastPrinted>
  <dcterms:created xsi:type="dcterms:W3CDTF">2019-02-06T04:53:51Z</dcterms:created>
  <dcterms:modified xsi:type="dcterms:W3CDTF">2026-06-12T01:04:53Z</dcterms:modified>
</cp:coreProperties>
</file>