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C:\Users\Tony Sinke\Desktop\"/>
    </mc:Choice>
  </mc:AlternateContent>
  <xr:revisionPtr revIDLastSave="0" documentId="13_ncr:1_{5F558941-51F5-4F17-9592-132210D1A530}" xr6:coauthVersionLast="46" xr6:coauthVersionMax="46" xr10:uidLastSave="{00000000-0000-0000-0000-000000000000}"/>
  <workbookProtection workbookAlgorithmName="SHA-512" workbookHashValue="0+4/iVDjSIUTiRi/vrwAEFSJUvG7Xk+DddE6tkgoZFH59DnkL9rVPLE5+JoUpjQNvcIhuwMSYgY4mRaOAH1iQw==" workbookSaltValue="rKe7+EMR+qbhcLVE7Ckwtw==" workbookSpinCount="100000" lockStructure="1"/>
  <bookViews>
    <workbookView xWindow="28680" yWindow="-120" windowWidth="38640" windowHeight="21240" tabRatio="649" activeTab="1" xr2:uid="{00000000-000D-0000-FFFF-FFFF00000000}"/>
  </bookViews>
  <sheets>
    <sheet name="Stores &amp; Delivery Addresses " sheetId="24" r:id="rId1"/>
    <sheet name="Summary" sheetId="18" r:id="rId2"/>
    <sheet name="25mm Aluminium Blinds" sheetId="13" state="hidden" r:id="rId3"/>
    <sheet name="Roller Blinds" sheetId="8" state="hidden" r:id="rId4"/>
    <sheet name="Vertical Blinds" sheetId="15" state="hidden" r:id="rId5"/>
    <sheet name="50mm &amp; 63mm Venetian Blinds" sheetId="14" r:id="rId6"/>
    <sheet name="Cellular Blinds" sheetId="21" r:id="rId7"/>
    <sheet name="Panel Glide Blinds" sheetId="22" state="hidden" r:id="rId8"/>
    <sheet name="Transition Blinds &amp; Roma Shades" sheetId="23" r:id="rId9"/>
    <sheet name="Shutters" sheetId="5" state="hidden" r:id="rId10"/>
    <sheet name="Data" sheetId="2" state="hidden" r:id="rId11"/>
    <sheet name="Aluminium Venetian Blinds" sheetId="26" r:id="rId12"/>
    <sheet name="External Venetian Blinds" sheetId="25" r:id="rId13"/>
    <sheet name="CMB Corner WS" sheetId="19" r:id="rId14"/>
    <sheet name="CMB Bay WS" sheetId="20" r:id="rId15"/>
  </sheets>
  <definedNames>
    <definedName name="_25mm_Single_Cellular_Blind_Blockout_Standard">Data!$SH$2:$SH$16</definedName>
    <definedName name="_25mm_Single_Cellular_Blind_Translucent_Paisley">Data!$SQ$2:$SQ$6</definedName>
    <definedName name="_25mm_Single_Cellular_Blind_Translucent_Sheer">Data!$SJ$2:$SJ$11</definedName>
    <definedName name="_25mm_Single_Cellular_Blind_Translucent_Standard">Data!$SF$2:$SF$29</definedName>
    <definedName name="_25mm_Single_Cellular_Blind_Translucent_Thatched">Data!$SP$2:$SP$6</definedName>
    <definedName name="_25mm_Single_Cellular_Blind_Translucent_Woven">Data!$SL$2:$SL$6</definedName>
    <definedName name="_25mmCBladeColour">'Aluminium Venetian Blinds'!$BD$8:$BD$67</definedName>
    <definedName name="_25mmLBladeColour">'Aluminium Venetian Blinds'!$BE$8:$BE$65</definedName>
    <definedName name="_25mmSBladeColour">'Aluminium Venetian Blinds'!$BF$8:$BF$65</definedName>
    <definedName name="_30mmLBladeColour">'Aluminium Venetian Blinds'!$BG$8:$BG$20</definedName>
    <definedName name="_35mmCBladeColour">'Aluminium Venetian Blinds'!$BH$8:$BH$27</definedName>
    <definedName name="_35mmSBladeColour">'Aluminium Venetian Blinds'!$BI$8:$BI$27</definedName>
    <definedName name="_38mm_Double_Cellular_Blind_Blockout_Standard">Data!$ST$2:$ST$4</definedName>
    <definedName name="_38mm_Double_Cellular_Blind_Translucent_Standard">Data!$SS$2:$SS$21</definedName>
    <definedName name="_38mm_Single_Cell_Blockout_Bamboo_Print">Data!$SE$87:$SE$95</definedName>
    <definedName name="_38mm_Single_Cell_Translucent_Bamboo_Print">Data!$SI$80:$SI$88</definedName>
    <definedName name="_38mm_Single_Cell_Translucent_Crepe_Woven">Data!$SF$76:$SF$95</definedName>
    <definedName name="_38mm_Single_Cell_Translucent_Sheer_A">Data!$SG$88:$SG$91</definedName>
    <definedName name="_38mm_Single_Cell_Translucent_Slub_Woven">Data!$SJ$80:$SJ$84</definedName>
    <definedName name="_38mm_Single_Cellular_Blind_Blockout_Standard">Data!$SG$2:$SG$28</definedName>
    <definedName name="_38mm_Single_Cellular_Blind_Day_Night_Blockout_Colours">Data!$SG$147:$SG$182</definedName>
    <definedName name="_38mm_Single_Cellular_Blind_Translucent_Crush">Data!$SR$2:$SR$6</definedName>
    <definedName name="_38mm_Single_Cellular_Blind_Translucent_Linen">Data!$SM$2:$SM$7</definedName>
    <definedName name="_38mm_Single_Cellular_Blind_Translucent_Paisley">Data!$SO$2:$SO$6</definedName>
    <definedName name="_38mm_Single_Cellular_Blind_Translucent_Sheer">Data!$SI$2:$SI$11</definedName>
    <definedName name="_38mm_Single_Cellular_Blind_Translucent_Standard">Data!$SE$2:$SE$40</definedName>
    <definedName name="_38mm_Single_Cellular_Blind_Translucent_Thatched">Data!$SN$2:$SN$6</definedName>
    <definedName name="_38mm_Single_Cellular_Blind_Translucent_Woven">Data!$SK$2:$SK$11</definedName>
    <definedName name="_45mm_Cell_In_A_Cell_Cellular_Blind_Day_Night_Blockout_Colours">Data!$SF$147:$SF$156</definedName>
    <definedName name="_45mm_Single_Cell_Blockout_Lux_Linen">Data!$SK$215:$SK$220</definedName>
    <definedName name="_45mm_Single_Cell_Blockout_Marble">Data!$SF$215:$SF$219</definedName>
    <definedName name="_45mm_Single_Cell_Blockout_Sala">Data!$SE$215:$SE$219</definedName>
    <definedName name="_45mm_Single_Cell_Blockout_Standard">Data!$SE$112:$SE$118</definedName>
    <definedName name="_45mm_Single_Cell_Blockout_Woodgrain">Data!$SG$215:$SG$219</definedName>
    <definedName name="_45mm_Single_Cell_Blockout_Woodgrain_Linen">Data!$SJ$215:$SJ$219</definedName>
    <definedName name="_45mm_Single_Cell_Cell_In_A_Cell_Blockout">Data!$SN$215:$SN$222</definedName>
    <definedName name="_45mm_Single_Cell_Cell_In_A_Cell_Blockout_Bamboo">Data!$SO$215:$SO$216</definedName>
    <definedName name="_45mm_Single_Cell_Cell_In_A_Cell_Translucent_Bamboo">Data!$SM$215:$SM$216</definedName>
    <definedName name="_45mm_Single_Cell_Translucent_Cell_In_A_Cell">Data!$SL$215:$SL$222</definedName>
    <definedName name="_45mm_Single_Cell_Translucent_Crepe_Woven">Data!$SH$215:$SH$234</definedName>
    <definedName name="_45mm_Single_Cell_Translucent_Lux_Linen">Data!$SG$113:$SG$118</definedName>
    <definedName name="_45mm_Single_Cell_Translucent_Marble">Data!$SH$101:$SH$105</definedName>
    <definedName name="_45mm_Single_Cell_Translucent_Sala">Data!$SI$105:$SI$109</definedName>
    <definedName name="_45mm_Single_Cell_Translucent_Sheer">Data!$SJ$105:$SJ$108</definedName>
    <definedName name="_45mm_Single_Cell_Translucent_Standard">Data!$SF$109:$SF$118</definedName>
    <definedName name="_45mm_Single_Cell_Translucent_Woodgrain">Data!$SK$105:$SK$109</definedName>
    <definedName name="_45mm_Single_Cell_Translucent_Woodgrain_Linen">Data!$SI$215:$SI$219</definedName>
    <definedName name="_45mm_Single_Cellular_Blind_Day_Night_Blockout_Colours">Data!$SE$147:$SE$179</definedName>
    <definedName name="_50mmCBladeColour">'Aluminium Venetian Blinds'!$BJ$8:$BJ$24</definedName>
    <definedName name="_50mmLBladeColour">'Aluminium Venetian Blinds'!$BK$8:$BK$24</definedName>
    <definedName name="ACTNAM">Data!$MR$3:$MR$4</definedName>
    <definedName name="Additional_Fascia_100mm_x_9.5mm_Material">Data!$FS$2:$FS$3</definedName>
    <definedName name="Additional_Fascia_140mm_x_9.5mm_Material">Data!$FT$2:$FT$3</definedName>
    <definedName name="Additional_Fascia_60mm_x_9.5mm_Material">Data!$FU$2:$FU$3</definedName>
    <definedName name="Additional_Headboard_100mm_x_19mm_Material">Data!$FV$2:$FV$3</definedName>
    <definedName name="Additional_Headboard_140mm_x_19mm_Material">Data!$FR$2:$FR$3</definedName>
    <definedName name="Additional_Headboard_180mm_x_19mm_Material">Data!$FW$2:$FW$3</definedName>
    <definedName name="Additional_Headboard_220mm_x_19mm_Material">Data!$FX$2:$FX$3</definedName>
    <definedName name="AlumColours">Data!$AN$2:$AN$18</definedName>
    <definedName name="Amalfi">Data!$PB$2:$PB$6</definedName>
    <definedName name="AntiqueWhiteF140">Data!$HQ$3:$HQ$5</definedName>
    <definedName name="AntiqueWhiteW140">Data!$HC$3:$HC$5</definedName>
    <definedName name="B1_Colour">'Transition Blinds &amp; Roma Shades'!$CA$8:$CA$31</definedName>
    <definedName name="B10_Colour">'Transition Blinds &amp; Roma Shades'!$CB$8:$CB$18</definedName>
    <definedName name="B5_Colour">'Transition Blinds &amp; Roma Shades'!$CR$8:$CR$18</definedName>
    <definedName name="Bi_Fold_Bottom_Fixed_Pivot_Bracket_Pin">Data!$HZ$3</definedName>
    <definedName name="Bi_Fold_Frame_60mm_x_9.5mm_Material">Data!$FY$2:$FY$3</definedName>
    <definedName name="BK10_Colour">'Transition Blinds &amp; Roma Shades'!$DA$8:$DA$16</definedName>
    <definedName name="BK20_Colour">'Transition Blinds &amp; Roma Shades'!$DC$8:$DC$15</definedName>
    <definedName name="BK50_Colour">'Transition Blinds &amp; Roma Shades'!$DB$8:$DB$11</definedName>
    <definedName name="BL1_Colour">'Transition Blinds &amp; Roma Shades'!$CC$8:$CC$21</definedName>
    <definedName name="BL11_Colour">'Transition Blinds &amp; Roma Shades'!$CD$8:$CD$12</definedName>
    <definedName name="BL2_Colour">'Transition Blinds &amp; Roma Shades'!$CE$8:$CE$16</definedName>
    <definedName name="BL20_Colour">'Transition Blinds &amp; Roma Shades'!$CO$8:$CO$15</definedName>
    <definedName name="BL2PRD_Colour">'Transition Blinds &amp; Roma Shades'!$CQ$8:$CQ$14</definedName>
    <definedName name="BL30_Colour">'Transition Blinds &amp; Roma Shades'!$CP$8:$CP$14</definedName>
    <definedName name="BL46_Colour">'Transition Blinds &amp; Roma Shades'!$CS$8:$CS$12</definedName>
    <definedName name="BL48_Colour">'Transition Blinds &amp; Roma Shades'!$CT$8:$CT$13</definedName>
    <definedName name="BL50_Colour">'Transition Blinds &amp; Roma Shades'!$CV$8:$CV$13</definedName>
    <definedName name="BL52_Colour">'Transition Blinds &amp; Roma Shades'!$CU$8:$CU$18</definedName>
    <definedName name="BL58_Colour">'Transition Blinds &amp; Roma Shades'!$CW$8:$CW$15</definedName>
    <definedName name="BL9_Colour">'Transition Blinds &amp; Roma Shades'!$CF$8:$CF$16</definedName>
    <definedName name="BlackWalnutW920">Data!$HM$3:$HM$4</definedName>
    <definedName name="Blade_Type">'External Venetian Blinds'!$BA$8:$BA$12</definedName>
    <definedName name="BlindType">Data!$MN$3:$MN$8</definedName>
    <definedName name="Bottom_Pivot_Pin_For_Bi_Fold_Sliding_Panel">Data!$IA$3</definedName>
    <definedName name="Bottom_Rail_Colour">'Transition Blinds &amp; Roma Shades'!$BH$8:$BH$14</definedName>
    <definedName name="BottomFrameBullnoseZFrame">Data!$NY$16:$NY$19</definedName>
    <definedName name="BottomFrameHangingStrip">Data!$NP$16:$NP$18</definedName>
    <definedName name="BottomFrameLargeBullnoseZFrame">Data!$OG$16:$OG$19</definedName>
    <definedName name="BottomFrameLargeFFLFrame">Data!$NV$16:$NV$18</definedName>
    <definedName name="BottomFrameLargeLFrame">Data!$NU$16:$NU$18</definedName>
    <definedName name="BottomFrameLargeZFrame">Data!$NX$16:$NX$19</definedName>
    <definedName name="BottomFrameMediumFFLFrame">Data!$NT$16:$NT$18</definedName>
    <definedName name="BottomFrameMediumLFrame">Data!$NS$16:$NS$18</definedName>
    <definedName name="BottomFrameNA">Data!$OC$16</definedName>
    <definedName name="BottomFrameNoFrame">Data!$NO$16:$NO$18</definedName>
    <definedName name="BottomFrameSliding">Data!$OA$16:$OA$19</definedName>
    <definedName name="BottomFrameSmallFFLFrame">Data!$NR$16:$NR$18</definedName>
    <definedName name="BottomFrameSmallLFrame">Data!$NQ$16:$NQ$18</definedName>
    <definedName name="BottomFrameStandardZFrame">Data!$NW$16:$NW$19</definedName>
    <definedName name="BottomFrameTrack">Data!$CJ$3:$CJ$10</definedName>
    <definedName name="BottomFrameTrackBiFold">Data!$OB$16:$OB$18</definedName>
    <definedName name="BottomFrameUChannel">Data!$NZ$16</definedName>
    <definedName name="Bracket_Type">Data!$KK$2:$KK$5</definedName>
    <definedName name="Bullnose_Z_Frame_Material">Data!$FZ$2:$FZ$3</definedName>
    <definedName name="Bumper_Stop">Data!$IB$3</definedName>
    <definedName name="ButtThru">Data!$MS$3:$MS$4</definedName>
    <definedName name="Carrier_Bracket_For_Bi_Fold_Sliding_Panel">Data!$IC$3</definedName>
    <definedName name="CAT_GROUP_35_2234">Data!$S$1:$S$2</definedName>
    <definedName name="CAT_GROUP_35_2236">Data!$S$3:$S$4</definedName>
    <definedName name="CAT_GROUP_35_2237">Data!$S$5:$S$6</definedName>
    <definedName name="CAT_GROUP_35_2238">Data!$S$7:$S$8</definedName>
    <definedName name="CAT_GROUP_35_2295">Data!$S$9:$S$10</definedName>
    <definedName name="CAT_GROUP_35_2297">Data!$S$11:$S$16</definedName>
    <definedName name="CAT_GROUP_35_2317">Data!$S$17:$S$20</definedName>
    <definedName name="CAT_GROUP_36_2277">Data!$S$21:$S$22</definedName>
    <definedName name="CAT_GROUP_36_2278">Data!$S$23:$S$24</definedName>
    <definedName name="CAT_GROUP_36_2280">Data!$S$25:$S$26</definedName>
    <definedName name="CAT_GROUP_36_2281">Data!$S$27:$S$28</definedName>
    <definedName name="CAT_GROUP_36_2294">Data!$S$29:$S$30</definedName>
    <definedName name="CAT_GROUP_36_2299">Data!$S$31:$S$36</definedName>
    <definedName name="CAT_GROUP_36_2313">Data!$S$37:$S$38</definedName>
    <definedName name="CAT_GROUP_36_2315">Data!$S$39:$S$42</definedName>
    <definedName name="CAT_GROUP_37_2290">Data!$S$43:$S$44</definedName>
    <definedName name="CAT_GROUP_37_2291">Data!$S$45:$S$46</definedName>
    <definedName name="CAT_GROUP_37_2292">Data!$S$47:$S$48</definedName>
    <definedName name="CAT_GROUP_37_2293">Data!$S$49:$S$50</definedName>
    <definedName name="CAT_GROUP_37_2296">Data!$S$51:$S$52</definedName>
    <definedName name="CAT_GROUP_37_2298">Data!$S$53:$S$58</definedName>
    <definedName name="CAT_GROUP_37_2312">Data!$S$59:$S$60</definedName>
    <definedName name="CAT_GROUP_37_2316">Data!$S$61:$S$64</definedName>
    <definedName name="CAT_GROUP_38_2300">Data!$S$65:$S$66</definedName>
    <definedName name="CAT_GROUP_38_2301">Data!$S$67:$S$68</definedName>
    <definedName name="CAT_GROUP_38_2302">Data!$S$69:$S$70</definedName>
    <definedName name="CAT_GROUP_38_2303">Data!$S$71:$S$72</definedName>
    <definedName name="CAT_GROUP_38_2304">Data!$S$73:$S$74</definedName>
    <definedName name="CAT_GROUP_38_2305">Data!$S$75:$S$80</definedName>
    <definedName name="CAT_GROUP_38_2311">Data!$S$81:$S$82</definedName>
    <definedName name="CAT_GROUP_38_2314">Data!$S$83:$S$86</definedName>
    <definedName name="CAT_STYLE_35_1000">Data!$L$1:$L$20</definedName>
    <definedName name="CAT_STYLE_36_8000">Data!$L$21:$L$26</definedName>
    <definedName name="CAT_STYLE_37_8100">Data!$L$27:$L$36</definedName>
    <definedName name="CAT_STYLE_38_8000">Data!$L$37:$L$39</definedName>
    <definedName name="CategoryList">Data!$A$1:$A$4</definedName>
    <definedName name="CategoryList_LK">Data!$A$1:$H$4</definedName>
    <definedName name="CCRColours">'External Venetian Blinds'!$BL$8:$BL$9</definedName>
    <definedName name="CCRProfileGuideOption">'External Venetian Blinds'!$BG$8:$BG$9</definedName>
    <definedName name="CedarImageMediumW868">Data!$HF$3:$HF$4</definedName>
    <definedName name="Cellular_Colour_2_25mm_Single_Cellular_Blind">Data!$XF$2:$XF$54</definedName>
    <definedName name="Cellular_Colour_2_38mm_Double_Cellular_Blind">Data!$XI$2:$XI$21</definedName>
    <definedName name="Cellular_Colour_2_38mm_Single_Cellular_Blind">Data!$XG$2:$XG$111</definedName>
    <definedName name="Cellular_Colour_2_45mm_Cell_In_A_Cell_Cellular_Blind">Data!$XJ$2:$XJ$11</definedName>
    <definedName name="Cellular_Colour_2_45mm_Single_Cellular_Blind">Data!$XH$2:$XH$61</definedName>
    <definedName name="Cellular_Colour_2_NA">Data!$XQ$2</definedName>
    <definedName name="CellularBlindProduct">Data!$RB$2:$RB$6</definedName>
    <definedName name="CellularControl">Data!$RW$2:$RW$8</definedName>
    <definedName name="CellularControlLength">Data!$RX$2:$RX$4</definedName>
    <definedName name="CellularMotorOptions">Data!$US$2:$US$11</definedName>
    <definedName name="CellularOperation">Data!$RU$2:$RU$15</definedName>
    <definedName name="Chain_Colour">'Transition Blinds &amp; Roma Shades'!$BO$8:$BO$9</definedName>
    <definedName name="Chain_Cord_Length">'Transition Blinds &amp; Roma Shades'!$BP$8:$BP$14</definedName>
    <definedName name="ChainMotor">'Transition Blinds &amp; Roma Shades'!$FK$8</definedName>
    <definedName name="ChannelNo">'Cellular Blinds'!$CA$8</definedName>
    <definedName name="ChannelYes">'Cellular Blinds'!$BZ$8:$BZ$11</definedName>
    <definedName name="Clutch_Day_Night">Data!$RK$2</definedName>
    <definedName name="Clutch_Day_Night_25mm_Single">Data!$VZ$2:$VZ$3</definedName>
    <definedName name="Clutch_Day_Night_38mm_Double">Data!$WV$2:$WV$3</definedName>
    <definedName name="Clutch_Day_Night_38mm_Single">Data!$WK$2:$WK$3</definedName>
    <definedName name="Clutch_Day_Night_45mm_Single">Data!$WK$48:$WK$49</definedName>
    <definedName name="Clutch_Day_Night_45mm_Single_Cell_In_A_Cell">Data!$WK$84:$WK$85</definedName>
    <definedName name="Clutch_Day_Night_Control">Data!$ZC$2:$ZC$3</definedName>
    <definedName name="Clutch_Standard">Data!$RJ$2:$RJ$9</definedName>
    <definedName name="Clutch_Standard_25mm_Single">Data!$VY$2:$VY$7</definedName>
    <definedName name="Clutch_Standard_38mm_Double">Data!$WU$2:$WU$3</definedName>
    <definedName name="Clutch_Standard_38mm_Single">Data!$WJ$2:$WJ$14</definedName>
    <definedName name="Clutch_Standard_45mm_Single">Data!$WJ$48:$WJ$61</definedName>
    <definedName name="Clutch_Standard_45mm_Single_Cell_In_A_Cell">Data!$WJ$84:$WJ$87</definedName>
    <definedName name="Clutch_Standard_Control">Data!$ZB$2:$ZB$3</definedName>
    <definedName name="Clutch_Top_Down__Bottom_Up">Data!$RL$2:$RL$9</definedName>
    <definedName name="Clutch_Top_Down_Bottom_Up_25mm_Single">Data!$WA$2:$WA$7</definedName>
    <definedName name="Clutch_Top_Down_Bottom_Up_38mm_Double">Data!$WW$2:$WW$3</definedName>
    <definedName name="Clutch_Top_Down_Bottom_Up_38mm_Single">Data!$WL$2:$WL$14</definedName>
    <definedName name="Clutch_Top_Down_Bottom_Up_45mm_Single">Data!$WL$48:$WL$61</definedName>
    <definedName name="Clutch_Top_Down_Bottom_Up_45mm_Single_Cell_In_A_Cell">Data!$WL$84:$WL$87</definedName>
    <definedName name="Clutch_Top_Down_Bottom_Up_Control">Data!$ZD$2:$ZD$3</definedName>
    <definedName name="CMBEmail">Data!$BA$25:$BA$27</definedName>
    <definedName name="CMBPhone">Data!$BB$25:$BB$27</definedName>
    <definedName name="CMBPhone2">Data!$BC$25:$BC$27</definedName>
    <definedName name="CoffeeW890">Data!$HH$3:$HH$4</definedName>
    <definedName name="Colour2_25mm_Single_Cellular_Blind_Translucent_Paisley">Data!$UM$2:$UM$6</definedName>
    <definedName name="Colour2_25mm_Single_Cellular_Blind_Translucent_Sheer">Data!$UF$2:$UF$11</definedName>
    <definedName name="Colour2_25mm_Single_Cellular_Blind_Translucent_Standard">Data!$UD$2:$UD$29</definedName>
    <definedName name="Colour2_25mm_Single_Cellular_Blind_Translucent_Thatched">Data!$UL$2:$UL$6</definedName>
    <definedName name="Colour2_25mm_Single_Cellular_Blind_Translucent_Woven">Data!$UH$2:$UH$6</definedName>
    <definedName name="Colour2_38mm_Double_Cellular_Blind_Translucent_Standard">Data!$UO$2:$UO$21</definedName>
    <definedName name="Colour2_38mm_Single_Cellular_Blind_Translucent_Crush">Data!$UN$2:$UN$6</definedName>
    <definedName name="Colour2_38mm_Single_Cellular_Blind_Translucent_Linen">Data!$UI$2:$UI$7</definedName>
    <definedName name="Colour2_38mm_Single_Cellular_Blind_Translucent_Paisley">Data!$UK$2:$UK$6</definedName>
    <definedName name="Colour2_38mm_Single_Cellular_Blind_Translucent_Sheer">Data!$UE$2:$UE$11</definedName>
    <definedName name="Colour2_38mm_Single_Cellular_Blind_Translucent_Standard">Data!$UC$2:$UC$40</definedName>
    <definedName name="Colour2_38mm_Single_Cellular_Blind_Translucent_Thatched">Data!$UJ$2:$UJ$6</definedName>
    <definedName name="Colour2_38mm_Single_Cellular_Blind_Translucent_Woven">Data!$UG$2:$UG$11</definedName>
    <definedName name="ColourNA">'Transition Blinds &amp; Roma Shades'!$ES$6</definedName>
    <definedName name="Como_Blockout">Data!$PD$2:$PD$7</definedName>
    <definedName name="Como_Translucent">Data!$PC$2:$PC$7</definedName>
    <definedName name="Control">'Transition Blinds &amp; Roma Shades'!$FN$8:$FN$11</definedName>
    <definedName name="Control_Clutch_Day_Night">Data!$VB$2</definedName>
    <definedName name="Control_Clutch_Standard">Data!$VA$2</definedName>
    <definedName name="Control_Clutch_Top_Down__Bottom_Up">Data!$VC$2</definedName>
    <definedName name="Control_Corded_Day_Night">Data!$UV$2</definedName>
    <definedName name="Control_Corded_Standard">Data!$UU$2</definedName>
    <definedName name="Control_Corded_Top_Down__Bottom_Up">Data!$UW$2</definedName>
    <definedName name="Control_Cordless_Day_Night">Data!$UY$2</definedName>
    <definedName name="Control_Cordless_Standard">Data!$UX$2</definedName>
    <definedName name="Control_Cordless_Top_Down__Bottom_Up">Data!$UZ$2</definedName>
    <definedName name="Control_Motorised">Data!$VD$2:$VD$13</definedName>
    <definedName name="Control_Motorised_DNTDBU">Data!$VD$23:$VD$26</definedName>
    <definedName name="Control_Motorised_Hardwired">Data!$VE$2:$VE$3</definedName>
    <definedName name="Control_Motorised_With_USB">Data!$VD$36:$VD$49</definedName>
    <definedName name="Control_Skylight_Cordless">Data!$UU$14</definedName>
    <definedName name="Control_Skylight_Motorised_Remote">Data!$UV$14:$UV$15</definedName>
    <definedName name="Control25mm">'Aluminium Venetian Blinds'!$BM$8:$BM$11</definedName>
    <definedName name="Control30mm">'Aluminium Venetian Blinds'!$BN$8:$BN$9</definedName>
    <definedName name="Control35mm">'Aluminium Venetian Blinds'!$BO$8:$BO$9</definedName>
    <definedName name="Control50mm">'Aluminium Venetian Blinds'!$BP$8:$BP$9</definedName>
    <definedName name="ControlOption">Data!$PU$2:$PU$7</definedName>
    <definedName name="Cord_Colour">'Transition Blinds &amp; Roma Shades'!$BR$8:$BR$15</definedName>
    <definedName name="Corded_Day_Night">Data!$RE$2</definedName>
    <definedName name="Corded_Day_Night_25mm_Single">Data!$VT$2:$VT$3</definedName>
    <definedName name="Corded_Day_Night_38mm_Double">Data!$WP$2:$WP$3</definedName>
    <definedName name="Corded_Day_Night_38mm_Single">Data!$WE$2:$WE$3</definedName>
    <definedName name="Corded_Day_Night_45mm_Single">Data!$WE$48:$WE$49</definedName>
    <definedName name="Corded_Day_Night_45mm_Single_Cell_In_A_Cell">Data!$WE$84:$WE$85</definedName>
    <definedName name="Corded_Day_Night_Control">Data!$YW$2:$YW$5</definedName>
    <definedName name="Corded_Standard">Data!$RD$2:$RD$9</definedName>
    <definedName name="Corded_Standard_25mm_Single">Data!$VS$2:$VS$7</definedName>
    <definedName name="Corded_Standard_38mm_Double">Data!$WO$2:$WO$3</definedName>
    <definedName name="Corded_Standard_38mm_Single">Data!$WD$2:$WD$14</definedName>
    <definedName name="Corded_Standard_45mm_Single">Data!$WD$48:$WD$61</definedName>
    <definedName name="Corded_Standard_45mm_Single_Cell_In_A_Cell">Data!$WD$84:$WD$87</definedName>
    <definedName name="Corded_Standard_Control">Data!$YV$2:$YV$3</definedName>
    <definedName name="Corded_Top_Down__Bottom_Up">Data!$RF$2:$RF$9</definedName>
    <definedName name="Corded_Top_Down_Bottom_Up_25mm_Single">Data!$VU$2:$VU$7</definedName>
    <definedName name="Corded_Top_Down_Bottom_Up_38mm_Double">Data!$WQ$2:$WQ$3</definedName>
    <definedName name="Corded_Top_Down_Bottom_Up_38mm_Single">Data!$WF$2:$WF$14</definedName>
    <definedName name="Corded_Top_Down_Bottom_Up_45mm_Single">Data!$WF$48:$WF$61</definedName>
    <definedName name="Corded_Top_Down_Bottom_Up_45mm_Single_Cell_In_A_Cell">Data!$WF$84:$WF$87</definedName>
    <definedName name="Corded_Top_Down_Bottom_Up_Control">Data!$YX$2:$YX$5</definedName>
    <definedName name="Cordless_Day_Night">Data!$RH$2</definedName>
    <definedName name="Cordless_Day_Night_25mm_Single">Data!$VW$2:$VW$3</definedName>
    <definedName name="Cordless_Day_Night_38mm_Double">Data!$WS$2:$WS$3</definedName>
    <definedName name="Cordless_Day_Night_38mm_Single">Data!$WH$2:$WH$3</definedName>
    <definedName name="Cordless_Day_Night_45mm_Single">Data!$WH$48:$WH$49</definedName>
    <definedName name="Cordless_Day_Night_45mm_Single_Cell_In_A_Cell">Data!$WH$84:$WH$85</definedName>
    <definedName name="Cordless_Day_Night_Control">Data!$YZ$2</definedName>
    <definedName name="Cordless_Standard">Data!$RG$2:$RG$9</definedName>
    <definedName name="Cordless_Standard_25mm_Single">Data!$VV$2:$VV$7</definedName>
    <definedName name="Cordless_Standard_38mm_Double">Data!$WR$2:$WR$3</definedName>
    <definedName name="Cordless_Standard_38mm_Single">Data!$WG$2:$WG$14</definedName>
    <definedName name="Cordless_Standard_45mm_Single">Data!$WG$48:$WG$61</definedName>
    <definedName name="Cordless_Standard_45mm_Single_Cell_In_A_Cell">Data!$WG$84:$WG$87</definedName>
    <definedName name="Cordless_Standard_Control">Data!$YY$2</definedName>
    <definedName name="Cordless_Top_Down__Bottom_Up">Data!$RI$2:$RI$9</definedName>
    <definedName name="Cordless_Top_Down_Bottom_Up_25mm_Single">Data!$VX$2:$VX$7</definedName>
    <definedName name="Cordless_Top_Down_Bottom_Up_38mm_Double">Data!$WT$2:$WT$3</definedName>
    <definedName name="Cordless_Top_Down_Bottom_Up_38mm_Single">Data!$WI$2:$WI$14</definedName>
    <definedName name="Cordless_Top_Down_Bottom_Up_45mm_Single">Data!$WI$48:$WI$61</definedName>
    <definedName name="Cordless_Top_Down_Bottom_Up_45mm_Single_Cell_In_A_Cell">Data!$WI$84:$WI$87</definedName>
    <definedName name="Cordless_Top_Down_Bottom_Up_Control">Data!$ZA$2</definedName>
    <definedName name="Cordless_Wand_Operated">Data!$VF$2</definedName>
    <definedName name="Cordless_Wand_Operated_Control">Data!$ZG$2:$ZG$3</definedName>
    <definedName name="CordlockNoCordless" localSheetId="11">'Aluminium Venetian Blinds'!$AR$8:$AR$9</definedName>
    <definedName name="CordlockNoCordless" localSheetId="12">'External Venetian Blinds'!$AS$8:$AS$9</definedName>
    <definedName name="CordlockNoCordless">'50mm &amp; 63mm Venetian Blinds'!$AR$8:$AR$9</definedName>
    <definedName name="CordlockYesCordless" localSheetId="11">'Aluminium Venetian Blinds'!$AS$8:$AS$10</definedName>
    <definedName name="CordlockYesCordless" localSheetId="12">'External Venetian Blinds'!$AT$8:$AT$10</definedName>
    <definedName name="CordlockYesCordless">'50mm &amp; 63mm Venetian Blinds'!$AS$8:$AS$10</definedName>
    <definedName name="Cover_Strip_To_Fit_Face_Fit_Frame_12.5mm_x_5mm">Data!$GY$2:$GY$3</definedName>
    <definedName name="Cover_Strip_To_Fit_Face_Fit_Frame_17mm_x_5mm">Data!$GZ$2</definedName>
    <definedName name="Cprofile">'External Venetian Blinds'!$BP$8</definedName>
    <definedName name="DarkCherryW894">Data!$HK$3:$HK$4</definedName>
    <definedName name="DarkChestnutPT067">Data!$HG$3:$HG$4</definedName>
    <definedName name="Delivery_Address">'Stores &amp; Delivery Addresses '!$D$3:$D$302</definedName>
    <definedName name="Divider_Rail_Mid_Rail_Centre_Rail_79.5mm_x_21mm">Data!$GX$2:$GX$3</definedName>
    <definedName name="Divider_RailMid_Rail_Centre_Rail_79.5mm_x_21mm_Reinforced_Profile">Data!$GX$13</definedName>
    <definedName name="Double_Hinged_BFT">Data!$DS$4:$DS$7</definedName>
    <definedName name="Double_Hinged_Frame_Type">Data!$FK$2:$FK$13</definedName>
    <definedName name="Double_Hinged_TF">Data!$DZ$4:$DZ$7</definedName>
    <definedName name="Double38mmTube">Data!$KN$2:$KN$3</definedName>
    <definedName name="Double45mmTube">Data!$KO$2</definedName>
    <definedName name="DoubleHingedLayoutCodes">Data!$LY$2:$LY$29</definedName>
    <definedName name="DoubleLink38mmTube">Data!$KQ$2:$KQ$5</definedName>
    <definedName name="DoubleLink45mmTube">Data!$KR$2:$KR$3</definedName>
    <definedName name="DS1_Colour">'Transition Blinds &amp; Roma Shades'!$CG$8:$CG$15</definedName>
    <definedName name="DS6_Colour">'Transition Blinds &amp; Roma Shades'!$CH$8:$CH$13</definedName>
    <definedName name="E1_Colour">'Transition Blinds &amp; Roma Shades'!$CI$8:$CI$18</definedName>
    <definedName name="EggshellW405">Data!$HB$3:$HB$5</definedName>
    <definedName name="EVBPelmet">'External Venetian Blinds'!$BK$8:$BK$10</definedName>
    <definedName name="Extras">Data!$FF$57:$FF$93</definedName>
    <definedName name="Fabric_127mm">Data!$CH$3:$CH$4</definedName>
    <definedName name="Fabric_89mm">Data!$CG$3:$CG$4</definedName>
    <definedName name="Fabric_Insert_NA">'Transition Blinds &amp; Roma Shades'!$DG$8</definedName>
    <definedName name="Fabric_Insert_Option">'Transition Blinds &amp; Roma Shades'!$DF$8:$DF$9</definedName>
    <definedName name="Fabric127mm">Data!$DK$3:$DK$22</definedName>
    <definedName name="Fabric89mm">Data!$DJ$3:$DJ$22</definedName>
    <definedName name="FabricSlatWidth">Data!$DG$3:$DG$5</definedName>
    <definedName name="FACE">Data!$CD$3</definedName>
    <definedName name="FaceRecess">Data!$MQ$3:$MQ$4</definedName>
    <definedName name="Fauxwood_Blade">Data!$EX$3:$EX$5</definedName>
    <definedName name="Fauxwood_Blockout_Blade">Data!$EY$3</definedName>
    <definedName name="Fauxwood_Eco">Data!$BE$3:$BE$6</definedName>
    <definedName name="Fauxwood_Eco_Air">Data!$BF$3:$BF$6</definedName>
    <definedName name="Fauxwood_Eco_Elite">Data!$BG$3:$BG$6</definedName>
    <definedName name="Fauxwood_Night">Data!$BH$3:$BH$5</definedName>
    <definedName name="FauxwoodAI">Data!$DD$3:$DD$4</definedName>
    <definedName name="FauxwoodAINo">Data!$DE$3</definedName>
    <definedName name="FauxwoodBlockoutN">Data!$BU$3</definedName>
    <definedName name="FauxwoodBlockoutT">Data!$CO$3:$CO$5</definedName>
    <definedName name="FauxwoodExtraOptionsStd">Data!$KD$3:$KD$6</definedName>
    <definedName name="FauxwoodExtrasOptions">Data!$IY$3:$IY$5</definedName>
    <definedName name="FauxwoodLiteTiltrod">Data!$CZ$3</definedName>
    <definedName name="FauxwoodRP">Data!$CX$3:$CX$6</definedName>
    <definedName name="FauxwoodRPNo">Data!$CY$3:$CY$5</definedName>
    <definedName name="FauxwoodT">Data!$CN$3:$CN$6</definedName>
    <definedName name="FauxwoodY">Data!$BT$3:$BT$4</definedName>
    <definedName name="FBOAntiqueWhiteF140">Data!$HU$3</definedName>
    <definedName name="FBOOffWhiteF286">Data!$HT$3</definedName>
    <definedName name="FBOWhiteF186">Data!$HS$3</definedName>
    <definedName name="FittingBoth">'Cellular Blinds'!$AY$8:$AY$9</definedName>
    <definedName name="FittingRecess">'Cellular Blinds'!$AZ$8</definedName>
    <definedName name="Fixed_BFT">Data!$DV$4</definedName>
    <definedName name="Fixed_Frame_Type">Data!$FN$2</definedName>
    <definedName name="Fixed_TF">Data!$EC$4</definedName>
    <definedName name="FixedLayoutCodes">Data!$MB$2</definedName>
    <definedName name="Flat_Hinge">Data!$ID$3:$ID$6</definedName>
    <definedName name="Floor_Guide">Data!$IE$3</definedName>
    <definedName name="Florence">Data!$PE$2:$PE$6</definedName>
    <definedName name="Fluffy_Strip_Fauxwood_Eco">Data!$ER$3:$ER$4</definedName>
    <definedName name="Fluffy_Strip_Fauxwood_Lite">Data!$ET$3</definedName>
    <definedName name="Fluffy_Strip_Fauxwood_Night">Data!$EQ$3</definedName>
    <definedName name="Fluffy_Strip_Timber_Eco">Data!$ES$3</definedName>
    <definedName name="FR_S6_Colour">'Transition Blinds &amp; Roma Shades'!$CJ$8:$CJ$13</definedName>
    <definedName name="FrameType">Data!$BK$3:$BK$18</definedName>
    <definedName name="GRS1_Colour">'Transition Blinds &amp; Roma Shades'!$DD$8:$DD$10</definedName>
    <definedName name="Hanging_Strip_35mm_x_28.6mm_Material">Data!$GA$2:$GA$3</definedName>
    <definedName name="Hardware">Data!$HX$54:$HX$78</definedName>
    <definedName name="Head_Box_Colour">'Transition Blinds &amp; Roma Shades'!$BG$8:$BG$15</definedName>
    <definedName name="HelperSpringControlNo">Data!$PV$2</definedName>
    <definedName name="HelperSpringControlYes">Data!$PW$2:$PW$3</definedName>
    <definedName name="Herman_Joints">Data!$IF$3:$IF$4</definedName>
    <definedName name="Hidden_Tiltrod_114mm">Data!$IG$3:$IG$4</definedName>
    <definedName name="Hidden_Tiltrod_63mm">Data!$IH$3:$IH$4</definedName>
    <definedName name="Hidden_Tiltrod_89mm">Data!$II$3:$II$4</definedName>
    <definedName name="Hinge">Data!$BM$3:$BM$12</definedName>
    <definedName name="Hinge_Packer">Data!$IJ$3</definedName>
    <definedName name="Hinge_Pin">Data!$IK$3</definedName>
    <definedName name="Hinged_BFT">Data!$DR$4:$DR$7</definedName>
    <definedName name="Hinged_Frame_Type">Data!$FJ$2:$FJ$13</definedName>
    <definedName name="Hinged_TF">Data!$DY$4:$DY$7</definedName>
    <definedName name="HingedLayoutCodes">Data!$LX$2:$LX$92</definedName>
    <definedName name="HingeNA">Data!$BN$3</definedName>
    <definedName name="HoldDown">Data!$CQ$3:$CQ$4</definedName>
    <definedName name="Illusion_Alabaster_V484">Data!$DI$4:$DI$27</definedName>
    <definedName name="IVBAluminiumProduct">'Aluminium Venetian Blinds'!$AY$8:$AY$15</definedName>
    <definedName name="IVBCordlockNA">'Aluminium Venetian Blinds'!$BW$8</definedName>
    <definedName name="IVBCordlockSide">'Aluminium Venetian Blinds'!$BV$8:$BV$9</definedName>
    <definedName name="IVBTiltNo">'Aluminium Venetian Blinds'!$CB$8</definedName>
    <definedName name="IVBTiltYes">'Aluminium Venetian Blinds'!$CA$8:$CA$9</definedName>
    <definedName name="Jacquard_Crush_Jacquard_Weave_Bottom_Rail_Colour">'Transition Blinds &amp; Roma Shades'!$FE$8:$FE$9</definedName>
    <definedName name="JasperW498">Data!$HD$3:$HD$4</definedName>
    <definedName name="L_Drop_Hinge">Data!$IL$3:$IL$11</definedName>
    <definedName name="Large_Bullnose_Z_Frame_Material">Data!$FZ$14</definedName>
    <definedName name="Large_Face_Fit_L_Frame_Material">Data!$GB$2:$GB$3</definedName>
    <definedName name="Large_Tube">Data!$KT$2</definedName>
    <definedName name="Large_Z_Frame_Material">Data!$GC$2:$GC$3</definedName>
    <definedName name="LayoutCodes">Data!$DO$3:$DO$84</definedName>
    <definedName name="LHRHCorner">Data!$MP$3:$MP$4</definedName>
    <definedName name="Light_Stop_19mm_x_19mm_Material">Data!$GD$2</definedName>
    <definedName name="Light_Stop_19mm_x_30mm_Material">Data!$GE$2:$GE$3</definedName>
    <definedName name="Light_Stop_19mm_x_9.5mm_Material">Data!$GF$2</definedName>
    <definedName name="Light_Stop_20mm_x_5mm_Material">Data!$GG$2:$GG$3</definedName>
    <definedName name="Light_Stop_31.8mm_x_9.5mm_Material">Data!$GH$2:$GH$3</definedName>
    <definedName name="Light_Stop_40mm_x_30mm_Material">Data!$GI$2:$GI$3</definedName>
    <definedName name="Light_Stop_50mm_x_30mm_Material">Data!$GJ$2:$GJ$3</definedName>
    <definedName name="Link">Data!$KP$2:$KP$3</definedName>
    <definedName name="LiteAntiqueWhiteF140">Data!$HQ$17</definedName>
    <definedName name="LiteOffWhiteF286">Data!$HP$17</definedName>
    <definedName name="LitePureWhiteF190">Data!$HR$17</definedName>
    <definedName name="LiteWhiteF186">Data!$HO$17</definedName>
    <definedName name="London">Data!$Y$3:$Y$9</definedName>
    <definedName name="LRF100mm">Data!$JT$3:$JT$5</definedName>
    <definedName name="LRF140mm">Data!$JU$3:$JU$5</definedName>
    <definedName name="LRF180mm">Data!$JV$3:$JV$5</definedName>
    <definedName name="LRF220mm">Data!$JW$3:$JW$5</definedName>
    <definedName name="LRFBullnoseZFrame">Data!$JR$3:$JR$6</definedName>
    <definedName name="LRFHangingStrip">Data!$JI$3:$JI$5</definedName>
    <definedName name="LRFLargeBullnoseZFrame">Data!$JY$3:$JY$6</definedName>
    <definedName name="LRFLargeFFLFrame">Data!$JO$3:$JO$5</definedName>
    <definedName name="LRFLargeLFrame">Data!$JN$3:$JN$5</definedName>
    <definedName name="LRFLargeZFrame">Data!$JQ$3:$JQ$6</definedName>
    <definedName name="LRFMediumFFLFrame">Data!$JM$3:$JM$5</definedName>
    <definedName name="LRFMediumLFrame">Data!$JL$3:$JL$5</definedName>
    <definedName name="LRFNA">Data!$JX$3</definedName>
    <definedName name="LRFNoFrame">Data!$JH$3:$JH$5</definedName>
    <definedName name="LRFSmallFFLFrame">Data!$JK$3:$JK$5</definedName>
    <definedName name="LRFSmallLFrame">Data!$JJ$3:$JJ$5</definedName>
    <definedName name="LRFStandardZFrame">Data!$JP$3:$JP$6</definedName>
    <definedName name="LRFUChannel">Data!$JS$3:$JS$4</definedName>
    <definedName name="LuminosityAndFabric">Data!$RC$2:$RC$9</definedName>
    <definedName name="LV1_Colour">'Transition Blinds &amp; Roma Shades'!$CK$8:$CK$14</definedName>
    <definedName name="LV2_Colour">'Transition Blinds &amp; Roma Shades'!$CL$8:$CL$13</definedName>
    <definedName name="Magnet_Catch">Data!$IM$3:$IM$4</definedName>
    <definedName name="MahoganyW306">Data!$HL$3:$HL$4</definedName>
    <definedName name="MapleW893">Data!$HJ$3:$HJ$4</definedName>
    <definedName name="Maui">Data!$Z$3:$Z$7</definedName>
    <definedName name="Medium_Face_Fit_L_Frame_Material">Data!$GK$2:$GK$3</definedName>
    <definedName name="Medium_L_Frame_Material">Data!$GL$2:$GL$3</definedName>
    <definedName name="Metal_Return_Clip_For_Fascia">Data!$IV$17</definedName>
    <definedName name="Milan">Data!$PG$2:$PG$13</definedName>
    <definedName name="MochaW811">Data!$HE$3:$HE$4</definedName>
    <definedName name="Monti_Colour">'Transition Blinds &amp; Roma Shades'!$EW$8:$EW$11</definedName>
    <definedName name="Motor_Left">Data!$VA$14</definedName>
    <definedName name="Motor_Position">'External Venetian Blinds'!$BD$8:$BD$10</definedName>
    <definedName name="Motor_Right">Data!$VB$14</definedName>
    <definedName name="Motor_Side_No">Data!$UZ$14</definedName>
    <definedName name="Motor_Side_Yes">Data!$UY$14:$UY$15</definedName>
    <definedName name="Motorised_Battery">Data!$RM$2:$RM$9</definedName>
    <definedName name="Motorised_Battery_25mm_Single">Data!$WB$2:$WB$7</definedName>
    <definedName name="Motorised_Battery_38mm_Double">Data!$WX$2:$WX$3</definedName>
    <definedName name="Motorised_Battery_38mm_Single">Data!$WM$2:$WM$14</definedName>
    <definedName name="Motorised_Battery_45mm_Single">Data!$WM$48:$WM$54</definedName>
    <definedName name="Motorised_Battery_Control">Data!$ZE$2</definedName>
    <definedName name="Motorised_Day_Night_25mm_Single">Data!$VZ$26:$VZ$27</definedName>
    <definedName name="Motorised_Day_Night_38mm_Double">Data!$WV$26:$WV$27</definedName>
    <definedName name="Motorised_Day_Night_38mm_Single">Data!$WK$26:$WK$27</definedName>
    <definedName name="Motorised_Day_Night_45mm_Single">Data!$WK$101:$WK$102</definedName>
    <definedName name="Motorised_Day_Night_45mm_Single_Cell_In_A_Cell">Data!$WK$127:$WK$128</definedName>
    <definedName name="Motorised_Hardwired">Data!$RN$2:$RN$9</definedName>
    <definedName name="Motorised_Hardwired_25mm_Single">Data!$WC$2:$WC$7</definedName>
    <definedName name="Motorised_Hardwired_38mm_Double">Data!$WY$2:$WY$3</definedName>
    <definedName name="Motorised_Hardwired_38mm_Single">Data!$WN$2:$WN$14</definedName>
    <definedName name="Motorised_Hardwired_45mm_Single">Data!$WN$48:$WN$54</definedName>
    <definedName name="Motorised_Hardwired_Control">Data!$ZF$2</definedName>
    <definedName name="Motorised_Standard_25mm_Single">Data!$VY$26:$VY$31</definedName>
    <definedName name="Motorised_Standard_38mm_Double">Data!$WU$26:$WU$27</definedName>
    <definedName name="Motorised_Standard_38mm_Single">Data!$WJ$26:$WJ$38</definedName>
    <definedName name="Motorised_Standard_45mm_Single">Data!$WJ$101:$WJ$114</definedName>
    <definedName name="Motorised_Standard_45mm_Single_Cell_In_A_Cell">Data!$WJ$127:$WJ$130</definedName>
    <definedName name="Motorised_Top_Down_Bottom_Up_25mm_Single">Data!$WA$26:$WA$31</definedName>
    <definedName name="Motorised_Top_Down_Bottom_Up_38mm_Double">Data!$WW$26:$WW$27</definedName>
    <definedName name="Motorised_Top_Down_Bottom_Up_38mm_Single">Data!$WL$26:$WL$38</definedName>
    <definedName name="Motorised_Top_Down_Bottom_Up_45mm_Single">Data!$WL$101:$WL$114</definedName>
    <definedName name="Motorised_Top_Down_Bottom_Up_45mm_Single_Cell_In_A_Cell">Data!$WL$127:$WL$130</definedName>
    <definedName name="MotorNo">'Aluminium Venetian Blinds'!$CC$8</definedName>
    <definedName name="MotorYes">'Aluminium Venetian Blinds'!$CD$8:$CD$9</definedName>
    <definedName name="Mounting">'External Venetian Blinds'!$BF$8:$BF$9</definedName>
    <definedName name="Mounting_Block_18mm_x_18mm_Material">Data!$GM$2:$GM$3</definedName>
    <definedName name="Mounting_Block_30mm_x_30mm_Material">Data!$GN$2:$GN$3</definedName>
    <definedName name="MountingMethod">Data!$BI$3:$BI$7</definedName>
    <definedName name="MountingMethodIN">Data!$ME$3:$ME$8</definedName>
    <definedName name="MountingMethodMS">Data!$MG$3</definedName>
    <definedName name="MountingMethodOUT">Data!$MF$3:$MF$7</definedName>
    <definedName name="MSNALayoutCodes">Data!$MC$2</definedName>
    <definedName name="Multi_Shade">'Transition Blinds &amp; Roma Shades'!$BI$8</definedName>
    <definedName name="Multi_Shade_Finish">'Transition Blinds &amp; Roma Shades'!$BU$8:$BU$24</definedName>
    <definedName name="NA_BFT">Data!$DX$4</definedName>
    <definedName name="NA_TF">Data!$EE$4</definedName>
    <definedName name="NAFrameType">Data!$FO$2</definedName>
    <definedName name="Naples">Data!$QG$2:$QG$9</definedName>
    <definedName name="No">Data!$AE$3</definedName>
    <definedName name="OffWhiteF286">Data!$HP$3:$HP$4</definedName>
    <definedName name="OPTIONGROUP35">Data!$P$1:$P$8</definedName>
    <definedName name="OPTIONGROUP35_LK">Data!$P$1:$R$7</definedName>
    <definedName name="OPTIONGROUP36">Data!$P$9:$P$16</definedName>
    <definedName name="OPTIONGROUP36_LK">Data!$P$8:$R$15</definedName>
    <definedName name="OPTIONGROUP37">Data!$P$17:$P$24</definedName>
    <definedName name="OPTIONGROUP37_LK">Data!$P$16:$R$23</definedName>
    <definedName name="OPTIONGROUP38">Data!$P$25:$P$32</definedName>
    <definedName name="OPTIONGROUP38_LK">Data!$P$24:$R$31</definedName>
    <definedName name="ORDERVAR35">Data!$N$1:$N$6</definedName>
    <definedName name="ORDERVAR36">Data!$N$7:$N$13</definedName>
    <definedName name="ORDERVAR37">Data!$N$14:$N$19</definedName>
    <definedName name="ORDERVAR38">Data!$N$21:$N$27</definedName>
    <definedName name="Other_Bottom_Rail_Colour">'Transition Blinds &amp; Roma Shades'!$FD$8</definedName>
    <definedName name="OtherControl">Data!$QK$2:$QK$11</definedName>
    <definedName name="Oval_Bottom_Rail">Data!$CS$3:$CS$7</definedName>
    <definedName name="Oval_Bottom_Rail_2">Data!$CS$18:$CS$23</definedName>
    <definedName name="Over_Roll_Or_Standard_Multi_Shade">'Transition Blinds &amp; Roma Shades'!$FG$8:$FG$9</definedName>
    <definedName name="Over_Roll_Or_Standard_Roman_Shade">'Transition Blinds &amp; Roma Shades'!$FH$8</definedName>
    <definedName name="Over_Roll_Or_Standard_Triple_Shade">'Transition Blinds &amp; Roma Shades'!$FI$8</definedName>
    <definedName name="Pacific_Sales_Coordinator">Data!$BA$3:$BA$7</definedName>
    <definedName name="Panel_Glide_Blind_Product">Data!$ABB$2:$ABB$12</definedName>
    <definedName name="Panel_Glide_Bottom_Rail_Colour">Data!$ABD$2:$ABD$7</definedName>
    <definedName name="Panel_Glide_Sewn_In_Pocket">Data!$ABE$2</definedName>
    <definedName name="Panel_Quantity">Data!$ABC$2:$ABC$8</definedName>
    <definedName name="Panel_Quantity_2">Data!$ABN$2:$ABN$3</definedName>
    <definedName name="Panel_Quantity_3">Data!$ABO$2:$ABO$4</definedName>
    <definedName name="Panel_Quantity_4">Data!$ABP$2:$ABP$3</definedName>
    <definedName name="Panel_Quantity_5">Data!$ABQ$2:$ABQ$4</definedName>
    <definedName name="Panel_Quantity_6">Data!$ABR$2:$ABR$3</definedName>
    <definedName name="Panel_Quantity_7">Data!$ABS$2</definedName>
    <definedName name="Panel_Quantity_9">Data!$ABU$2</definedName>
    <definedName name="Paris">Data!$AA$3:$AA$22</definedName>
    <definedName name="Paris_Coconut">Data!$DJ$3:$DJ$19</definedName>
    <definedName name="Pivot_Hinged_BFT">Data!$DW$4</definedName>
    <definedName name="Pivot_Hinged_Frame_Type">Data!$FI$2</definedName>
    <definedName name="Pivot_Hinged_TF">Data!$ED$4</definedName>
    <definedName name="Pivot_Hinges_Left_Right_Sides">Data!$IN$3:$IN$4</definedName>
    <definedName name="PivotHingeColour">Data!$MU$3:$MU$4</definedName>
    <definedName name="PivotHingedLayoutCodes">Data!$MX$2:$MX$6</definedName>
    <definedName name="PivotHingedTopBottomFrame">Data!$OF$3:$OF$5</definedName>
    <definedName name="Pompeii">Data!$PH$2:$PH$9</definedName>
    <definedName name="Prati_Colour">'Transition Blinds &amp; Roma Shades'!$EX$8:$EX$12</definedName>
    <definedName name="_xlnm.Print_Area" localSheetId="2">'25mm Aluminium Blinds'!$A$1:$U$37</definedName>
    <definedName name="_xlnm.Print_Area" localSheetId="5">'50mm &amp; 63mm Venetian Blinds'!$A$1:$V$37</definedName>
    <definedName name="_xlnm.Print_Area" localSheetId="11">'Aluminium Venetian Blinds'!$A$1:$V$37</definedName>
    <definedName name="_xlnm.Print_Area" localSheetId="6">'Cellular Blinds'!$A$1:$W$57</definedName>
    <definedName name="_xlnm.Print_Area" localSheetId="14">'CMB Bay WS'!$A$1:$L$57</definedName>
    <definedName name="_xlnm.Print_Area" localSheetId="13">'CMB Corner WS'!$A$1:$J$57</definedName>
    <definedName name="_xlnm.Print_Area" localSheetId="12">'External Venetian Blinds'!$A$1:$W$37</definedName>
    <definedName name="_xlnm.Print_Area" localSheetId="7">'Panel Glide Blinds'!$A$1:$U$37</definedName>
    <definedName name="_xlnm.Print_Area" localSheetId="3">'Roller Blinds'!$A$1:$Z$37</definedName>
    <definedName name="_xlnm.Print_Area" localSheetId="9">Shutters!$A$1:$AD$52</definedName>
    <definedName name="_xlnm.Print_Area" localSheetId="8">'Transition Blinds &amp; Roma Shades'!$A$1:$T$57</definedName>
    <definedName name="_xlnm.Print_Area" localSheetId="4">'Vertical Blinds'!$A$1:$V$27</definedName>
    <definedName name="PS50mm">Data!$BY$3:$BY$4</definedName>
    <definedName name="PS63mm">Data!$CA$3:$CA$4</definedName>
    <definedName name="PSColours50mm">Data!$AP$2:$AP$6</definedName>
    <definedName name="PSColours63mm">Data!$AQ$2:$AQ$3</definedName>
    <definedName name="PureWhiteF190">Data!$HR$3:$HR$4</definedName>
    <definedName name="PureWhiteW190">Data!$HN$3:$HN$4</definedName>
    <definedName name="PVC_89mm">Data!$CF$3</definedName>
    <definedName name="PVC89mm">Data!$DI$3:$DI$8</definedName>
    <definedName name="RECESS">Data!$CE$3:$CE$4</definedName>
    <definedName name="Roller_Blind_Product">Data!$W$3:$W$6</definedName>
    <definedName name="Roller_Pelmet_Colour">Data!$AD$3:$AD$5</definedName>
    <definedName name="RollerBlindsFabricAndColour">Data!$Y$14</definedName>
    <definedName name="RollerBracketType2">Data!$QF$2:$QF$5</definedName>
    <definedName name="RollerBracketTypeParis">Data!$QE$2:$QE$3</definedName>
    <definedName name="RollerChain_Left">Data!$QL$2:$QL$8</definedName>
    <definedName name="RollerChain_Motor_Left_Hand_5_Channel_Hand_Held">Data!$QO$2</definedName>
    <definedName name="RollerChain_Motor_Left_Hand_5_Channel_Wall_Mounted">Data!$QQ$2</definedName>
    <definedName name="RollerChain_Motor_Left_Hand_Single_Channel_Hand_Held">Data!$QN$2</definedName>
    <definedName name="RollerChain_Motor_Left_Hand_Single_Channel_Wall_Mounted">Data!$QP$2</definedName>
    <definedName name="RollerChain_Motor_Left_Home_Automation">Data!$QV$2</definedName>
    <definedName name="RollerChain_Motor_Right_Hand_5_Channel_Hand_Held">Data!$QS$2</definedName>
    <definedName name="RollerChain_Motor_Right_Hand_5_Channel_Wall_Mounted">Data!$QU$2</definedName>
    <definedName name="RollerChain_Motor_Right_Hand_Single_Channel_Hand_Held">Data!$QR$2</definedName>
    <definedName name="RollerChain_Motor_Right_Hand_Single_Channel_Wall_Mounted">Data!$QT$2</definedName>
    <definedName name="RollerChain_Motor_Right_Home_Automation">Data!$QW$2</definedName>
    <definedName name="RollerChain_Right">Data!$QM$2:$QM$8</definedName>
    <definedName name="RollerChainColour_Left">Data!$QL$18:$QL$22</definedName>
    <definedName name="RollerChainColour_Left_Home_Automation">Data!$QV$18</definedName>
    <definedName name="RollerChainColour_Motor_Left_Hand_5_Channel_Hand_Held">Data!$QO$18</definedName>
    <definedName name="RollerChainColour_Motor_Left_Hand_5_Channel_Wall_Mounted">Data!$QQ$18</definedName>
    <definedName name="RollerChainColour_Motor_Left_Hand_Single_Channel_Hand_Held">Data!$QN$18</definedName>
    <definedName name="RollerChainColour_Motor_Left_Hand_Single_Channel_Wall_Mounted">Data!$QP$18</definedName>
    <definedName name="RollerChainColour_Motor_Right_Hand_5_Channel_Hand_Held">Data!$QS$18</definedName>
    <definedName name="RollerChainColour_Motor_Right_Hand_5_Channel_Wall_Mounted">Data!$QU$18</definedName>
    <definedName name="RollerChainColour_Motor_Right_Hand_Single_Channel_Hand_Held">Data!$QR$18</definedName>
    <definedName name="RollerChainColour_Motor_Right_Hand_Single_Channel_Wall_Mounted">Data!$QT$18</definedName>
    <definedName name="RollerChainColour_Right">Data!$QM$18:$QM$22</definedName>
    <definedName name="RollerChainColour_Right_Home_Automation">Data!$QW$18</definedName>
    <definedName name="RollerControl">Data!$QJ$2:$QJ$3</definedName>
    <definedName name="RollerPelmetColourCommon">Data!$PY$2:$PY$4</definedName>
    <definedName name="RollerPelmetColourNo">Data!$QA$2</definedName>
    <definedName name="RollerPelmetColourStandard">Data!$PZ$2:$PZ$4</definedName>
    <definedName name="RollerPelmetInsertCommon">Data!$QB$2:$QB$3</definedName>
    <definedName name="RollerPelmetInsertNo">Data!$QD$2</definedName>
    <definedName name="RollerPelmetInsertStandard">Data!$QC$2:$QC$3</definedName>
    <definedName name="RollerUniversalPelmet">Data!$PX$2:$PX$4</definedName>
    <definedName name="Roma_Shade_Finish">'Transition Blinds &amp; Roma Shades'!$BW$8:$BW$11</definedName>
    <definedName name="Roma_Shade_Headbox">'Transition Blinds &amp; Roma Shades'!$BB$8</definedName>
    <definedName name="Roman_Shade">'Transition Blinds &amp; Roma Shades'!$BJ$8</definedName>
    <definedName name="Roman_Shade_Finish">'Transition Blinds &amp; Roma Shades'!$BV$8</definedName>
    <definedName name="Rome_Blockout">Data!$PJ$2:$PJ$6</definedName>
    <definedName name="Rome_Translucent">Data!$PI$2:$PI$6</definedName>
    <definedName name="S6_Colour">'Transition Blinds &amp; Roma Shades'!$CM$8:$CM$15</definedName>
    <definedName name="S9_Colour">'Transition Blinds &amp; Roma Shades'!$CN$8:$CN$15</definedName>
    <definedName name="Screw">Data!$IO$3:$IO$4</definedName>
    <definedName name="Sewn_In_Pocket">Data!$CT$3</definedName>
    <definedName name="SH2_Colour">'Transition Blinds &amp; Roma Shades'!$CZ$8:$CZ$13</definedName>
    <definedName name="ShutterAluminiumInsert">Data!$BS$2:$BU$2</definedName>
    <definedName name="ShutterEmail">Data!$BA$35:$BA$37</definedName>
    <definedName name="ShutterMaterial">Data!$BD$2:$BH$2</definedName>
    <definedName name="ShutterPhone">Data!$BB$35:$BB$37</definedName>
    <definedName name="Side_Winder_Bracket_Colour">'Transition Blinds &amp; Roma Shades'!$BN$8:$BN$15</definedName>
    <definedName name="Skylight_Cordless_Control">Data!$ZG$12:$ZG$13</definedName>
    <definedName name="Skylight_Motorised_Remote_Control">Data!$ZF$12</definedName>
    <definedName name="Skylight_Product">Data!$RQ$2</definedName>
    <definedName name="Slider_L_Bracket">Data!$IP$3</definedName>
    <definedName name="Sliding_BFT">Data!$DU$4:$DU$7</definedName>
    <definedName name="Sliding_Frame_108mm_x_35mm_Bi_Pass_Frame_Material">Data!$GO$2:$GO$3</definedName>
    <definedName name="Sliding_Frame_Type">Data!$FM$2:$FM$5</definedName>
    <definedName name="Sliding_TF">Data!$EB$4</definedName>
    <definedName name="SlidingLayoutCodes">Data!$LZ$2:$LZ$24</definedName>
    <definedName name="Small_Face_Fit_L_Frame_Material">Data!$GP$2:$GP$3</definedName>
    <definedName name="Small_L_Frame_Material">Data!$GQ$2:$GQ$3</definedName>
    <definedName name="Small_Tube">Data!$KS$2:$KS$3</definedName>
    <definedName name="SOCDoubleHinged">Data!$JC$3</definedName>
    <definedName name="SOCFixed">Data!$JF$3</definedName>
    <definedName name="SOCHinged">Data!$JB$3</definedName>
    <definedName name="SOCNA">Data!$JA$3</definedName>
    <definedName name="SOCPivotHinged">Data!$JG$3</definedName>
    <definedName name="SOCSliding">Data!$JE$3:$JE$4</definedName>
    <definedName name="SOCTrackBiFold">Data!$JD$3</definedName>
    <definedName name="SP1_Colour">'Transition Blinds &amp; Roma Shades'!$CX$8:$CX$11</definedName>
    <definedName name="SP10_Colour">'Transition Blinds &amp; Roma Shades'!$CY$8:$CY$11</definedName>
    <definedName name="Special_Comments_1">Data!$EM$3:$EM$15</definedName>
    <definedName name="Special_Comments_2">Data!$EN$3:$EN$15</definedName>
    <definedName name="Special_Comments_3">Data!$EO$3:$EO$15</definedName>
    <definedName name="Special_Window">Data!$EJ$3:$EJ$13</definedName>
    <definedName name="Spring_Pin">Data!$IQ$3</definedName>
    <definedName name="Stack">'Transition Blinds &amp; Roma Shades'!$BF$8:$BF$11</definedName>
    <definedName name="Standard">Data!$KM$2</definedName>
    <definedName name="Standard_Hinge">Data!$IR$3:$IR$11</definedName>
    <definedName name="Standard_Hinge_Large_90mm">Data!$IW$3:$IW$6</definedName>
    <definedName name="Stepped_Rabbet_Hinge">Data!$IS$3:$IS$10</definedName>
    <definedName name="Store_Name">'Stores &amp; Delivery Addresses '!$B$3:$B$302</definedName>
    <definedName name="STYLE35">Data!$I$1</definedName>
    <definedName name="STYLE35_LK">Data!$I$1:$K$1</definedName>
    <definedName name="STYLE36">Data!$I$2</definedName>
    <definedName name="STYLE36_LK">Data!$I$2:$K$2</definedName>
    <definedName name="STYLE37">Data!$I$3</definedName>
    <definedName name="STYLE37_LK">Data!$I$3:$K$3</definedName>
    <definedName name="STYLE38">Data!$I$4</definedName>
    <definedName name="STYLE38_LK">Data!$I$4:$K$4</definedName>
    <definedName name="Sunscreen">Data!$AB$3:$AB$11</definedName>
    <definedName name="T_Post_Material">Data!$GR$2:$GR$3</definedName>
    <definedName name="Termini_Colour">'Transition Blinds &amp; Roma Shades'!$EY$8:$EY$13</definedName>
    <definedName name="TiltCordless" localSheetId="11">'Aluminium Venetian Blinds'!$AV$8:$AV$9</definedName>
    <definedName name="TiltCordless" localSheetId="12">'External Venetian Blinds'!$AW$8:$AW$9</definedName>
    <definedName name="TiltCordless">'50mm &amp; 63mm Venetian Blinds'!$AV$8:$AV$9</definedName>
    <definedName name="Tiltrod">Data!$BW$3:$BW$6</definedName>
    <definedName name="Timber_Blade">Data!$EW$3:$EW$5</definedName>
    <definedName name="Timber_Double_Hinged_Frame_Type">Data!$FH$2:$FH$12</definedName>
    <definedName name="Timber_Eco">Data!$BD$3:$BD$11</definedName>
    <definedName name="Timber_Hinged_Frame_Type">Data!$FG$2:$FG$12</definedName>
    <definedName name="TimberColours50mm">Data!$AR$2:$AR$6</definedName>
    <definedName name="TimberExtraOptionsStd">Data!$KC$3:$KC$11</definedName>
    <definedName name="TimberExtrasOptions">Data!$IX$3:$IX$10</definedName>
    <definedName name="TimberExtrasOptionsPainted">Data!$KB$3:$KB$7</definedName>
    <definedName name="TimberN">Data!$BS$3</definedName>
    <definedName name="TimberT">Data!$CM$3</definedName>
    <definedName name="Top_Bottom_Rail_137.5mm_x_21mm_Material">Data!$GS$2:$GS$3</definedName>
    <definedName name="Top_Fixed_Pivot_Bracket">Data!$IT$3</definedName>
    <definedName name="Top_Track_Stopper_Block">Data!$IU$3</definedName>
    <definedName name="Top_Wheel">Data!$IV$3</definedName>
    <definedName name="TopBottom_Rail_137.5mm_x_21mmReinforced_Profile">Data!$GS$13</definedName>
    <definedName name="TopFrame100mm">Data!$OA$3</definedName>
    <definedName name="TopFrame140mm">Data!$OB$3</definedName>
    <definedName name="TopFrame180mm">Data!$OC$3</definedName>
    <definedName name="TopFrame220mm">Data!$OD$3</definedName>
    <definedName name="TopFrameBullnoseZFrame">Data!$NY$3:$NY$6</definedName>
    <definedName name="TopFrameHangingStrip">Data!$NP$3:$NP$5</definedName>
    <definedName name="TopFrameLargeBullnoseZFrame">Data!$OG$3:$OG$6</definedName>
    <definedName name="TopFrameLargeFFLFrame">Data!$NV$3:$NV$5</definedName>
    <definedName name="TopFrameLargeLFrame">Data!$NU$3:$NU$5</definedName>
    <definedName name="TopFrameLargeZFrame">Data!$NX$3:$NX$6</definedName>
    <definedName name="TopFrameMediumFFLFrame">Data!$NT$3:$NT$5</definedName>
    <definedName name="TopFrameMediumLFrame">Data!$NS$3:$NS$5</definedName>
    <definedName name="TopFrameNA">Data!$OE$3</definedName>
    <definedName name="TopFrameNoFrame">Data!$NO$3:$NO$5</definedName>
    <definedName name="TopFrameSmallFFLFrame">Data!$NR$3:$NR$5</definedName>
    <definedName name="TopFrameSmallLFrame">Data!$NQ$3:$NQ$5</definedName>
    <definedName name="TopFrameStandardZFrame">Data!$NW$3:$NW$6</definedName>
    <definedName name="TopFrameUChannel">Data!$NZ$3</definedName>
    <definedName name="Track_Bi_Fold_BFT">Data!$DT$4:$DT$6</definedName>
    <definedName name="Track_Bi_Fold_Frame_Type">Data!$FL$2</definedName>
    <definedName name="Track_Bi_Fold_TF">Data!$EA$4</definedName>
    <definedName name="TrackBiFoldLayoutCodes">Data!$MA$2:$MA$14</definedName>
    <definedName name="Tracking_For_Bi_Fold_Sliding_Shutters_Material">Data!$GT$2:$GT$3</definedName>
    <definedName name="Transition_Range_Blinds_Product_Type">'Transition Blinds &amp; Roma Shades'!$BE$8:$BE$10</definedName>
    <definedName name="Tridente_Colour">'Transition Blinds &amp; Roma Shades'!$EZ$8:$EZ$13</definedName>
    <definedName name="Triple_Shade">'Transition Blinds &amp; Roma Shades'!$BK$8</definedName>
    <definedName name="Triple_Shade_Finish">'Transition Blinds &amp; Roma Shades'!$BX$8:$BX$11</definedName>
    <definedName name="Tube38mm">Data!$AF$3:$AF$16</definedName>
    <definedName name="Tube45mm">Data!$AH$3:$AH$8</definedName>
    <definedName name="U_Channel_40mm_x_15mm_Material">Data!$GU$2:$GU$3</definedName>
    <definedName name="U_Channel_40mm_x_25mm_Material">Data!$GV$2:$GV$3</definedName>
    <definedName name="UChannelNA">'Cellular Blinds'!$BK$8</definedName>
    <definedName name="UChannelYes">'Cellular Blinds'!$BL$8:$BL$10</definedName>
    <definedName name="VenetianProduct">Data!$OL$3:$OL$7</definedName>
    <definedName name="Venice">Data!$PL$2:$PL$7</definedName>
    <definedName name="Vertical_Extension_Bracket_Option">'Transition Blinds &amp; Roma Shades'!$FA$8:$FA$9</definedName>
    <definedName name="Vertical_Extension_Bracket_Option_NA">'Transition Blinds &amp; Roma Shades'!$FB$8</definedName>
    <definedName name="Vertical_Shade">'Transition Blinds &amp; Roma Shades'!$BL$8:$BL$11</definedName>
    <definedName name="Vertical_Shade_Finish">'Transition Blinds &amp; Roma Shades'!$BY$8:$BY$9</definedName>
    <definedName name="VerticalColours">Data!$AL$2:$AL$7</definedName>
    <definedName name="VerticalPelmentNo">Data!$CV$3</definedName>
    <definedName name="VerticalPelmentYes">Data!$CU$3:$CU$5</definedName>
    <definedName name="VerticalTrack">Data!$DL$3:$DL$6</definedName>
    <definedName name="WalnutW891">Data!$HI$3:$HI$4</definedName>
    <definedName name="White">Data!$CU$4:$CU$5</definedName>
    <definedName name="WhiteF186">Data!$HO$3:$HO$4</definedName>
    <definedName name="WhiteW105">Data!$HA$3:$HA$5</definedName>
    <definedName name="WindowType">Data!$AJ$2:$AJ$10</definedName>
    <definedName name="WindowTypeNA">Data!$AK$2</definedName>
    <definedName name="WindowTypeSkylight">Data!$AJ$20</definedName>
    <definedName name="Yes">Data!$CU$3:$CU$5</definedName>
    <definedName name="Z_Sill_Frame_Material">Data!$GW$2:$GW$3</definedName>
    <definedName name="ZRColour">'External Venetian Blinds'!$BM$8</definedName>
    <definedName name="ZRProfileGuideOption">'External Venetian Blinds'!$BH$8</definedName>
  </definedNames>
  <calcPr calcId="191029"/>
</workbook>
</file>

<file path=xl/calcChain.xml><?xml version="1.0" encoding="utf-8"?>
<calcChain xmlns="http://schemas.openxmlformats.org/spreadsheetml/2006/main">
  <c r="V9" i="25" l="1"/>
  <c r="AE9" i="25" s="1"/>
  <c r="V10" i="25"/>
  <c r="V11" i="25"/>
  <c r="V12" i="25"/>
  <c r="V13" i="25"/>
  <c r="V14" i="25"/>
  <c r="V15" i="25"/>
  <c r="V16" i="25"/>
  <c r="AE16" i="25" s="1"/>
  <c r="V17" i="25"/>
  <c r="AE17" i="25" s="1"/>
  <c r="V18" i="25"/>
  <c r="V19" i="25"/>
  <c r="V20" i="25"/>
  <c r="AE20" i="25" s="1"/>
  <c r="V21" i="25"/>
  <c r="V22" i="25"/>
  <c r="V23" i="25"/>
  <c r="V24" i="25"/>
  <c r="AE24" i="25" s="1"/>
  <c r="V25" i="25"/>
  <c r="V26" i="25"/>
  <c r="V27" i="25"/>
  <c r="V28" i="25"/>
  <c r="AE28" i="25" s="1"/>
  <c r="V29" i="25"/>
  <c r="AE29" i="25" s="1"/>
  <c r="V30" i="25"/>
  <c r="V31" i="25"/>
  <c r="V32" i="25"/>
  <c r="AE32" i="25" s="1"/>
  <c r="V33" i="25"/>
  <c r="V34" i="25"/>
  <c r="V35" i="25"/>
  <c r="V36" i="25"/>
  <c r="V37" i="25"/>
  <c r="V38" i="25"/>
  <c r="V39" i="25"/>
  <c r="V40" i="25"/>
  <c r="AE40" i="25" s="1"/>
  <c r="V41" i="25"/>
  <c r="AE41" i="25" s="1"/>
  <c r="V42" i="25"/>
  <c r="V43" i="25"/>
  <c r="V44" i="25"/>
  <c r="AE44" i="25" s="1"/>
  <c r="V45" i="25"/>
  <c r="V46" i="25"/>
  <c r="V47" i="25"/>
  <c r="V48" i="25"/>
  <c r="V49" i="25"/>
  <c r="V50" i="25"/>
  <c r="V51" i="25"/>
  <c r="V52" i="25"/>
  <c r="AE52" i="25" s="1"/>
  <c r="V53" i="25"/>
  <c r="AE53" i="25" s="1"/>
  <c r="V54" i="25"/>
  <c r="V55" i="25"/>
  <c r="V56" i="25"/>
  <c r="AE56" i="25" s="1"/>
  <c r="V57" i="25"/>
  <c r="AE10" i="25"/>
  <c r="AE11" i="25"/>
  <c r="AE12" i="25"/>
  <c r="AE13" i="25"/>
  <c r="AE14" i="25"/>
  <c r="AE15" i="25"/>
  <c r="AE18" i="25"/>
  <c r="AE19" i="25"/>
  <c r="AE21" i="25"/>
  <c r="AE22" i="25"/>
  <c r="AE23" i="25"/>
  <c r="AE25" i="25"/>
  <c r="AE26" i="25"/>
  <c r="AE27" i="25"/>
  <c r="AE30" i="25"/>
  <c r="AE31" i="25"/>
  <c r="AE33" i="25"/>
  <c r="AE34" i="25"/>
  <c r="AE35" i="25"/>
  <c r="AE36" i="25"/>
  <c r="AE37" i="25"/>
  <c r="AE38" i="25"/>
  <c r="AE39" i="25"/>
  <c r="AE42" i="25"/>
  <c r="AE43" i="25"/>
  <c r="AE45" i="25"/>
  <c r="AE46" i="25"/>
  <c r="AE47" i="25"/>
  <c r="AE48" i="25"/>
  <c r="AE49" i="25"/>
  <c r="AE50" i="25"/>
  <c r="AE51" i="25"/>
  <c r="AE54" i="25"/>
  <c r="AE55" i="25"/>
  <c r="AE57" i="25"/>
  <c r="V8" i="25" l="1"/>
  <c r="AE8" i="25" s="1"/>
  <c r="D21" i="18"/>
  <c r="CF9" i="26"/>
  <c r="CG9" i="26"/>
  <c r="CF10" i="26"/>
  <c r="CG10" i="26"/>
  <c r="CF11" i="26"/>
  <c r="CG11" i="26"/>
  <c r="CF12" i="26"/>
  <c r="CG12" i="26"/>
  <c r="CF13" i="26"/>
  <c r="CG13" i="26"/>
  <c r="CF14" i="26"/>
  <c r="CG14" i="26"/>
  <c r="CF15" i="26"/>
  <c r="CG15" i="26"/>
  <c r="CF16" i="26"/>
  <c r="CG16" i="26"/>
  <c r="CF17" i="26"/>
  <c r="CG17" i="26"/>
  <c r="CF18" i="26"/>
  <c r="CG18" i="26"/>
  <c r="CF19" i="26"/>
  <c r="CG19" i="26"/>
  <c r="CF20" i="26"/>
  <c r="CG20" i="26"/>
  <c r="CF21" i="26"/>
  <c r="CG21" i="26"/>
  <c r="CF22" i="26"/>
  <c r="CG22" i="26"/>
  <c r="CF23" i="26"/>
  <c r="CG23" i="26"/>
  <c r="CF24" i="26"/>
  <c r="CG24" i="26"/>
  <c r="CF25" i="26"/>
  <c r="CG25" i="26"/>
  <c r="CF26" i="26"/>
  <c r="CG26" i="26"/>
  <c r="CF27" i="26"/>
  <c r="CG27" i="26"/>
  <c r="CF28" i="26"/>
  <c r="CG28" i="26"/>
  <c r="CF29" i="26"/>
  <c r="CG29" i="26"/>
  <c r="CF30" i="26"/>
  <c r="CG30" i="26"/>
  <c r="CF31" i="26"/>
  <c r="CG31" i="26"/>
  <c r="CF32" i="26"/>
  <c r="CG32" i="26"/>
  <c r="CF33" i="26"/>
  <c r="CG33" i="26"/>
  <c r="CF34" i="26"/>
  <c r="CG34" i="26"/>
  <c r="CF35" i="26"/>
  <c r="CG35" i="26"/>
  <c r="CF36" i="26"/>
  <c r="CG36" i="26"/>
  <c r="CF37" i="26"/>
  <c r="CG37" i="26"/>
  <c r="CF38" i="26"/>
  <c r="CG38" i="26"/>
  <c r="CF39" i="26"/>
  <c r="CG39" i="26"/>
  <c r="CF40" i="26"/>
  <c r="CG40" i="26"/>
  <c r="CF41" i="26"/>
  <c r="CG41" i="26"/>
  <c r="CF42" i="26"/>
  <c r="CG42" i="26"/>
  <c r="CF43" i="26"/>
  <c r="CG43" i="26"/>
  <c r="CF44" i="26"/>
  <c r="CG44" i="26"/>
  <c r="CF45" i="26"/>
  <c r="CG45" i="26"/>
  <c r="CF46" i="26"/>
  <c r="CG46" i="26"/>
  <c r="CF47" i="26"/>
  <c r="CG47" i="26"/>
  <c r="CF48" i="26"/>
  <c r="CG48" i="26"/>
  <c r="CF49" i="26"/>
  <c r="CG49" i="26"/>
  <c r="CF50" i="26"/>
  <c r="CG50" i="26"/>
  <c r="CF51" i="26"/>
  <c r="CG51" i="26"/>
  <c r="CF52" i="26"/>
  <c r="CG52" i="26"/>
  <c r="CF53" i="26"/>
  <c r="CG53" i="26"/>
  <c r="CF54" i="26"/>
  <c r="CG54" i="26"/>
  <c r="CF55" i="26"/>
  <c r="CG55" i="26"/>
  <c r="CF56" i="26"/>
  <c r="CG56" i="26"/>
  <c r="CF57" i="26"/>
  <c r="CG57" i="26"/>
  <c r="CG8" i="26"/>
  <c r="BY9" i="26"/>
  <c r="BY10" i="26"/>
  <c r="BY11" i="26"/>
  <c r="BY12" i="26"/>
  <c r="BY13" i="26"/>
  <c r="BY14" i="26"/>
  <c r="BY15" i="26"/>
  <c r="BY16" i="26"/>
  <c r="BY17" i="26"/>
  <c r="BY18" i="26"/>
  <c r="BY19" i="26"/>
  <c r="BY20" i="26"/>
  <c r="BY21" i="26"/>
  <c r="BY22" i="26"/>
  <c r="BY23" i="26"/>
  <c r="BY24" i="26"/>
  <c r="BY25" i="26"/>
  <c r="BY26" i="26"/>
  <c r="BY27" i="26"/>
  <c r="BY28" i="26"/>
  <c r="BY29" i="26"/>
  <c r="BY30" i="26"/>
  <c r="BY31" i="26"/>
  <c r="BY32" i="26"/>
  <c r="BY33" i="26"/>
  <c r="BY34" i="26"/>
  <c r="BY35" i="26"/>
  <c r="BY36" i="26"/>
  <c r="BY37" i="26"/>
  <c r="BY38" i="26"/>
  <c r="BY39" i="26"/>
  <c r="BY40" i="26"/>
  <c r="BY41" i="26"/>
  <c r="BY42" i="26"/>
  <c r="BY43" i="26"/>
  <c r="BY44" i="26"/>
  <c r="BY45" i="26"/>
  <c r="BY46" i="26"/>
  <c r="BY47" i="26"/>
  <c r="BY48" i="26"/>
  <c r="BY49" i="26"/>
  <c r="BY50" i="26"/>
  <c r="BY51" i="26"/>
  <c r="BY52" i="26"/>
  <c r="BY53" i="26"/>
  <c r="BY54" i="26"/>
  <c r="BY55" i="26"/>
  <c r="BY56" i="26"/>
  <c r="BY57" i="26"/>
  <c r="CF8" i="26"/>
  <c r="BY8" i="26"/>
  <c r="BU12" i="26"/>
  <c r="BT12" i="26"/>
  <c r="BS12" i="26"/>
  <c r="BU11" i="26"/>
  <c r="BU10" i="26"/>
  <c r="BU9" i="26"/>
  <c r="BU8" i="26"/>
  <c r="BT11" i="26"/>
  <c r="BT10" i="26"/>
  <c r="BT9" i="26"/>
  <c r="BT8" i="26"/>
  <c r="BS9" i="26"/>
  <c r="BS11" i="26"/>
  <c r="BS10" i="26"/>
  <c r="BS8" i="26"/>
  <c r="BB16" i="26"/>
  <c r="BC16" i="26"/>
  <c r="BB17" i="26"/>
  <c r="BC17" i="26"/>
  <c r="BB18" i="26"/>
  <c r="BC18" i="26"/>
  <c r="BB19" i="26"/>
  <c r="BC19" i="26"/>
  <c r="BB20" i="26"/>
  <c r="BC20" i="26"/>
  <c r="BB21" i="26"/>
  <c r="BC21" i="26"/>
  <c r="BB22" i="26"/>
  <c r="BC22" i="26"/>
  <c r="BB23" i="26"/>
  <c r="BC23" i="26"/>
  <c r="BB24" i="26"/>
  <c r="BC24" i="26"/>
  <c r="BB25" i="26"/>
  <c r="BC25" i="26"/>
  <c r="BB26" i="26"/>
  <c r="BC26" i="26"/>
  <c r="BB27" i="26"/>
  <c r="BC27" i="26"/>
  <c r="BB28" i="26"/>
  <c r="BC28" i="26"/>
  <c r="BB29" i="26"/>
  <c r="BC29" i="26"/>
  <c r="BB30" i="26"/>
  <c r="BC30" i="26"/>
  <c r="BB31" i="26"/>
  <c r="BC31" i="26"/>
  <c r="BB32" i="26"/>
  <c r="BC32" i="26"/>
  <c r="BB33" i="26"/>
  <c r="BC33" i="26"/>
  <c r="BB34" i="26"/>
  <c r="BC34" i="26"/>
  <c r="BB35" i="26"/>
  <c r="BC35" i="26"/>
  <c r="BB36" i="26"/>
  <c r="BC36" i="26"/>
  <c r="BB37" i="26"/>
  <c r="BC37" i="26"/>
  <c r="BB38" i="26"/>
  <c r="BC38" i="26"/>
  <c r="BB39" i="26"/>
  <c r="BC39" i="26"/>
  <c r="BB40" i="26"/>
  <c r="BC40" i="26"/>
  <c r="BB41" i="26"/>
  <c r="BC41" i="26"/>
  <c r="BB42" i="26"/>
  <c r="BC42" i="26"/>
  <c r="BB43" i="26"/>
  <c r="BC43" i="26"/>
  <c r="BB44" i="26"/>
  <c r="BC44" i="26"/>
  <c r="BB45" i="26"/>
  <c r="BC45" i="26"/>
  <c r="BB46" i="26"/>
  <c r="BC46" i="26"/>
  <c r="BB47" i="26"/>
  <c r="BC47" i="26"/>
  <c r="BB48" i="26"/>
  <c r="BC48" i="26"/>
  <c r="BB49" i="26"/>
  <c r="BC49" i="26"/>
  <c r="BB50" i="26"/>
  <c r="BC50" i="26"/>
  <c r="BB51" i="26"/>
  <c r="BC51" i="26"/>
  <c r="BB52" i="26"/>
  <c r="BC52" i="26"/>
  <c r="BB53" i="26"/>
  <c r="BC53" i="26"/>
  <c r="BB54" i="26"/>
  <c r="BC54" i="26"/>
  <c r="BB55" i="26"/>
  <c r="BC55" i="26"/>
  <c r="BB56" i="26"/>
  <c r="BC56" i="26"/>
  <c r="BB57" i="26"/>
  <c r="BC57" i="26"/>
  <c r="BA11" i="26"/>
  <c r="BB11" i="26" s="1"/>
  <c r="AZ13" i="26"/>
  <c r="BC13" i="26" s="1"/>
  <c r="AZ11" i="26"/>
  <c r="BC11" i="26" s="1"/>
  <c r="BA13" i="26"/>
  <c r="BB13" i="26" s="1"/>
  <c r="AZ10" i="26"/>
  <c r="BC10" i="26" s="1"/>
  <c r="BA10" i="26"/>
  <c r="BB10" i="26" s="1"/>
  <c r="BA15" i="26"/>
  <c r="BB15" i="26" s="1"/>
  <c r="BA14" i="26"/>
  <c r="BB14" i="26" s="1"/>
  <c r="BA12" i="26"/>
  <c r="BB12" i="26" s="1"/>
  <c r="BA9" i="26"/>
  <c r="BB9" i="26" s="1"/>
  <c r="BA8" i="26"/>
  <c r="BB8" i="26" s="1"/>
  <c r="AZ15" i="26" l="1"/>
  <c r="BC15" i="26" s="1"/>
  <c r="AZ14" i="26"/>
  <c r="BC14" i="26" s="1"/>
  <c r="AZ12" i="26"/>
  <c r="BC12" i="26" s="1"/>
  <c r="AZ9" i="26" l="1"/>
  <c r="BC9" i="26" s="1"/>
  <c r="AZ8" i="26"/>
  <c r="BC8" i="26" s="1"/>
  <c r="AW57" i="26"/>
  <c r="AT57" i="26"/>
  <c r="AG57" i="26"/>
  <c r="AA57" i="26"/>
  <c r="AW56" i="26"/>
  <c r="AT56" i="26"/>
  <c r="AG56" i="26"/>
  <c r="AA56" i="26"/>
  <c r="AW55" i="26"/>
  <c r="AT55" i="26"/>
  <c r="AG55" i="26"/>
  <c r="AA55" i="26"/>
  <c r="AW54" i="26"/>
  <c r="AT54" i="26"/>
  <c r="AG54" i="26"/>
  <c r="AA54" i="26"/>
  <c r="AW53" i="26"/>
  <c r="AT53" i="26"/>
  <c r="AG53" i="26"/>
  <c r="AA53" i="26"/>
  <c r="AW52" i="26"/>
  <c r="AT52" i="26"/>
  <c r="AG52" i="26"/>
  <c r="AA52" i="26"/>
  <c r="AW51" i="26"/>
  <c r="AT51" i="26"/>
  <c r="AG51" i="26"/>
  <c r="AA51" i="26"/>
  <c r="AW50" i="26"/>
  <c r="AT50" i="26"/>
  <c r="AG50" i="26"/>
  <c r="AA50" i="26"/>
  <c r="AW49" i="26"/>
  <c r="AT49" i="26"/>
  <c r="AG49" i="26"/>
  <c r="AA49" i="26"/>
  <c r="AW48" i="26"/>
  <c r="AT48" i="26"/>
  <c r="AG48" i="26"/>
  <c r="AA48" i="26"/>
  <c r="AW47" i="26"/>
  <c r="AT47" i="26"/>
  <c r="AG47" i="26"/>
  <c r="AA47" i="26"/>
  <c r="AW46" i="26"/>
  <c r="AT46" i="26"/>
  <c r="AG46" i="26"/>
  <c r="AA46" i="26"/>
  <c r="AW45" i="26"/>
  <c r="AT45" i="26"/>
  <c r="AG45" i="26"/>
  <c r="AA45" i="26"/>
  <c r="AW44" i="26"/>
  <c r="AT44" i="26"/>
  <c r="AG44" i="26"/>
  <c r="AA44" i="26"/>
  <c r="AW43" i="26"/>
  <c r="AT43" i="26"/>
  <c r="AG43" i="26"/>
  <c r="AA43" i="26"/>
  <c r="AW42" i="26"/>
  <c r="AT42" i="26"/>
  <c r="AG42" i="26"/>
  <c r="AA42" i="26"/>
  <c r="AW41" i="26"/>
  <c r="AT41" i="26"/>
  <c r="AG41" i="26"/>
  <c r="AA41" i="26"/>
  <c r="AW40" i="26"/>
  <c r="AT40" i="26"/>
  <c r="AG40" i="26"/>
  <c r="AA40" i="26"/>
  <c r="AW39" i="26"/>
  <c r="AT39" i="26"/>
  <c r="AG39" i="26"/>
  <c r="AA39" i="26"/>
  <c r="AW38" i="26"/>
  <c r="AT38" i="26"/>
  <c r="AG38" i="26"/>
  <c r="AA38" i="26"/>
  <c r="AW37" i="26"/>
  <c r="AT37" i="26"/>
  <c r="AG37" i="26"/>
  <c r="AA37" i="26"/>
  <c r="AW36" i="26"/>
  <c r="AT36" i="26"/>
  <c r="AG36" i="26"/>
  <c r="AA36" i="26"/>
  <c r="AW35" i="26"/>
  <c r="AT35" i="26"/>
  <c r="AG35" i="26"/>
  <c r="AA35" i="26"/>
  <c r="AW34" i="26"/>
  <c r="AT34" i="26"/>
  <c r="AG34" i="26"/>
  <c r="AA34" i="26"/>
  <c r="AW33" i="26"/>
  <c r="AT33" i="26"/>
  <c r="AG33" i="26"/>
  <c r="AA33" i="26"/>
  <c r="AW32" i="26"/>
  <c r="AT32" i="26"/>
  <c r="AG32" i="26"/>
  <c r="AA32" i="26"/>
  <c r="AW31" i="26"/>
  <c r="AT31" i="26"/>
  <c r="AG31" i="26"/>
  <c r="AA31" i="26"/>
  <c r="AW30" i="26"/>
  <c r="AT30" i="26"/>
  <c r="AG30" i="26"/>
  <c r="AA30" i="26"/>
  <c r="AW29" i="26"/>
  <c r="AT29" i="26"/>
  <c r="AG29" i="26"/>
  <c r="AA29" i="26"/>
  <c r="AW28" i="26"/>
  <c r="AT28" i="26"/>
  <c r="AG28" i="26"/>
  <c r="AA28" i="26"/>
  <c r="AW27" i="26"/>
  <c r="AT27" i="26"/>
  <c r="AG27" i="26"/>
  <c r="AA27" i="26"/>
  <c r="AW26" i="26"/>
  <c r="AT26" i="26"/>
  <c r="AG26" i="26"/>
  <c r="AA26" i="26"/>
  <c r="AW25" i="26"/>
  <c r="AT25" i="26"/>
  <c r="AG25" i="26"/>
  <c r="AA25" i="26"/>
  <c r="AW24" i="26"/>
  <c r="AT24" i="26"/>
  <c r="AG24" i="26"/>
  <c r="AA24" i="26"/>
  <c r="AW23" i="26"/>
  <c r="AT23" i="26"/>
  <c r="AG23" i="26"/>
  <c r="AA23" i="26"/>
  <c r="AW22" i="26"/>
  <c r="AT22" i="26"/>
  <c r="AG22" i="26"/>
  <c r="AA22" i="26"/>
  <c r="AW21" i="26"/>
  <c r="AT21" i="26"/>
  <c r="AG21" i="26"/>
  <c r="AA21" i="26"/>
  <c r="AW20" i="26"/>
  <c r="AT20" i="26"/>
  <c r="AG20" i="26"/>
  <c r="AA20" i="26"/>
  <c r="AW19" i="26"/>
  <c r="AT19" i="26"/>
  <c r="AG19" i="26"/>
  <c r="AA19" i="26"/>
  <c r="AW18" i="26"/>
  <c r="AT18" i="26"/>
  <c r="AG18" i="26"/>
  <c r="AA18" i="26"/>
  <c r="AW17" i="26"/>
  <c r="AT17" i="26"/>
  <c r="AG17" i="26"/>
  <c r="AA17" i="26"/>
  <c r="AW16" i="26"/>
  <c r="AT16" i="26"/>
  <c r="AG16" i="26"/>
  <c r="AA16" i="26"/>
  <c r="AW15" i="26"/>
  <c r="AT15" i="26"/>
  <c r="AG15" i="26"/>
  <c r="AA15" i="26"/>
  <c r="AW14" i="26"/>
  <c r="AT14" i="26"/>
  <c r="AG14" i="26"/>
  <c r="AB14" i="26"/>
  <c r="AA14" i="26"/>
  <c r="AW13" i="26"/>
  <c r="AT13" i="26"/>
  <c r="AG13" i="26"/>
  <c r="AB13" i="26"/>
  <c r="AA13" i="26"/>
  <c r="AW12" i="26"/>
  <c r="AT12" i="26"/>
  <c r="AQ12" i="26"/>
  <c r="AG12" i="26"/>
  <c r="AB12" i="26"/>
  <c r="AA12" i="26"/>
  <c r="AW11" i="26"/>
  <c r="AT11" i="26"/>
  <c r="AQ11" i="26"/>
  <c r="AG11" i="26"/>
  <c r="AB11" i="26"/>
  <c r="AA11" i="26"/>
  <c r="AW10" i="26"/>
  <c r="AT10" i="26"/>
  <c r="AQ10" i="26"/>
  <c r="AG10" i="26"/>
  <c r="AB10" i="26"/>
  <c r="AA10" i="26"/>
  <c r="AW9" i="26"/>
  <c r="AT9" i="26"/>
  <c r="AQ9" i="26"/>
  <c r="AG9" i="26"/>
  <c r="AB9" i="26"/>
  <c r="AA9" i="26"/>
  <c r="AW8" i="26"/>
  <c r="AT8" i="26"/>
  <c r="AQ8" i="26"/>
  <c r="AG8" i="26"/>
  <c r="AC8" i="26"/>
  <c r="AB8" i="26"/>
  <c r="AA8" i="26"/>
  <c r="N5" i="26"/>
  <c r="N4" i="26"/>
  <c r="N3" i="26"/>
  <c r="N2" i="26"/>
  <c r="N1" i="26"/>
  <c r="BB9" i="25"/>
  <c r="BB8" i="25"/>
  <c r="D22" i="18"/>
  <c r="BN9" i="25"/>
  <c r="BN10" i="25"/>
  <c r="BN11" i="25"/>
  <c r="BN12" i="25"/>
  <c r="BN13" i="25"/>
  <c r="BN14" i="25"/>
  <c r="BN15" i="25"/>
  <c r="BN16" i="25"/>
  <c r="BN17" i="25"/>
  <c r="BN18" i="25"/>
  <c r="BN19" i="25"/>
  <c r="BN20" i="25"/>
  <c r="BN21" i="25"/>
  <c r="BN22" i="25"/>
  <c r="BN23" i="25"/>
  <c r="BN24" i="25"/>
  <c r="BN25" i="25"/>
  <c r="BN26" i="25"/>
  <c r="BN27" i="25"/>
  <c r="BN28" i="25"/>
  <c r="BN29" i="25"/>
  <c r="BN30" i="25"/>
  <c r="BN31" i="25"/>
  <c r="BN32" i="25"/>
  <c r="BN33" i="25"/>
  <c r="BN34" i="25"/>
  <c r="BN35" i="25"/>
  <c r="BN36" i="25"/>
  <c r="BN37" i="25"/>
  <c r="BN38" i="25"/>
  <c r="BN39" i="25"/>
  <c r="BN40" i="25"/>
  <c r="BN41" i="25"/>
  <c r="BN42" i="25"/>
  <c r="BN43" i="25"/>
  <c r="BN44" i="25"/>
  <c r="BN45" i="25"/>
  <c r="BN46" i="25"/>
  <c r="BN47" i="25"/>
  <c r="BN48" i="25"/>
  <c r="BN49" i="25"/>
  <c r="BN50" i="25"/>
  <c r="BN51" i="25"/>
  <c r="BN52" i="25"/>
  <c r="BN53" i="25"/>
  <c r="BN54" i="25"/>
  <c r="BN55" i="25"/>
  <c r="BN56" i="25"/>
  <c r="BN57" i="25"/>
  <c r="BN58" i="25"/>
  <c r="BN8" i="25"/>
  <c r="BC12" i="25"/>
  <c r="BC11" i="25"/>
  <c r="BC10" i="25"/>
  <c r="BC9" i="25"/>
  <c r="BC8" i="25"/>
  <c r="AB16" i="26" l="1"/>
  <c r="AB15" i="26"/>
  <c r="BI9" i="25"/>
  <c r="BI10" i="25"/>
  <c r="BI11" i="25"/>
  <c r="BI12" i="25"/>
  <c r="BI13" i="25"/>
  <c r="BI14" i="25"/>
  <c r="BI15" i="25"/>
  <c r="BI16" i="25"/>
  <c r="BI17" i="25"/>
  <c r="BI18" i="25"/>
  <c r="BI19" i="25"/>
  <c r="BI20" i="25"/>
  <c r="BI21" i="25"/>
  <c r="BI22" i="25"/>
  <c r="BI23" i="25"/>
  <c r="BI24" i="25"/>
  <c r="BI25" i="25"/>
  <c r="BI26" i="25"/>
  <c r="BI27" i="25"/>
  <c r="BI28" i="25"/>
  <c r="BI29" i="25"/>
  <c r="BI30" i="25"/>
  <c r="BI31" i="25"/>
  <c r="BI32" i="25"/>
  <c r="BI33" i="25"/>
  <c r="BI34" i="25"/>
  <c r="BI35" i="25"/>
  <c r="BI36" i="25"/>
  <c r="BI37" i="25"/>
  <c r="BI38" i="25"/>
  <c r="BI39" i="25"/>
  <c r="BI40" i="25"/>
  <c r="BI41" i="25"/>
  <c r="BI42" i="25"/>
  <c r="BI43" i="25"/>
  <c r="BI44" i="25"/>
  <c r="BI45" i="25"/>
  <c r="BI46" i="25"/>
  <c r="BI47" i="25"/>
  <c r="BI48" i="25"/>
  <c r="BI49" i="25"/>
  <c r="BI50" i="25"/>
  <c r="BI51" i="25"/>
  <c r="BI52" i="25"/>
  <c r="BI53" i="25"/>
  <c r="BI54" i="25"/>
  <c r="BI55" i="25"/>
  <c r="BI56" i="25"/>
  <c r="BI57" i="25"/>
  <c r="BI8" i="25"/>
  <c r="BB12" i="25"/>
  <c r="BB11" i="25"/>
  <c r="BB10" i="25"/>
  <c r="AX57" i="25"/>
  <c r="AU57" i="25"/>
  <c r="AH57" i="25"/>
  <c r="AB57" i="25"/>
  <c r="AX56" i="25"/>
  <c r="AU56" i="25"/>
  <c r="AH56" i="25"/>
  <c r="AB56" i="25"/>
  <c r="AX55" i="25"/>
  <c r="AU55" i="25"/>
  <c r="AH55" i="25"/>
  <c r="AB55" i="25"/>
  <c r="AX54" i="25"/>
  <c r="AU54" i="25"/>
  <c r="AH54" i="25"/>
  <c r="AB54" i="25"/>
  <c r="AX53" i="25"/>
  <c r="AU53" i="25"/>
  <c r="AH53" i="25"/>
  <c r="AB53" i="25"/>
  <c r="AX52" i="25"/>
  <c r="AU52" i="25"/>
  <c r="AH52" i="25"/>
  <c r="AB52" i="25"/>
  <c r="AX51" i="25"/>
  <c r="AU51" i="25"/>
  <c r="AH51" i="25"/>
  <c r="AB51" i="25"/>
  <c r="AX50" i="25"/>
  <c r="AU50" i="25"/>
  <c r="AH50" i="25"/>
  <c r="AB50" i="25"/>
  <c r="AX49" i="25"/>
  <c r="AU49" i="25"/>
  <c r="AH49" i="25"/>
  <c r="AB49" i="25"/>
  <c r="AX48" i="25"/>
  <c r="AU48" i="25"/>
  <c r="AH48" i="25"/>
  <c r="AB48" i="25"/>
  <c r="AX47" i="25"/>
  <c r="AU47" i="25"/>
  <c r="AH47" i="25"/>
  <c r="AB47" i="25"/>
  <c r="AX46" i="25"/>
  <c r="AU46" i="25"/>
  <c r="AH46" i="25"/>
  <c r="AB46" i="25"/>
  <c r="AX45" i="25"/>
  <c r="AU45" i="25"/>
  <c r="AH45" i="25"/>
  <c r="AB45" i="25"/>
  <c r="AX44" i="25"/>
  <c r="AU44" i="25"/>
  <c r="AH44" i="25"/>
  <c r="AB44" i="25"/>
  <c r="AX43" i="25"/>
  <c r="AU43" i="25"/>
  <c r="AH43" i="25"/>
  <c r="AB43" i="25"/>
  <c r="AX42" i="25"/>
  <c r="AU42" i="25"/>
  <c r="AH42" i="25"/>
  <c r="AB42" i="25"/>
  <c r="AX41" i="25"/>
  <c r="AU41" i="25"/>
  <c r="AH41" i="25"/>
  <c r="AB41" i="25"/>
  <c r="AX40" i="25"/>
  <c r="AU40" i="25"/>
  <c r="AH40" i="25"/>
  <c r="AB40" i="25"/>
  <c r="AX39" i="25"/>
  <c r="AU39" i="25"/>
  <c r="AH39" i="25"/>
  <c r="AB39" i="25"/>
  <c r="AX38" i="25"/>
  <c r="AU38" i="25"/>
  <c r="AH38" i="25"/>
  <c r="AB38" i="25"/>
  <c r="AX37" i="25"/>
  <c r="AU37" i="25"/>
  <c r="AH37" i="25"/>
  <c r="AB37" i="25"/>
  <c r="AX36" i="25"/>
  <c r="AU36" i="25"/>
  <c r="AH36" i="25"/>
  <c r="AB36" i="25"/>
  <c r="AX35" i="25"/>
  <c r="AU35" i="25"/>
  <c r="AH35" i="25"/>
  <c r="AB35" i="25"/>
  <c r="AX34" i="25"/>
  <c r="AU34" i="25"/>
  <c r="AH34" i="25"/>
  <c r="AB34" i="25"/>
  <c r="AX33" i="25"/>
  <c r="AU33" i="25"/>
  <c r="AH33" i="25"/>
  <c r="AB33" i="25"/>
  <c r="AX32" i="25"/>
  <c r="AU32" i="25"/>
  <c r="AH32" i="25"/>
  <c r="AB32" i="25"/>
  <c r="AX31" i="25"/>
  <c r="AU31" i="25"/>
  <c r="AH31" i="25"/>
  <c r="AB31" i="25"/>
  <c r="AX30" i="25"/>
  <c r="AU30" i="25"/>
  <c r="AH30" i="25"/>
  <c r="AB30" i="25"/>
  <c r="AX29" i="25"/>
  <c r="AU29" i="25"/>
  <c r="AH29" i="25"/>
  <c r="AB29" i="25"/>
  <c r="AX28" i="25"/>
  <c r="AU28" i="25"/>
  <c r="AH28" i="25"/>
  <c r="AB28" i="25"/>
  <c r="AX27" i="25"/>
  <c r="AU27" i="25"/>
  <c r="AH27" i="25"/>
  <c r="AB27" i="25"/>
  <c r="AX26" i="25"/>
  <c r="AU26" i="25"/>
  <c r="AH26" i="25"/>
  <c r="AB26" i="25"/>
  <c r="AX25" i="25"/>
  <c r="AU25" i="25"/>
  <c r="AH25" i="25"/>
  <c r="AB25" i="25"/>
  <c r="AX24" i="25"/>
  <c r="AU24" i="25"/>
  <c r="AH24" i="25"/>
  <c r="AB24" i="25"/>
  <c r="AX23" i="25"/>
  <c r="AU23" i="25"/>
  <c r="AH23" i="25"/>
  <c r="AB23" i="25"/>
  <c r="AX22" i="25"/>
  <c r="AU22" i="25"/>
  <c r="AH22" i="25"/>
  <c r="AB22" i="25"/>
  <c r="AX21" i="25"/>
  <c r="AU21" i="25"/>
  <c r="AH21" i="25"/>
  <c r="AB21" i="25"/>
  <c r="AX20" i="25"/>
  <c r="AU20" i="25"/>
  <c r="AH20" i="25"/>
  <c r="AB20" i="25"/>
  <c r="AX19" i="25"/>
  <c r="AU19" i="25"/>
  <c r="AH19" i="25"/>
  <c r="AB19" i="25"/>
  <c r="AX18" i="25"/>
  <c r="AU18" i="25"/>
  <c r="AH18" i="25"/>
  <c r="AB18" i="25"/>
  <c r="AX17" i="25"/>
  <c r="AU17" i="25"/>
  <c r="AH17" i="25"/>
  <c r="AB17" i="25"/>
  <c r="AX16" i="25"/>
  <c r="AU16" i="25"/>
  <c r="AH16" i="25"/>
  <c r="AB16" i="25"/>
  <c r="AX15" i="25"/>
  <c r="AU15" i="25"/>
  <c r="AH15" i="25"/>
  <c r="AB15" i="25"/>
  <c r="AX14" i="25"/>
  <c r="AU14" i="25"/>
  <c r="AH14" i="25"/>
  <c r="AC14" i="25"/>
  <c r="AB14" i="25"/>
  <c r="AX13" i="25"/>
  <c r="AU13" i="25"/>
  <c r="AH13" i="25"/>
  <c r="AC13" i="25"/>
  <c r="AB13" i="25"/>
  <c r="AX12" i="25"/>
  <c r="AU12" i="25"/>
  <c r="AR12" i="25"/>
  <c r="AH12" i="25"/>
  <c r="AC12" i="25"/>
  <c r="AB12" i="25"/>
  <c r="AX11" i="25"/>
  <c r="AU11" i="25"/>
  <c r="AR11" i="25"/>
  <c r="AH11" i="25"/>
  <c r="AC11" i="25"/>
  <c r="AB11" i="25"/>
  <c r="AX10" i="25"/>
  <c r="AU10" i="25"/>
  <c r="AR10" i="25"/>
  <c r="AH10" i="25"/>
  <c r="AC10" i="25"/>
  <c r="AB10" i="25"/>
  <c r="AX9" i="25"/>
  <c r="AU9" i="25"/>
  <c r="AR9" i="25"/>
  <c r="AH9" i="25"/>
  <c r="AC9" i="25"/>
  <c r="AB9" i="25"/>
  <c r="AX8" i="25"/>
  <c r="AU8" i="25"/>
  <c r="AR8" i="25"/>
  <c r="AH8" i="25"/>
  <c r="AD8" i="25"/>
  <c r="AC8" i="25"/>
  <c r="AC15" i="25" s="1"/>
  <c r="AB8" i="25"/>
  <c r="N5" i="25"/>
  <c r="N4" i="25"/>
  <c r="N3" i="25"/>
  <c r="N2" i="25"/>
  <c r="N1" i="25"/>
  <c r="AW9" i="14"/>
  <c r="AW10" i="14"/>
  <c r="AW11" i="14"/>
  <c r="AW12" i="14"/>
  <c r="AW13" i="14"/>
  <c r="AW14" i="14"/>
  <c r="AW15" i="14"/>
  <c r="AW16" i="14"/>
  <c r="AW17" i="14"/>
  <c r="AW18" i="14"/>
  <c r="AW19" i="14"/>
  <c r="AW20" i="14"/>
  <c r="AW21" i="14"/>
  <c r="AW22" i="14"/>
  <c r="AW23" i="14"/>
  <c r="AW24" i="14"/>
  <c r="AW25" i="14"/>
  <c r="AW26" i="14"/>
  <c r="AW27" i="14"/>
  <c r="AW28" i="14"/>
  <c r="AW29" i="14"/>
  <c r="AW30" i="14"/>
  <c r="AW31" i="14"/>
  <c r="AW32" i="14"/>
  <c r="AW33" i="14"/>
  <c r="AW34" i="14"/>
  <c r="AW35" i="14"/>
  <c r="AW36" i="14"/>
  <c r="AW37" i="14"/>
  <c r="AW38" i="14"/>
  <c r="AW39" i="14"/>
  <c r="AW40" i="14"/>
  <c r="AW41" i="14"/>
  <c r="AW42" i="14"/>
  <c r="AW43" i="14"/>
  <c r="AW44" i="14"/>
  <c r="AW45" i="14"/>
  <c r="AW46" i="14"/>
  <c r="AW47" i="14"/>
  <c r="AW48" i="14"/>
  <c r="AW49" i="14"/>
  <c r="AW50" i="14"/>
  <c r="AW51" i="14"/>
  <c r="AW52" i="14"/>
  <c r="AW53" i="14"/>
  <c r="AW54" i="14"/>
  <c r="AW55" i="14"/>
  <c r="AW56" i="14"/>
  <c r="AW57" i="14"/>
  <c r="AW8" i="14"/>
  <c r="AB17" i="26" l="1"/>
  <c r="AB18" i="26" s="1"/>
  <c r="N6" i="26" s="1"/>
  <c r="AC16" i="25"/>
  <c r="AC17" i="25" s="1"/>
  <c r="AC18" i="25" s="1"/>
  <c r="N6" i="25" s="1"/>
  <c r="AT9" i="14"/>
  <c r="AT10" i="14"/>
  <c r="AT11" i="14"/>
  <c r="AT12" i="14"/>
  <c r="AT13" i="14"/>
  <c r="AT14" i="14"/>
  <c r="AT15" i="14"/>
  <c r="AT16" i="14"/>
  <c r="AT17" i="14"/>
  <c r="AT18" i="14"/>
  <c r="AT19" i="14"/>
  <c r="AT20" i="14"/>
  <c r="AT21" i="14"/>
  <c r="AT22" i="14"/>
  <c r="AT23" i="14"/>
  <c r="AT24" i="14"/>
  <c r="AT25" i="14"/>
  <c r="AT26" i="14"/>
  <c r="AT27" i="14"/>
  <c r="AT28" i="14"/>
  <c r="AT29" i="14"/>
  <c r="AT30" i="14"/>
  <c r="AT31" i="14"/>
  <c r="AT32" i="14"/>
  <c r="AT33" i="14"/>
  <c r="AT34" i="14"/>
  <c r="AT35" i="14"/>
  <c r="AT36" i="14"/>
  <c r="AT37" i="14"/>
  <c r="AT38" i="14"/>
  <c r="AT39" i="14"/>
  <c r="AT40" i="14"/>
  <c r="AT41" i="14"/>
  <c r="AT42" i="14"/>
  <c r="AT43" i="14"/>
  <c r="AT44" i="14"/>
  <c r="AT45" i="14"/>
  <c r="AT46" i="14"/>
  <c r="AT47" i="14"/>
  <c r="AT48" i="14"/>
  <c r="AT49" i="14"/>
  <c r="AT50" i="14"/>
  <c r="AT51" i="14"/>
  <c r="AT52" i="14"/>
  <c r="AT53" i="14"/>
  <c r="AT54" i="14"/>
  <c r="AT55" i="14"/>
  <c r="AT56" i="14"/>
  <c r="AT57" i="14"/>
  <c r="AT8" i="14"/>
  <c r="AQ11" i="14"/>
  <c r="AQ10" i="14"/>
  <c r="AQ9" i="14"/>
  <c r="AQ12" i="14"/>
  <c r="AQ8" i="14"/>
  <c r="DC9" i="21"/>
  <c r="DC11" i="21"/>
  <c r="DC12" i="21"/>
  <c r="DC15" i="21"/>
  <c r="DC16" i="21"/>
  <c r="DC17" i="21"/>
  <c r="DC18" i="21"/>
  <c r="DC19" i="21"/>
  <c r="DC20" i="21"/>
  <c r="DC21" i="21"/>
  <c r="DC22" i="21"/>
  <c r="DC23" i="21"/>
  <c r="DC24" i="21"/>
  <c r="DC25" i="21"/>
  <c r="DC26" i="21"/>
  <c r="DC27" i="21"/>
  <c r="DC28" i="21"/>
  <c r="DC29" i="21"/>
  <c r="DC30" i="21"/>
  <c r="DC31" i="21"/>
  <c r="DC32" i="21"/>
  <c r="DC33" i="21"/>
  <c r="DC34" i="21"/>
  <c r="DC35" i="21"/>
  <c r="DC36" i="21"/>
  <c r="DC37" i="21"/>
  <c r="DC38" i="21"/>
  <c r="DC39" i="21"/>
  <c r="DC40" i="21"/>
  <c r="DC41" i="21"/>
  <c r="DC42" i="21"/>
  <c r="DC43" i="21"/>
  <c r="DC44" i="21"/>
  <c r="DC45" i="21"/>
  <c r="DC46" i="21"/>
  <c r="DC47" i="21"/>
  <c r="DC48" i="21"/>
  <c r="DC49" i="21"/>
  <c r="DC50" i="21"/>
  <c r="DC51" i="21"/>
  <c r="DC52" i="21"/>
  <c r="DC53" i="21"/>
  <c r="DC54" i="21"/>
  <c r="DC55" i="21"/>
  <c r="DC56" i="21"/>
  <c r="DC57" i="21"/>
  <c r="CT9" i="21"/>
  <c r="CT11" i="21"/>
  <c r="CT12" i="21"/>
  <c r="CT15" i="21"/>
  <c r="CT16" i="21"/>
  <c r="CT17" i="21"/>
  <c r="CT18" i="21"/>
  <c r="CT19" i="21"/>
  <c r="CT20" i="21"/>
  <c r="CT21" i="21"/>
  <c r="CT22" i="21"/>
  <c r="CT23" i="21"/>
  <c r="CT24" i="21"/>
  <c r="CT25" i="21"/>
  <c r="CT26" i="21"/>
  <c r="CT27" i="21"/>
  <c r="CT28" i="21"/>
  <c r="CT29" i="21"/>
  <c r="CT30" i="21"/>
  <c r="CT31" i="21"/>
  <c r="CT32" i="21"/>
  <c r="CT33" i="21"/>
  <c r="CT34" i="21"/>
  <c r="CT35" i="21"/>
  <c r="CT36" i="21"/>
  <c r="CT37" i="21"/>
  <c r="CT38" i="21"/>
  <c r="CT39" i="21"/>
  <c r="CT40" i="21"/>
  <c r="CT41" i="21"/>
  <c r="CT42" i="21"/>
  <c r="CT43" i="21"/>
  <c r="CT44" i="21"/>
  <c r="CT45" i="21"/>
  <c r="CT46" i="21"/>
  <c r="CT47" i="21"/>
  <c r="CT48" i="21"/>
  <c r="CT49" i="21"/>
  <c r="CT50" i="21"/>
  <c r="CT51" i="21"/>
  <c r="CT52" i="21"/>
  <c r="CT53" i="21"/>
  <c r="CT54" i="21"/>
  <c r="CT55" i="21"/>
  <c r="CT56" i="21"/>
  <c r="CT57" i="21"/>
  <c r="CU9" i="21"/>
  <c r="CV9" i="21"/>
  <c r="CY9" i="21"/>
  <c r="CZ9" i="21"/>
  <c r="DA9" i="21" s="1"/>
  <c r="DB9" i="21" s="1"/>
  <c r="CU10" i="21"/>
  <c r="CV10" i="21"/>
  <c r="CY10" i="21"/>
  <c r="CZ10" i="21"/>
  <c r="CU11" i="21"/>
  <c r="CV11" i="21"/>
  <c r="CW11" i="21" s="1"/>
  <c r="CX11" i="21" s="1"/>
  <c r="CY11" i="21"/>
  <c r="CZ11" i="21"/>
  <c r="DA11" i="21" s="1"/>
  <c r="DB11" i="21" s="1"/>
  <c r="CU12" i="21"/>
  <c r="CV12" i="21"/>
  <c r="CY12" i="21"/>
  <c r="CZ12" i="21"/>
  <c r="DA12" i="21" s="1"/>
  <c r="DB12" i="21" s="1"/>
  <c r="CU13" i="21"/>
  <c r="CV13" i="21"/>
  <c r="CY13" i="21"/>
  <c r="CZ13" i="21"/>
  <c r="CU14" i="21"/>
  <c r="CV14" i="21"/>
  <c r="CY14" i="21"/>
  <c r="CZ14" i="21"/>
  <c r="CU15" i="21"/>
  <c r="CV15" i="21"/>
  <c r="CW15" i="21" s="1"/>
  <c r="CX15" i="21" s="1"/>
  <c r="CY15" i="21"/>
  <c r="CZ15" i="21"/>
  <c r="DA15" i="21" s="1"/>
  <c r="DB15" i="21" s="1"/>
  <c r="CU16" i="21"/>
  <c r="CW16" i="21" s="1"/>
  <c r="CX16" i="21" s="1"/>
  <c r="CV16" i="21"/>
  <c r="CY16" i="21"/>
  <c r="CZ16" i="21"/>
  <c r="DA16" i="21" s="1"/>
  <c r="DB16" i="21" s="1"/>
  <c r="CU17" i="21"/>
  <c r="CV17" i="21"/>
  <c r="CW17" i="21" s="1"/>
  <c r="CX17" i="21" s="1"/>
  <c r="CY17" i="21"/>
  <c r="CZ17" i="21"/>
  <c r="DA17" i="21"/>
  <c r="DB17" i="21" s="1"/>
  <c r="CU18" i="21"/>
  <c r="CV18" i="21"/>
  <c r="CW18" i="21" s="1"/>
  <c r="CX18" i="21" s="1"/>
  <c r="CY18" i="21"/>
  <c r="CZ18" i="21"/>
  <c r="DA18" i="21" s="1"/>
  <c r="DB18" i="21" s="1"/>
  <c r="CU19" i="21"/>
  <c r="CV19" i="21"/>
  <c r="CW19" i="21" s="1"/>
  <c r="CX19" i="21" s="1"/>
  <c r="CY19" i="21"/>
  <c r="CZ19" i="21"/>
  <c r="DA19" i="21" s="1"/>
  <c r="DB19" i="21" s="1"/>
  <c r="CU20" i="21"/>
  <c r="CV20" i="21"/>
  <c r="CY20" i="21"/>
  <c r="CZ20" i="21"/>
  <c r="DA20" i="21" s="1"/>
  <c r="DB20" i="21" s="1"/>
  <c r="CU21" i="21"/>
  <c r="CV21" i="21"/>
  <c r="CW21" i="21" s="1"/>
  <c r="CX21" i="21" s="1"/>
  <c r="CY21" i="21"/>
  <c r="CZ21" i="21"/>
  <c r="DA21" i="21"/>
  <c r="DB21" i="21" s="1"/>
  <c r="CU22" i="21"/>
  <c r="CV22" i="21"/>
  <c r="CW22" i="21" s="1"/>
  <c r="CX22" i="21" s="1"/>
  <c r="CY22" i="21"/>
  <c r="CZ22" i="21"/>
  <c r="DA22" i="21"/>
  <c r="DB22" i="21" s="1"/>
  <c r="CU23" i="21"/>
  <c r="CV23" i="21"/>
  <c r="CW23" i="21" s="1"/>
  <c r="CX23" i="21" s="1"/>
  <c r="CY23" i="21"/>
  <c r="CZ23" i="21"/>
  <c r="DA23" i="21" s="1"/>
  <c r="DB23" i="21" s="1"/>
  <c r="CU24" i="21"/>
  <c r="CV24" i="21"/>
  <c r="CY24" i="21"/>
  <c r="CZ24" i="21"/>
  <c r="DA24" i="21" s="1"/>
  <c r="DB24" i="21" s="1"/>
  <c r="CU25" i="21"/>
  <c r="CV25" i="21"/>
  <c r="CW25" i="21" s="1"/>
  <c r="CX25" i="21" s="1"/>
  <c r="CY25" i="21"/>
  <c r="CZ25" i="21"/>
  <c r="DA25" i="21"/>
  <c r="DB25" i="21" s="1"/>
  <c r="CU26" i="21"/>
  <c r="CV26" i="21"/>
  <c r="CW26" i="21" s="1"/>
  <c r="CX26" i="21" s="1"/>
  <c r="CY26" i="21"/>
  <c r="CZ26" i="21"/>
  <c r="DA26" i="21"/>
  <c r="DB26" i="21" s="1"/>
  <c r="CU27" i="21"/>
  <c r="CV27" i="21"/>
  <c r="CW27" i="21" s="1"/>
  <c r="CX27" i="21" s="1"/>
  <c r="CY27" i="21"/>
  <c r="CZ27" i="21"/>
  <c r="DA27" i="21" s="1"/>
  <c r="DB27" i="21" s="1"/>
  <c r="CU28" i="21"/>
  <c r="CV28" i="21"/>
  <c r="CY28" i="21"/>
  <c r="CZ28" i="21"/>
  <c r="DA28" i="21" s="1"/>
  <c r="DB28" i="21" s="1"/>
  <c r="CU29" i="21"/>
  <c r="CV29" i="21"/>
  <c r="CW29" i="21" s="1"/>
  <c r="CX29" i="21" s="1"/>
  <c r="CY29" i="21"/>
  <c r="CZ29" i="21"/>
  <c r="DA29" i="21"/>
  <c r="DB29" i="21" s="1"/>
  <c r="CU30" i="21"/>
  <c r="CV30" i="21"/>
  <c r="CW30" i="21" s="1"/>
  <c r="CX30" i="21" s="1"/>
  <c r="CY30" i="21"/>
  <c r="CZ30" i="21"/>
  <c r="DA30" i="21"/>
  <c r="DB30" i="21" s="1"/>
  <c r="CU31" i="21"/>
  <c r="CV31" i="21"/>
  <c r="CW31" i="21" s="1"/>
  <c r="CX31" i="21" s="1"/>
  <c r="CY31" i="21"/>
  <c r="CZ31" i="21"/>
  <c r="DA31" i="21" s="1"/>
  <c r="DB31" i="21" s="1"/>
  <c r="CU32" i="21"/>
  <c r="CV32" i="21"/>
  <c r="CY32" i="21"/>
  <c r="CZ32" i="21"/>
  <c r="DA32" i="21" s="1"/>
  <c r="DB32" i="21" s="1"/>
  <c r="CU33" i="21"/>
  <c r="CV33" i="21"/>
  <c r="CW33" i="21" s="1"/>
  <c r="CX33" i="21" s="1"/>
  <c r="CY33" i="21"/>
  <c r="CZ33" i="21"/>
  <c r="DA33" i="21"/>
  <c r="DB33" i="21" s="1"/>
  <c r="CU34" i="21"/>
  <c r="CV34" i="21"/>
  <c r="CW34" i="21" s="1"/>
  <c r="CX34" i="21" s="1"/>
  <c r="CY34" i="21"/>
  <c r="CZ34" i="21"/>
  <c r="DA34" i="21"/>
  <c r="DB34" i="21" s="1"/>
  <c r="CU35" i="21"/>
  <c r="CV35" i="21"/>
  <c r="CW35" i="21"/>
  <c r="CX35" i="21" s="1"/>
  <c r="CY35" i="21"/>
  <c r="CZ35" i="21"/>
  <c r="DA35" i="21" s="1"/>
  <c r="DB35" i="21" s="1"/>
  <c r="CU36" i="21"/>
  <c r="CV36" i="21"/>
  <c r="CY36" i="21"/>
  <c r="CZ36" i="21"/>
  <c r="DA36" i="21" s="1"/>
  <c r="DB36" i="21" s="1"/>
  <c r="CU37" i="21"/>
  <c r="CV37" i="21"/>
  <c r="CW37" i="21" s="1"/>
  <c r="CX37" i="21" s="1"/>
  <c r="CY37" i="21"/>
  <c r="CZ37" i="21"/>
  <c r="DA37" i="21" s="1"/>
  <c r="DB37" i="21" s="1"/>
  <c r="CU38" i="21"/>
  <c r="CV38" i="21"/>
  <c r="CW38" i="21" s="1"/>
  <c r="CX38" i="21" s="1"/>
  <c r="CY38" i="21"/>
  <c r="CZ38" i="21"/>
  <c r="DA38" i="21"/>
  <c r="DB38" i="21" s="1"/>
  <c r="CU39" i="21"/>
  <c r="CV39" i="21"/>
  <c r="CW39" i="21"/>
  <c r="CX39" i="21" s="1"/>
  <c r="CY39" i="21"/>
  <c r="CZ39" i="21"/>
  <c r="DA39" i="21" s="1"/>
  <c r="DB39" i="21" s="1"/>
  <c r="CU40" i="21"/>
  <c r="CV40" i="21"/>
  <c r="CY40" i="21"/>
  <c r="CZ40" i="21"/>
  <c r="DA40" i="21" s="1"/>
  <c r="DB40" i="21" s="1"/>
  <c r="CU41" i="21"/>
  <c r="CV41" i="21"/>
  <c r="CW41" i="21" s="1"/>
  <c r="CX41" i="21" s="1"/>
  <c r="CY41" i="21"/>
  <c r="CZ41" i="21"/>
  <c r="DA41" i="21"/>
  <c r="DB41" i="21" s="1"/>
  <c r="CU42" i="21"/>
  <c r="CV42" i="21"/>
  <c r="CW42" i="21" s="1"/>
  <c r="CX42" i="21" s="1"/>
  <c r="CY42" i="21"/>
  <c r="CZ42" i="21"/>
  <c r="DA42" i="21" s="1"/>
  <c r="DB42" i="21" s="1"/>
  <c r="CU43" i="21"/>
  <c r="CV43" i="21"/>
  <c r="CW43" i="21"/>
  <c r="CX43" i="21" s="1"/>
  <c r="CY43" i="21"/>
  <c r="CZ43" i="21"/>
  <c r="DA43" i="21" s="1"/>
  <c r="DB43" i="21" s="1"/>
  <c r="CU44" i="21"/>
  <c r="CV44" i="21"/>
  <c r="CY44" i="21"/>
  <c r="CZ44" i="21"/>
  <c r="DA44" i="21" s="1"/>
  <c r="DB44" i="21" s="1"/>
  <c r="CU45" i="21"/>
  <c r="CV45" i="21"/>
  <c r="CW45" i="21" s="1"/>
  <c r="CX45" i="21" s="1"/>
  <c r="CY45" i="21"/>
  <c r="CZ45" i="21"/>
  <c r="DA45" i="21" s="1"/>
  <c r="DB45" i="21" s="1"/>
  <c r="CU46" i="21"/>
  <c r="CV46" i="21"/>
  <c r="CW46" i="21" s="1"/>
  <c r="CX46" i="21" s="1"/>
  <c r="CY46" i="21"/>
  <c r="CZ46" i="21"/>
  <c r="DA46" i="21"/>
  <c r="DB46" i="21" s="1"/>
  <c r="CU47" i="21"/>
  <c r="CV47" i="21"/>
  <c r="CW47" i="21"/>
  <c r="CX47" i="21" s="1"/>
  <c r="CY47" i="21"/>
  <c r="CZ47" i="21"/>
  <c r="DA47" i="21" s="1"/>
  <c r="DB47" i="21" s="1"/>
  <c r="CU48" i="21"/>
  <c r="CW48" i="21" s="1"/>
  <c r="CX48" i="21" s="1"/>
  <c r="CV48" i="21"/>
  <c r="CY48" i="21"/>
  <c r="CZ48" i="21"/>
  <c r="DA48" i="21" s="1"/>
  <c r="DB48" i="21" s="1"/>
  <c r="CU49" i="21"/>
  <c r="CV49" i="21"/>
  <c r="CW49" i="21" s="1"/>
  <c r="CX49" i="21" s="1"/>
  <c r="CY49" i="21"/>
  <c r="CZ49" i="21"/>
  <c r="DA49" i="21" s="1"/>
  <c r="DB49" i="21" s="1"/>
  <c r="CU50" i="21"/>
  <c r="CV50" i="21"/>
  <c r="CW50" i="21" s="1"/>
  <c r="CX50" i="21" s="1"/>
  <c r="CY50" i="21"/>
  <c r="CZ50" i="21"/>
  <c r="DA50" i="21" s="1"/>
  <c r="DB50" i="21" s="1"/>
  <c r="CU51" i="21"/>
  <c r="CV51" i="21"/>
  <c r="CW51" i="21"/>
  <c r="CX51" i="21" s="1"/>
  <c r="CY51" i="21"/>
  <c r="CZ51" i="21"/>
  <c r="DA51" i="21" s="1"/>
  <c r="DB51" i="21" s="1"/>
  <c r="CU52" i="21"/>
  <c r="CW52" i="21" s="1"/>
  <c r="CX52" i="21" s="1"/>
  <c r="CV52" i="21"/>
  <c r="CY52" i="21"/>
  <c r="CZ52" i="21"/>
  <c r="DA52" i="21" s="1"/>
  <c r="DB52" i="21" s="1"/>
  <c r="CU53" i="21"/>
  <c r="CV53" i="21"/>
  <c r="CW53" i="21" s="1"/>
  <c r="CX53" i="21" s="1"/>
  <c r="CY53" i="21"/>
  <c r="CZ53" i="21"/>
  <c r="DA53" i="21" s="1"/>
  <c r="DB53" i="21" s="1"/>
  <c r="CU54" i="21"/>
  <c r="CV54" i="21"/>
  <c r="CW54" i="21" s="1"/>
  <c r="CX54" i="21" s="1"/>
  <c r="CY54" i="21"/>
  <c r="CZ54" i="21"/>
  <c r="DA54" i="21" s="1"/>
  <c r="DB54" i="21" s="1"/>
  <c r="CU55" i="21"/>
  <c r="CV55" i="21"/>
  <c r="CW55" i="21" s="1"/>
  <c r="CX55" i="21" s="1"/>
  <c r="CY55" i="21"/>
  <c r="CZ55" i="21"/>
  <c r="DA55" i="21" s="1"/>
  <c r="DB55" i="21" s="1"/>
  <c r="CU56" i="21"/>
  <c r="CW56" i="21" s="1"/>
  <c r="CX56" i="21" s="1"/>
  <c r="CV56" i="21"/>
  <c r="CY56" i="21"/>
  <c r="CZ56" i="21"/>
  <c r="DA56" i="21" s="1"/>
  <c r="DB56" i="21" s="1"/>
  <c r="CU57" i="21"/>
  <c r="CV57" i="21"/>
  <c r="CW57" i="21" s="1"/>
  <c r="CX57" i="21" s="1"/>
  <c r="CY57" i="21"/>
  <c r="CZ57" i="21"/>
  <c r="DA57" i="21" s="1"/>
  <c r="DB57" i="21" s="1"/>
  <c r="CY8" i="21"/>
  <c r="CU8" i="21"/>
  <c r="CZ8" i="21"/>
  <c r="CV8" i="21"/>
  <c r="CL9" i="21"/>
  <c r="CM9" i="21"/>
  <c r="CN9" i="21" s="1"/>
  <c r="CO9" i="21" s="1"/>
  <c r="CP9" i="21"/>
  <c r="CQ9" i="21"/>
  <c r="CR9" i="21" s="1"/>
  <c r="CS9" i="21" s="1"/>
  <c r="CL10" i="21"/>
  <c r="CM10" i="21"/>
  <c r="CP10" i="21"/>
  <c r="CQ10" i="21"/>
  <c r="CL11" i="21"/>
  <c r="CN11" i="21" s="1"/>
  <c r="CO11" i="21" s="1"/>
  <c r="CM11" i="21"/>
  <c r="CP11" i="21"/>
  <c r="CQ11" i="21"/>
  <c r="CR11" i="21" s="1"/>
  <c r="CS11" i="21" s="1"/>
  <c r="CL12" i="21"/>
  <c r="CM12" i="21"/>
  <c r="CN12" i="21" s="1"/>
  <c r="CO12" i="21" s="1"/>
  <c r="CP12" i="21"/>
  <c r="CQ12" i="21"/>
  <c r="CR12" i="21" s="1"/>
  <c r="CS12" i="21" s="1"/>
  <c r="CL13" i="21"/>
  <c r="CM13" i="21"/>
  <c r="CP13" i="21"/>
  <c r="CQ13" i="21"/>
  <c r="CL14" i="21"/>
  <c r="CM14" i="21"/>
  <c r="CP14" i="21"/>
  <c r="CQ14" i="21"/>
  <c r="CL15" i="21"/>
  <c r="CN15" i="21" s="1"/>
  <c r="CO15" i="21" s="1"/>
  <c r="CM15" i="21"/>
  <c r="CP15" i="21"/>
  <c r="CQ15" i="21"/>
  <c r="CR15" i="21" s="1"/>
  <c r="CS15" i="21" s="1"/>
  <c r="CL16" i="21"/>
  <c r="CM16" i="21"/>
  <c r="CN16" i="21" s="1"/>
  <c r="CO16" i="21" s="1"/>
  <c r="CP16" i="21"/>
  <c r="CQ16" i="21"/>
  <c r="CR16" i="21" s="1"/>
  <c r="CS16" i="21" s="1"/>
  <c r="CL17" i="21"/>
  <c r="CM17" i="21"/>
  <c r="CN17" i="21"/>
  <c r="CO17" i="21" s="1"/>
  <c r="CP17" i="21"/>
  <c r="CQ17" i="21"/>
  <c r="CR17" i="21" s="1"/>
  <c r="CS17" i="21" s="1"/>
  <c r="CL18" i="21"/>
  <c r="CM18" i="21"/>
  <c r="CN18" i="21"/>
  <c r="CO18" i="21" s="1"/>
  <c r="CP18" i="21"/>
  <c r="CQ18" i="21"/>
  <c r="CR18" i="21" s="1"/>
  <c r="CS18" i="21" s="1"/>
  <c r="CL19" i="21"/>
  <c r="CN19" i="21" s="1"/>
  <c r="CO19" i="21" s="1"/>
  <c r="CM19" i="21"/>
  <c r="CP19" i="21"/>
  <c r="CQ19" i="21"/>
  <c r="CR19" i="21" s="1"/>
  <c r="CS19" i="21" s="1"/>
  <c r="CL20" i="21"/>
  <c r="CM20" i="21"/>
  <c r="CN20" i="21" s="1"/>
  <c r="CO20" i="21" s="1"/>
  <c r="CP20" i="21"/>
  <c r="CQ20" i="21"/>
  <c r="CR20" i="21" s="1"/>
  <c r="CS20" i="21" s="1"/>
  <c r="CL21" i="21"/>
  <c r="CM21" i="21"/>
  <c r="CN21" i="21"/>
  <c r="CO21" i="21" s="1"/>
  <c r="CP21" i="21"/>
  <c r="CQ21" i="21"/>
  <c r="CR21" i="21" s="1"/>
  <c r="CS21" i="21" s="1"/>
  <c r="CL22" i="21"/>
  <c r="CM22" i="21"/>
  <c r="CN22" i="21" s="1"/>
  <c r="CO22" i="21" s="1"/>
  <c r="CP22" i="21"/>
  <c r="CQ22" i="21"/>
  <c r="CR22" i="21" s="1"/>
  <c r="CS22" i="21" s="1"/>
  <c r="CL23" i="21"/>
  <c r="CM23" i="21"/>
  <c r="CP23" i="21"/>
  <c r="CQ23" i="21"/>
  <c r="CR23" i="21" s="1"/>
  <c r="CS23" i="21" s="1"/>
  <c r="CL24" i="21"/>
  <c r="CM24" i="21"/>
  <c r="CN24" i="21" s="1"/>
  <c r="CO24" i="21" s="1"/>
  <c r="CP24" i="21"/>
  <c r="CQ24" i="21"/>
  <c r="CR24" i="21"/>
  <c r="CS24" i="21" s="1"/>
  <c r="CL25" i="21"/>
  <c r="CM25" i="21"/>
  <c r="CN25" i="21" s="1"/>
  <c r="CO25" i="21" s="1"/>
  <c r="CP25" i="21"/>
  <c r="CQ25" i="21"/>
  <c r="CR25" i="21"/>
  <c r="CS25" i="21" s="1"/>
  <c r="CL26" i="21"/>
  <c r="CM26" i="21"/>
  <c r="CN26" i="21"/>
  <c r="CO26" i="21" s="1"/>
  <c r="CP26" i="21"/>
  <c r="CQ26" i="21"/>
  <c r="CR26" i="21" s="1"/>
  <c r="CS26" i="21" s="1"/>
  <c r="CL27" i="21"/>
  <c r="CN27" i="21" s="1"/>
  <c r="CO27" i="21" s="1"/>
  <c r="CM27" i="21"/>
  <c r="CP27" i="21"/>
  <c r="CQ27" i="21"/>
  <c r="CR27" i="21" s="1"/>
  <c r="CS27" i="21" s="1"/>
  <c r="CL28" i="21"/>
  <c r="CM28" i="21"/>
  <c r="CN28" i="21" s="1"/>
  <c r="CO28" i="21" s="1"/>
  <c r="CP28" i="21"/>
  <c r="CQ28" i="21"/>
  <c r="CR28" i="21" s="1"/>
  <c r="CS28" i="21" s="1"/>
  <c r="CL29" i="21"/>
  <c r="CM29" i="21"/>
  <c r="CN29" i="21" s="1"/>
  <c r="CO29" i="21" s="1"/>
  <c r="CP29" i="21"/>
  <c r="CQ29" i="21"/>
  <c r="CR29" i="21"/>
  <c r="CS29" i="21" s="1"/>
  <c r="CL30" i="21"/>
  <c r="CM30" i="21"/>
  <c r="CN30" i="21"/>
  <c r="CO30" i="21" s="1"/>
  <c r="CP30" i="21"/>
  <c r="CQ30" i="21"/>
  <c r="CR30" i="21" s="1"/>
  <c r="CS30" i="21" s="1"/>
  <c r="CL31" i="21"/>
  <c r="CM31" i="21"/>
  <c r="CP31" i="21"/>
  <c r="CQ31" i="21"/>
  <c r="CR31" i="21" s="1"/>
  <c r="CS31" i="21" s="1"/>
  <c r="CL32" i="21"/>
  <c r="CM32" i="21"/>
  <c r="CN32" i="21" s="1"/>
  <c r="CO32" i="21" s="1"/>
  <c r="CP32" i="21"/>
  <c r="CQ32" i="21"/>
  <c r="CR32" i="21" s="1"/>
  <c r="CS32" i="21" s="1"/>
  <c r="CL33" i="21"/>
  <c r="CM33" i="21"/>
  <c r="CN33" i="21"/>
  <c r="CO33" i="21" s="1"/>
  <c r="CP33" i="21"/>
  <c r="CQ33" i="21"/>
  <c r="CR33" i="21" s="1"/>
  <c r="CS33" i="21" s="1"/>
  <c r="CL34" i="21"/>
  <c r="CM34" i="21"/>
  <c r="CN34" i="21" s="1"/>
  <c r="CO34" i="21" s="1"/>
  <c r="CP34" i="21"/>
  <c r="CQ34" i="21"/>
  <c r="CR34" i="21" s="1"/>
  <c r="CS34" i="21" s="1"/>
  <c r="CL35" i="21"/>
  <c r="CM35" i="21"/>
  <c r="CP35" i="21"/>
  <c r="CQ35" i="21"/>
  <c r="CR35" i="21" s="1"/>
  <c r="CS35" i="21" s="1"/>
  <c r="CL36" i="21"/>
  <c r="CM36" i="21"/>
  <c r="CN36" i="21" s="1"/>
  <c r="CO36" i="21" s="1"/>
  <c r="CP36" i="21"/>
  <c r="CQ36" i="21"/>
  <c r="CR36" i="21"/>
  <c r="CS36" i="21" s="1"/>
  <c r="CL37" i="21"/>
  <c r="CM37" i="21"/>
  <c r="CN37" i="21" s="1"/>
  <c r="CO37" i="21" s="1"/>
  <c r="CP37" i="21"/>
  <c r="CQ37" i="21"/>
  <c r="CR37" i="21" s="1"/>
  <c r="CS37" i="21" s="1"/>
  <c r="CL38" i="21"/>
  <c r="CM38" i="21"/>
  <c r="CN38" i="21"/>
  <c r="CO38" i="21" s="1"/>
  <c r="CP38" i="21"/>
  <c r="CQ38" i="21"/>
  <c r="CR38" i="21" s="1"/>
  <c r="CS38" i="21" s="1"/>
  <c r="CL39" i="21"/>
  <c r="CN39" i="21" s="1"/>
  <c r="CO39" i="21" s="1"/>
  <c r="CM39" i="21"/>
  <c r="CP39" i="21"/>
  <c r="CQ39" i="21"/>
  <c r="CR39" i="21" s="1"/>
  <c r="CS39" i="21" s="1"/>
  <c r="CL40" i="21"/>
  <c r="CM40" i="21"/>
  <c r="CN40" i="21" s="1"/>
  <c r="CO40" i="21" s="1"/>
  <c r="CP40" i="21"/>
  <c r="CQ40" i="21"/>
  <c r="CR40" i="21" s="1"/>
  <c r="CS40" i="21" s="1"/>
  <c r="CL41" i="21"/>
  <c r="CM41" i="21"/>
  <c r="CN41" i="21" s="1"/>
  <c r="CO41" i="21" s="1"/>
  <c r="CP41" i="21"/>
  <c r="CQ41" i="21"/>
  <c r="CR41" i="21"/>
  <c r="CS41" i="21" s="1"/>
  <c r="CL42" i="21"/>
  <c r="CM42" i="21"/>
  <c r="CN42" i="21"/>
  <c r="CO42" i="21" s="1"/>
  <c r="CP42" i="21"/>
  <c r="CQ42" i="21"/>
  <c r="CR42" i="21" s="1"/>
  <c r="CS42" i="21" s="1"/>
  <c r="CL43" i="21"/>
  <c r="CM43" i="21"/>
  <c r="CP43" i="21"/>
  <c r="CQ43" i="21"/>
  <c r="CR43" i="21" s="1"/>
  <c r="CS43" i="21" s="1"/>
  <c r="CL44" i="21"/>
  <c r="CM44" i="21"/>
  <c r="CN44" i="21" s="1"/>
  <c r="CO44" i="21" s="1"/>
  <c r="CP44" i="21"/>
  <c r="CQ44" i="21"/>
  <c r="CR44" i="21" s="1"/>
  <c r="CS44" i="21" s="1"/>
  <c r="CL45" i="21"/>
  <c r="CM45" i="21"/>
  <c r="CN45" i="21"/>
  <c r="CO45" i="21" s="1"/>
  <c r="CP45" i="21"/>
  <c r="CQ45" i="21"/>
  <c r="CR45" i="21" s="1"/>
  <c r="CS45" i="21" s="1"/>
  <c r="CL46" i="21"/>
  <c r="CM46" i="21"/>
  <c r="CN46" i="21" s="1"/>
  <c r="CO46" i="21" s="1"/>
  <c r="CP46" i="21"/>
  <c r="CQ46" i="21"/>
  <c r="CR46" i="21" s="1"/>
  <c r="CS46" i="21" s="1"/>
  <c r="CL47" i="21"/>
  <c r="CM47" i="21"/>
  <c r="CP47" i="21"/>
  <c r="CQ47" i="21"/>
  <c r="CR47" i="21" s="1"/>
  <c r="CS47" i="21" s="1"/>
  <c r="CL48" i="21"/>
  <c r="CM48" i="21"/>
  <c r="CN48" i="21" s="1"/>
  <c r="CO48" i="21" s="1"/>
  <c r="CP48" i="21"/>
  <c r="CQ48" i="21"/>
  <c r="CR48" i="21"/>
  <c r="CS48" i="21" s="1"/>
  <c r="CL49" i="21"/>
  <c r="CM49" i="21"/>
  <c r="CN49" i="21"/>
  <c r="CO49" i="21" s="1"/>
  <c r="CP49" i="21"/>
  <c r="CQ49" i="21"/>
  <c r="CR49" i="21" s="1"/>
  <c r="CS49" i="21" s="1"/>
  <c r="CL50" i="21"/>
  <c r="CM50" i="21"/>
  <c r="CN50" i="21"/>
  <c r="CO50" i="21" s="1"/>
  <c r="CP50" i="21"/>
  <c r="CQ50" i="21"/>
  <c r="CR50" i="21" s="1"/>
  <c r="CS50" i="21" s="1"/>
  <c r="CL51" i="21"/>
  <c r="CN51" i="21" s="1"/>
  <c r="CO51" i="21" s="1"/>
  <c r="CM51" i="21"/>
  <c r="CP51" i="21"/>
  <c r="CQ51" i="21"/>
  <c r="CR51" i="21" s="1"/>
  <c r="CS51" i="21" s="1"/>
  <c r="CL52" i="21"/>
  <c r="CM52" i="21"/>
  <c r="CN52" i="21" s="1"/>
  <c r="CO52" i="21" s="1"/>
  <c r="CP52" i="21"/>
  <c r="CQ52" i="21"/>
  <c r="CR52" i="21" s="1"/>
  <c r="CS52" i="21" s="1"/>
  <c r="CL53" i="21"/>
  <c r="CM53" i="21"/>
  <c r="CN53" i="21" s="1"/>
  <c r="CO53" i="21" s="1"/>
  <c r="CP53" i="21"/>
  <c r="CQ53" i="21"/>
  <c r="CR53" i="21"/>
  <c r="CS53" i="21" s="1"/>
  <c r="CL54" i="21"/>
  <c r="CM54" i="21"/>
  <c r="CN54" i="21"/>
  <c r="CO54" i="21" s="1"/>
  <c r="CP54" i="21"/>
  <c r="CQ54" i="21"/>
  <c r="CR54" i="21" s="1"/>
  <c r="CS54" i="21" s="1"/>
  <c r="CL55" i="21"/>
  <c r="CM55" i="21"/>
  <c r="CP55" i="21"/>
  <c r="CQ55" i="21"/>
  <c r="CR55" i="21" s="1"/>
  <c r="CS55" i="21" s="1"/>
  <c r="CL56" i="21"/>
  <c r="CM56" i="21"/>
  <c r="CN56" i="21" s="1"/>
  <c r="CO56" i="21" s="1"/>
  <c r="CP56" i="21"/>
  <c r="CQ56" i="21"/>
  <c r="CR56" i="21" s="1"/>
  <c r="CS56" i="21" s="1"/>
  <c r="CL57" i="21"/>
  <c r="CM57" i="21"/>
  <c r="CN57" i="21"/>
  <c r="CO57" i="21" s="1"/>
  <c r="CP57" i="21"/>
  <c r="CQ57" i="21"/>
  <c r="CR57" i="21" s="1"/>
  <c r="CS57" i="21" s="1"/>
  <c r="CM8" i="21"/>
  <c r="CP8" i="21"/>
  <c r="CQ8" i="21"/>
  <c r="CL8" i="21"/>
  <c r="UX28" i="2"/>
  <c r="UX27" i="2"/>
  <c r="BU9" i="21"/>
  <c r="BU11" i="21"/>
  <c r="BU12" i="21"/>
  <c r="BU15" i="21"/>
  <c r="BU16" i="21"/>
  <c r="BU17" i="21"/>
  <c r="BU18" i="21"/>
  <c r="BU19" i="21"/>
  <c r="BU20" i="21"/>
  <c r="BU21" i="21"/>
  <c r="BU22" i="21"/>
  <c r="BU23" i="21"/>
  <c r="BU24" i="21"/>
  <c r="BU25" i="21"/>
  <c r="BU26" i="21"/>
  <c r="BU27" i="21"/>
  <c r="BU28" i="21"/>
  <c r="BU29" i="21"/>
  <c r="BU30" i="21"/>
  <c r="BU31" i="21"/>
  <c r="BU32" i="21"/>
  <c r="BU33" i="21"/>
  <c r="BU34" i="21"/>
  <c r="BU35" i="21"/>
  <c r="BU36" i="21"/>
  <c r="BU37" i="21"/>
  <c r="BU38" i="21"/>
  <c r="BU39" i="21"/>
  <c r="BU40" i="21"/>
  <c r="BU41" i="21"/>
  <c r="BU42" i="21"/>
  <c r="BU43" i="21"/>
  <c r="BU44" i="21"/>
  <c r="BU45" i="21"/>
  <c r="BU46" i="21"/>
  <c r="BU47" i="21"/>
  <c r="BU48" i="21"/>
  <c r="BU49" i="21"/>
  <c r="BU50" i="21"/>
  <c r="BU51" i="21"/>
  <c r="BU52" i="21"/>
  <c r="BU53" i="21"/>
  <c r="BU54" i="21"/>
  <c r="BU55" i="21"/>
  <c r="BU56" i="21"/>
  <c r="BU57" i="21"/>
  <c r="BU58" i="21"/>
  <c r="BR9" i="21"/>
  <c r="BR10" i="21"/>
  <c r="BR11" i="21"/>
  <c r="BR12" i="21"/>
  <c r="BR13" i="21"/>
  <c r="BR14" i="21"/>
  <c r="BR15" i="21"/>
  <c r="BR16" i="21"/>
  <c r="BR17" i="21"/>
  <c r="BR18" i="21"/>
  <c r="BR19" i="21"/>
  <c r="BR20" i="21"/>
  <c r="BR21" i="21"/>
  <c r="BR22" i="21"/>
  <c r="BR23" i="21"/>
  <c r="BR24" i="21"/>
  <c r="BR25" i="21"/>
  <c r="BR26" i="21"/>
  <c r="BR27" i="21"/>
  <c r="BR28" i="21"/>
  <c r="BR29" i="21"/>
  <c r="BR30" i="21"/>
  <c r="BR31" i="21"/>
  <c r="BR32" i="21"/>
  <c r="BR33" i="21"/>
  <c r="BR34" i="21"/>
  <c r="BR35" i="21"/>
  <c r="BR36" i="21"/>
  <c r="BR37" i="21"/>
  <c r="BR38" i="21"/>
  <c r="BR39" i="21"/>
  <c r="BR40" i="21"/>
  <c r="BR41" i="21"/>
  <c r="BR42" i="21"/>
  <c r="BR43" i="21"/>
  <c r="BR44" i="21"/>
  <c r="BR45" i="21"/>
  <c r="BR46" i="21"/>
  <c r="BR47" i="21"/>
  <c r="BR48" i="21"/>
  <c r="BR49" i="21"/>
  <c r="BR50" i="21"/>
  <c r="BR51" i="21"/>
  <c r="BR52" i="21"/>
  <c r="BR53" i="21"/>
  <c r="BR54" i="21"/>
  <c r="BR55" i="21"/>
  <c r="BR56" i="21"/>
  <c r="BR57" i="21"/>
  <c r="BR58" i="21"/>
  <c r="BR8" i="21"/>
  <c r="AP9" i="21"/>
  <c r="AP10" i="21"/>
  <c r="AP11" i="21"/>
  <c r="AP12" i="21"/>
  <c r="AP13" i="21"/>
  <c r="AP14" i="21"/>
  <c r="AP15" i="21"/>
  <c r="AP16" i="21"/>
  <c r="AP17" i="21"/>
  <c r="AP18" i="21"/>
  <c r="AP19" i="21"/>
  <c r="AP20" i="21"/>
  <c r="AP21" i="21"/>
  <c r="AP22" i="21"/>
  <c r="AP23" i="21"/>
  <c r="AP24" i="21"/>
  <c r="AP25" i="21"/>
  <c r="AP26" i="21"/>
  <c r="AP27" i="21"/>
  <c r="AP28" i="21"/>
  <c r="AP29" i="21"/>
  <c r="AP30" i="21"/>
  <c r="AP31" i="21"/>
  <c r="AP32" i="21"/>
  <c r="AP33" i="21"/>
  <c r="AP34" i="21"/>
  <c r="AP35" i="21"/>
  <c r="AP36" i="21"/>
  <c r="AP37" i="21"/>
  <c r="AP38" i="21"/>
  <c r="AP39" i="21"/>
  <c r="AP40" i="21"/>
  <c r="AP41" i="21"/>
  <c r="AP42" i="21"/>
  <c r="AP43" i="21"/>
  <c r="AP44" i="21"/>
  <c r="AP45" i="21"/>
  <c r="AP46" i="21"/>
  <c r="AP47" i="21"/>
  <c r="AP48" i="21"/>
  <c r="AP49" i="21"/>
  <c r="AP50" i="21"/>
  <c r="AP51" i="21"/>
  <c r="AP52" i="21"/>
  <c r="AP53" i="21"/>
  <c r="AP54" i="21"/>
  <c r="AP55" i="21"/>
  <c r="AP56" i="21"/>
  <c r="AP57" i="21"/>
  <c r="AP8" i="21"/>
  <c r="AJ9" i="21"/>
  <c r="AK9" i="21"/>
  <c r="AJ10" i="21"/>
  <c r="AK10" i="21"/>
  <c r="AJ11" i="21"/>
  <c r="AK11" i="21"/>
  <c r="AJ12" i="21"/>
  <c r="AK12" i="21"/>
  <c r="AJ13" i="21"/>
  <c r="AK13" i="21"/>
  <c r="AJ14" i="21"/>
  <c r="AK14" i="21"/>
  <c r="AJ15" i="21"/>
  <c r="AK15" i="21"/>
  <c r="AJ16" i="21"/>
  <c r="AK16" i="21"/>
  <c r="AJ17" i="21"/>
  <c r="AK17" i="21"/>
  <c r="AJ18" i="21"/>
  <c r="AK18" i="21"/>
  <c r="AJ19" i="21"/>
  <c r="AK19" i="21"/>
  <c r="AJ20" i="21"/>
  <c r="AK20" i="21"/>
  <c r="AJ21" i="21"/>
  <c r="AK21" i="21"/>
  <c r="AJ22" i="21"/>
  <c r="AK22" i="21"/>
  <c r="AJ23" i="21"/>
  <c r="AK23" i="21"/>
  <c r="AJ24" i="21"/>
  <c r="AK24" i="21"/>
  <c r="AJ25" i="21"/>
  <c r="AK25" i="21"/>
  <c r="AJ26" i="21"/>
  <c r="AK26" i="21"/>
  <c r="AJ27" i="21"/>
  <c r="AK27" i="21"/>
  <c r="AJ28" i="21"/>
  <c r="AK28" i="21"/>
  <c r="AJ29" i="21"/>
  <c r="AK29" i="21"/>
  <c r="AJ30" i="21"/>
  <c r="AK30" i="21"/>
  <c r="AJ31" i="21"/>
  <c r="AK31" i="21"/>
  <c r="AJ32" i="21"/>
  <c r="AK32" i="21"/>
  <c r="AJ33" i="21"/>
  <c r="AK33" i="21"/>
  <c r="AJ34" i="21"/>
  <c r="AK34" i="21"/>
  <c r="AJ35" i="21"/>
  <c r="AK35" i="21"/>
  <c r="AJ36" i="21"/>
  <c r="AK36" i="21"/>
  <c r="AJ37" i="21"/>
  <c r="AK37" i="21"/>
  <c r="AJ38" i="21"/>
  <c r="AK38" i="21"/>
  <c r="AJ39" i="21"/>
  <c r="AK39" i="21"/>
  <c r="AJ40" i="21"/>
  <c r="AK40" i="21"/>
  <c r="AJ41" i="21"/>
  <c r="AK41" i="21"/>
  <c r="AJ42" i="21"/>
  <c r="AK42" i="21"/>
  <c r="AJ43" i="21"/>
  <c r="AK43" i="21"/>
  <c r="AJ44" i="21"/>
  <c r="AK44" i="21"/>
  <c r="AJ45" i="21"/>
  <c r="AK45" i="21"/>
  <c r="AJ46" i="21"/>
  <c r="AK46" i="21"/>
  <c r="AJ47" i="21"/>
  <c r="AK47" i="21"/>
  <c r="AJ48" i="21"/>
  <c r="AK48" i="21"/>
  <c r="AJ49" i="21"/>
  <c r="AK49" i="21"/>
  <c r="AJ50" i="21"/>
  <c r="AK50" i="21"/>
  <c r="AJ51" i="21"/>
  <c r="AK51" i="21"/>
  <c r="AJ52" i="21"/>
  <c r="AK52" i="21"/>
  <c r="AJ53" i="21"/>
  <c r="AK53" i="21"/>
  <c r="AJ54" i="21"/>
  <c r="AK54" i="21"/>
  <c r="AJ55" i="21"/>
  <c r="AK55" i="21"/>
  <c r="AJ56" i="21"/>
  <c r="AK56" i="21"/>
  <c r="AJ57" i="21"/>
  <c r="AK57" i="21"/>
  <c r="AK8" i="21"/>
  <c r="AJ8" i="21"/>
  <c r="VQ36" i="2"/>
  <c r="VO36" i="2"/>
  <c r="VN36" i="2"/>
  <c r="VQ40" i="2"/>
  <c r="VQ39" i="2"/>
  <c r="VQ38" i="2"/>
  <c r="VQ37" i="2"/>
  <c r="VQ35" i="2"/>
  <c r="VQ34" i="2"/>
  <c r="VQ33" i="2"/>
  <c r="VQ32" i="2"/>
  <c r="VQ31" i="2"/>
  <c r="VQ30" i="2"/>
  <c r="VQ29" i="2"/>
  <c r="VQ28" i="2"/>
  <c r="VQ27" i="2"/>
  <c r="VO40" i="2"/>
  <c r="VO39" i="2"/>
  <c r="VO38" i="2"/>
  <c r="VO37" i="2"/>
  <c r="VO35" i="2"/>
  <c r="VO34" i="2"/>
  <c r="VO33" i="2"/>
  <c r="VO32" i="2"/>
  <c r="VO31" i="2"/>
  <c r="VO30" i="2"/>
  <c r="VO29" i="2"/>
  <c r="VO28" i="2"/>
  <c r="VO27" i="2"/>
  <c r="VN40" i="2"/>
  <c r="VN39" i="2"/>
  <c r="VN38" i="2"/>
  <c r="VN37" i="2"/>
  <c r="VN35" i="2"/>
  <c r="VN34" i="2"/>
  <c r="VN33" i="2"/>
  <c r="VN32" i="2"/>
  <c r="VN31" i="2"/>
  <c r="VN30" i="2"/>
  <c r="VN29" i="2"/>
  <c r="VN28" i="2"/>
  <c r="VN27" i="2"/>
  <c r="VP40" i="2"/>
  <c r="VP39" i="2"/>
  <c r="VP38" i="2"/>
  <c r="VP37" i="2"/>
  <c r="VP36" i="2"/>
  <c r="VP35" i="2"/>
  <c r="VP34" i="2"/>
  <c r="VP33" i="2"/>
  <c r="VP32" i="2"/>
  <c r="VP31" i="2"/>
  <c r="VP30" i="2"/>
  <c r="VP29" i="2"/>
  <c r="VP28" i="2"/>
  <c r="VP27" i="2"/>
  <c r="VM40" i="2"/>
  <c r="VM39" i="2"/>
  <c r="VM38" i="2"/>
  <c r="VM37" i="2"/>
  <c r="VM36" i="2"/>
  <c r="VM35" i="2"/>
  <c r="VM34" i="2"/>
  <c r="VM33" i="2"/>
  <c r="VM32" i="2"/>
  <c r="VM31" i="2"/>
  <c r="VM30" i="2"/>
  <c r="VM29" i="2"/>
  <c r="VM28" i="2"/>
  <c r="VM27" i="2"/>
  <c r="BO9" i="21"/>
  <c r="BP9" i="21"/>
  <c r="BQ9" i="21"/>
  <c r="BO10" i="21"/>
  <c r="BP10" i="21"/>
  <c r="BQ10" i="21"/>
  <c r="BO11" i="21"/>
  <c r="BP11" i="21"/>
  <c r="BQ11" i="21"/>
  <c r="BO12" i="21"/>
  <c r="BP12" i="21"/>
  <c r="BQ12" i="21"/>
  <c r="BO13" i="21"/>
  <c r="BP13" i="21"/>
  <c r="BQ13" i="21"/>
  <c r="BO14" i="21"/>
  <c r="BP14" i="21"/>
  <c r="BQ14" i="21"/>
  <c r="BO15" i="21"/>
  <c r="BP15" i="21"/>
  <c r="BQ15" i="21"/>
  <c r="BO16" i="21"/>
  <c r="BP16" i="21"/>
  <c r="BQ16" i="21"/>
  <c r="BO17" i="21"/>
  <c r="BP17" i="21"/>
  <c r="BQ17" i="21"/>
  <c r="BO18" i="21"/>
  <c r="BP18" i="21"/>
  <c r="BQ18" i="21"/>
  <c r="BO19" i="21"/>
  <c r="BP19" i="21"/>
  <c r="BQ19" i="21"/>
  <c r="BO20" i="21"/>
  <c r="BP20" i="21"/>
  <c r="BQ20" i="21"/>
  <c r="BO21" i="21"/>
  <c r="BP21" i="21"/>
  <c r="BQ21" i="21"/>
  <c r="BO22" i="21"/>
  <c r="BP22" i="21"/>
  <c r="BQ22" i="21"/>
  <c r="BO23" i="21"/>
  <c r="BN23" i="21" s="1"/>
  <c r="BP23" i="21"/>
  <c r="BQ23" i="21"/>
  <c r="BO24" i="21"/>
  <c r="BP24" i="21"/>
  <c r="BQ24" i="21"/>
  <c r="BO25" i="21"/>
  <c r="BP25" i="21"/>
  <c r="BQ25" i="21"/>
  <c r="BO26" i="21"/>
  <c r="BP26" i="21"/>
  <c r="BQ26" i="21"/>
  <c r="BO27" i="21"/>
  <c r="BN27" i="21" s="1"/>
  <c r="BP27" i="21"/>
  <c r="BQ27" i="21"/>
  <c r="BO28" i="21"/>
  <c r="BP28" i="21"/>
  <c r="BQ28" i="21"/>
  <c r="BO29" i="21"/>
  <c r="BP29" i="21"/>
  <c r="BQ29" i="21"/>
  <c r="BO30" i="21"/>
  <c r="BP30" i="21"/>
  <c r="BQ30" i="21"/>
  <c r="BO31" i="21"/>
  <c r="BP31" i="21"/>
  <c r="BQ31" i="21"/>
  <c r="BO32" i="21"/>
  <c r="BP32" i="21"/>
  <c r="BQ32" i="21"/>
  <c r="BO33" i="21"/>
  <c r="BP33" i="21"/>
  <c r="BQ33" i="21"/>
  <c r="BO34" i="21"/>
  <c r="BP34" i="21"/>
  <c r="BQ34" i="21"/>
  <c r="BO35" i="21"/>
  <c r="BP35" i="21"/>
  <c r="BQ35" i="21"/>
  <c r="BO36" i="21"/>
  <c r="BP36" i="21"/>
  <c r="BQ36" i="21"/>
  <c r="BO37" i="21"/>
  <c r="BP37" i="21"/>
  <c r="BQ37" i="21"/>
  <c r="BO38" i="21"/>
  <c r="BP38" i="21"/>
  <c r="BQ38" i="21"/>
  <c r="BO39" i="21"/>
  <c r="BP39" i="21"/>
  <c r="BQ39" i="21"/>
  <c r="BO40" i="21"/>
  <c r="BP40" i="21"/>
  <c r="BQ40" i="21"/>
  <c r="BO41" i="21"/>
  <c r="BP41" i="21"/>
  <c r="BQ41" i="21"/>
  <c r="BO42" i="21"/>
  <c r="BP42" i="21"/>
  <c r="BQ42" i="21"/>
  <c r="BO43" i="21"/>
  <c r="BP43" i="21"/>
  <c r="BQ43" i="21"/>
  <c r="BO44" i="21"/>
  <c r="BP44" i="21"/>
  <c r="BQ44" i="21"/>
  <c r="BO45" i="21"/>
  <c r="BP45" i="21"/>
  <c r="BQ45" i="21"/>
  <c r="BO46" i="21"/>
  <c r="BP46" i="21"/>
  <c r="BQ46" i="21"/>
  <c r="BO47" i="21"/>
  <c r="BP47" i="21"/>
  <c r="BQ47" i="21"/>
  <c r="BO48" i="21"/>
  <c r="BP48" i="21"/>
  <c r="BQ48" i="21"/>
  <c r="BO49" i="21"/>
  <c r="BP49" i="21"/>
  <c r="BQ49" i="21"/>
  <c r="BO50" i="21"/>
  <c r="BP50" i="21"/>
  <c r="BQ50" i="21"/>
  <c r="BO51" i="21"/>
  <c r="BP51" i="21"/>
  <c r="BQ51" i="21"/>
  <c r="BO52" i="21"/>
  <c r="BP52" i="21"/>
  <c r="BQ52" i="21"/>
  <c r="BO53" i="21"/>
  <c r="BP53" i="21"/>
  <c r="BQ53" i="21"/>
  <c r="BO54" i="21"/>
  <c r="BP54" i="21"/>
  <c r="BQ54" i="21"/>
  <c r="BO55" i="21"/>
  <c r="BP55" i="21"/>
  <c r="BQ55" i="21"/>
  <c r="BO56" i="21"/>
  <c r="BP56" i="21"/>
  <c r="BQ56" i="21"/>
  <c r="BO57" i="21"/>
  <c r="BP57" i="21"/>
  <c r="BQ57" i="21"/>
  <c r="BO58" i="21"/>
  <c r="BP58" i="21"/>
  <c r="BQ58" i="21"/>
  <c r="BQ8" i="21"/>
  <c r="BP8" i="21"/>
  <c r="CC9" i="21"/>
  <c r="W9" i="21" s="1"/>
  <c r="CE9" i="21"/>
  <c r="CG9" i="21"/>
  <c r="CC10" i="21"/>
  <c r="W10" i="21" s="1"/>
  <c r="CD10" i="21"/>
  <c r="CE10" i="21"/>
  <c r="CF10" i="21"/>
  <c r="CG10" i="21"/>
  <c r="CC11" i="21"/>
  <c r="W11" i="21" s="1"/>
  <c r="CD11" i="21"/>
  <c r="CE11" i="21"/>
  <c r="CF11" i="21"/>
  <c r="CG11" i="21"/>
  <c r="CC12" i="21"/>
  <c r="W12" i="21" s="1"/>
  <c r="CD12" i="21"/>
  <c r="CE12" i="21"/>
  <c r="CF12" i="21"/>
  <c r="CG12" i="21"/>
  <c r="CC13" i="21"/>
  <c r="W13" i="21" s="1"/>
  <c r="CD13" i="21"/>
  <c r="CE13" i="21"/>
  <c r="CF13" i="21"/>
  <c r="CG13" i="21"/>
  <c r="CC14" i="21"/>
  <c r="W14" i="21" s="1"/>
  <c r="CD14" i="21"/>
  <c r="CE14" i="21"/>
  <c r="CF14" i="21"/>
  <c r="CG14" i="21"/>
  <c r="CC15" i="21"/>
  <c r="W15" i="21" s="1"/>
  <c r="CD15" i="21"/>
  <c r="CE15" i="21"/>
  <c r="CF15" i="21"/>
  <c r="CG15" i="21"/>
  <c r="CC16" i="21"/>
  <c r="W16" i="21" s="1"/>
  <c r="CD16" i="21"/>
  <c r="CE16" i="21"/>
  <c r="CF16" i="21"/>
  <c r="CG16" i="21"/>
  <c r="CC17" i="21"/>
  <c r="W17" i="21" s="1"/>
  <c r="CD17" i="21"/>
  <c r="CE17" i="21"/>
  <c r="CF17" i="21"/>
  <c r="CG17" i="21"/>
  <c r="CC18" i="21"/>
  <c r="W18" i="21" s="1"/>
  <c r="CD18" i="21"/>
  <c r="CE18" i="21"/>
  <c r="CF18" i="21"/>
  <c r="CG18" i="21"/>
  <c r="CC19" i="21"/>
  <c r="W19" i="21" s="1"/>
  <c r="CD19" i="21"/>
  <c r="CE19" i="21"/>
  <c r="CF19" i="21"/>
  <c r="CG19" i="21"/>
  <c r="CC20" i="21"/>
  <c r="W20" i="21" s="1"/>
  <c r="CD20" i="21"/>
  <c r="CE20" i="21"/>
  <c r="CF20" i="21"/>
  <c r="CG20" i="21"/>
  <c r="CC21" i="21"/>
  <c r="W21" i="21" s="1"/>
  <c r="CD21" i="21"/>
  <c r="CE21" i="21"/>
  <c r="CF21" i="21"/>
  <c r="CG21" i="21"/>
  <c r="CC22" i="21"/>
  <c r="W22" i="21" s="1"/>
  <c r="CD22" i="21"/>
  <c r="CE22" i="21"/>
  <c r="CF22" i="21"/>
  <c r="CG22" i="21"/>
  <c r="CC23" i="21"/>
  <c r="W23" i="21" s="1"/>
  <c r="CD23" i="21"/>
  <c r="CE23" i="21"/>
  <c r="CF23" i="21"/>
  <c r="CG23" i="21"/>
  <c r="CC24" i="21"/>
  <c r="W24" i="21" s="1"/>
  <c r="CD24" i="21"/>
  <c r="CE24" i="21"/>
  <c r="CF24" i="21"/>
  <c r="CG24" i="21"/>
  <c r="CC25" i="21"/>
  <c r="W25" i="21" s="1"/>
  <c r="CD25" i="21"/>
  <c r="CE25" i="21"/>
  <c r="CF25" i="21"/>
  <c r="CG25" i="21"/>
  <c r="CC26" i="21"/>
  <c r="W26" i="21" s="1"/>
  <c r="CD26" i="21"/>
  <c r="CE26" i="21"/>
  <c r="CF26" i="21"/>
  <c r="CG26" i="21"/>
  <c r="CC27" i="21"/>
  <c r="W27" i="21" s="1"/>
  <c r="CD27" i="21"/>
  <c r="CE27" i="21"/>
  <c r="CF27" i="21"/>
  <c r="CG27" i="21"/>
  <c r="CC28" i="21"/>
  <c r="W28" i="21" s="1"/>
  <c r="CD28" i="21"/>
  <c r="CE28" i="21"/>
  <c r="CF28" i="21"/>
  <c r="CG28" i="21"/>
  <c r="CC29" i="21"/>
  <c r="W29" i="21" s="1"/>
  <c r="CD29" i="21"/>
  <c r="CE29" i="21"/>
  <c r="CF29" i="21"/>
  <c r="CG29" i="21"/>
  <c r="CC30" i="21"/>
  <c r="W30" i="21" s="1"/>
  <c r="CD30" i="21"/>
  <c r="CE30" i="21"/>
  <c r="CF30" i="21"/>
  <c r="CG30" i="21"/>
  <c r="CC31" i="21"/>
  <c r="W31" i="21" s="1"/>
  <c r="CD31" i="21"/>
  <c r="CE31" i="21"/>
  <c r="CF31" i="21"/>
  <c r="CG31" i="21"/>
  <c r="CC32" i="21"/>
  <c r="W32" i="21" s="1"/>
  <c r="CD32" i="21"/>
  <c r="CE32" i="21"/>
  <c r="CF32" i="21"/>
  <c r="CG32" i="21"/>
  <c r="CC33" i="21"/>
  <c r="W33" i="21" s="1"/>
  <c r="CD33" i="21"/>
  <c r="CE33" i="21"/>
  <c r="CF33" i="21"/>
  <c r="CG33" i="21"/>
  <c r="CC34" i="21"/>
  <c r="W34" i="21" s="1"/>
  <c r="CD34" i="21"/>
  <c r="CE34" i="21"/>
  <c r="CF34" i="21"/>
  <c r="CG34" i="21"/>
  <c r="CC35" i="21"/>
  <c r="W35" i="21" s="1"/>
  <c r="CD35" i="21"/>
  <c r="CE35" i="21"/>
  <c r="CF35" i="21"/>
  <c r="CG35" i="21"/>
  <c r="CC36" i="21"/>
  <c r="W36" i="21" s="1"/>
  <c r="CD36" i="21"/>
  <c r="CE36" i="21"/>
  <c r="CF36" i="21"/>
  <c r="CG36" i="21"/>
  <c r="CC37" i="21"/>
  <c r="W37" i="21" s="1"/>
  <c r="CD37" i="21"/>
  <c r="CE37" i="21"/>
  <c r="CF37" i="21"/>
  <c r="CG37" i="21"/>
  <c r="CC38" i="21"/>
  <c r="W38" i="21" s="1"/>
  <c r="CD38" i="21"/>
  <c r="CE38" i="21"/>
  <c r="CF38" i="21"/>
  <c r="CG38" i="21"/>
  <c r="CC39" i="21"/>
  <c r="W39" i="21" s="1"/>
  <c r="CD39" i="21"/>
  <c r="CE39" i="21"/>
  <c r="CF39" i="21"/>
  <c r="CG39" i="21"/>
  <c r="CC40" i="21"/>
  <c r="W40" i="21" s="1"/>
  <c r="CD40" i="21"/>
  <c r="CE40" i="21"/>
  <c r="CF40" i="21"/>
  <c r="CG40" i="21"/>
  <c r="CC41" i="21"/>
  <c r="W41" i="21" s="1"/>
  <c r="CD41" i="21"/>
  <c r="CE41" i="21"/>
  <c r="CF41" i="21"/>
  <c r="CG41" i="21"/>
  <c r="CC42" i="21"/>
  <c r="W42" i="21" s="1"/>
  <c r="CD42" i="21"/>
  <c r="CE42" i="21"/>
  <c r="CF42" i="21"/>
  <c r="CG42" i="21"/>
  <c r="CC43" i="21"/>
  <c r="W43" i="21" s="1"/>
  <c r="CD43" i="21"/>
  <c r="CE43" i="21"/>
  <c r="CF43" i="21"/>
  <c r="CG43" i="21"/>
  <c r="CC44" i="21"/>
  <c r="W44" i="21" s="1"/>
  <c r="CD44" i="21"/>
  <c r="CE44" i="21"/>
  <c r="CF44" i="21"/>
  <c r="CG44" i="21"/>
  <c r="CC45" i="21"/>
  <c r="W45" i="21" s="1"/>
  <c r="CD45" i="21"/>
  <c r="CE45" i="21"/>
  <c r="CF45" i="21"/>
  <c r="CG45" i="21"/>
  <c r="CC46" i="21"/>
  <c r="W46" i="21" s="1"/>
  <c r="CD46" i="21"/>
  <c r="CE46" i="21"/>
  <c r="CF46" i="21"/>
  <c r="CG46" i="21"/>
  <c r="CC47" i="21"/>
  <c r="W47" i="21" s="1"/>
  <c r="CD47" i="21"/>
  <c r="CE47" i="21"/>
  <c r="CF47" i="21"/>
  <c r="CG47" i="21"/>
  <c r="CC48" i="21"/>
  <c r="W48" i="21" s="1"/>
  <c r="CD48" i="21"/>
  <c r="CE48" i="21"/>
  <c r="CF48" i="21"/>
  <c r="CG48" i="21"/>
  <c r="CC49" i="21"/>
  <c r="W49" i="21" s="1"/>
  <c r="CD49" i="21"/>
  <c r="CE49" i="21"/>
  <c r="CF49" i="21"/>
  <c r="CG49" i="21"/>
  <c r="CC50" i="21"/>
  <c r="W50" i="21" s="1"/>
  <c r="CD50" i="21"/>
  <c r="CE50" i="21"/>
  <c r="CF50" i="21"/>
  <c r="CG50" i="21"/>
  <c r="CC51" i="21"/>
  <c r="W51" i="21" s="1"/>
  <c r="CD51" i="21"/>
  <c r="CE51" i="21"/>
  <c r="CF51" i="21"/>
  <c r="CG51" i="21"/>
  <c r="CC52" i="21"/>
  <c r="W52" i="21" s="1"/>
  <c r="CD52" i="21"/>
  <c r="CE52" i="21"/>
  <c r="CF52" i="21"/>
  <c r="CG52" i="21"/>
  <c r="CC53" i="21"/>
  <c r="W53" i="21" s="1"/>
  <c r="CD53" i="21"/>
  <c r="CE53" i="21"/>
  <c r="CF53" i="21"/>
  <c r="CG53" i="21"/>
  <c r="CC54" i="21"/>
  <c r="W54" i="21" s="1"/>
  <c r="CD54" i="21"/>
  <c r="CE54" i="21"/>
  <c r="CF54" i="21"/>
  <c r="CG54" i="21"/>
  <c r="CC55" i="21"/>
  <c r="W55" i="21" s="1"/>
  <c r="CD55" i="21"/>
  <c r="CE55" i="21"/>
  <c r="CF55" i="21"/>
  <c r="CG55" i="21"/>
  <c r="CC56" i="21"/>
  <c r="W56" i="21" s="1"/>
  <c r="CD56" i="21"/>
  <c r="CE56" i="21"/>
  <c r="CF56" i="21"/>
  <c r="CG56" i="21"/>
  <c r="CC57" i="21"/>
  <c r="W57" i="21" s="1"/>
  <c r="CD57" i="21"/>
  <c r="CE57" i="21"/>
  <c r="CF57" i="21"/>
  <c r="CG57" i="21"/>
  <c r="CE8" i="21"/>
  <c r="CC8" i="21"/>
  <c r="CD8" i="21" s="1"/>
  <c r="CB10" i="21"/>
  <c r="CB11" i="21"/>
  <c r="CB12" i="21"/>
  <c r="CB13" i="21"/>
  <c r="CB14" i="21"/>
  <c r="CB15" i="21"/>
  <c r="CB16" i="21"/>
  <c r="CB17" i="21"/>
  <c r="CB18" i="21"/>
  <c r="CB19" i="21"/>
  <c r="CB20" i="21"/>
  <c r="CB21" i="21"/>
  <c r="CB22" i="21"/>
  <c r="CB23" i="21"/>
  <c r="CB24" i="21"/>
  <c r="CB25" i="21"/>
  <c r="CB26" i="21"/>
  <c r="CB27" i="21"/>
  <c r="CB28" i="21"/>
  <c r="CB29" i="21"/>
  <c r="CB30" i="21"/>
  <c r="CB31" i="21"/>
  <c r="CB32" i="21"/>
  <c r="CB33" i="21"/>
  <c r="CB34" i="21"/>
  <c r="CB35" i="21"/>
  <c r="CB36" i="21"/>
  <c r="CB37" i="21"/>
  <c r="CB38" i="21"/>
  <c r="CB39" i="21"/>
  <c r="CB40" i="21"/>
  <c r="CB41" i="21"/>
  <c r="CB42" i="21"/>
  <c r="CB43" i="21"/>
  <c r="CB44" i="21"/>
  <c r="CB45" i="21"/>
  <c r="CB46" i="21"/>
  <c r="CB47" i="21"/>
  <c r="CB48" i="21"/>
  <c r="CB49" i="21"/>
  <c r="CB50" i="21"/>
  <c r="CB51" i="21"/>
  <c r="CB52" i="21"/>
  <c r="CB53" i="21"/>
  <c r="CB54" i="21"/>
  <c r="CB55" i="21"/>
  <c r="CB56" i="21"/>
  <c r="CB57" i="21"/>
  <c r="BY10" i="21"/>
  <c r="CB8" i="21" s="1"/>
  <c r="BY9" i="21"/>
  <c r="CB9" i="21" s="1"/>
  <c r="BY11" i="21"/>
  <c r="BY8" i="21"/>
  <c r="AU9" i="21"/>
  <c r="AU10" i="21"/>
  <c r="AU11" i="21"/>
  <c r="AU12" i="21"/>
  <c r="AU13" i="21"/>
  <c r="AU14" i="21"/>
  <c r="AU15" i="21"/>
  <c r="AU16" i="21"/>
  <c r="AU17" i="21"/>
  <c r="AU18" i="21"/>
  <c r="AU19" i="21"/>
  <c r="AU20" i="21"/>
  <c r="AU21" i="21"/>
  <c r="AU22" i="21"/>
  <c r="AU23" i="21"/>
  <c r="AU24" i="21"/>
  <c r="AU25" i="21"/>
  <c r="AU26" i="21"/>
  <c r="AU27" i="21"/>
  <c r="AU28" i="21"/>
  <c r="AU29" i="21"/>
  <c r="AU30" i="21"/>
  <c r="AU31" i="21"/>
  <c r="AU32" i="21"/>
  <c r="AU33" i="21"/>
  <c r="AU34" i="21"/>
  <c r="AU35" i="21"/>
  <c r="AU36" i="21"/>
  <c r="AU37" i="21"/>
  <c r="AU38" i="21"/>
  <c r="AU39" i="21"/>
  <c r="AU40" i="21"/>
  <c r="AU41" i="21"/>
  <c r="AU42" i="21"/>
  <c r="AU43" i="21"/>
  <c r="AU44" i="21"/>
  <c r="AU45" i="21"/>
  <c r="AU46" i="21"/>
  <c r="AU47" i="21"/>
  <c r="AU48" i="21"/>
  <c r="AU49" i="21"/>
  <c r="AU50" i="21"/>
  <c r="AU51" i="21"/>
  <c r="AU52" i="21"/>
  <c r="AU53" i="21"/>
  <c r="AU54" i="21"/>
  <c r="AU55" i="21"/>
  <c r="AU56" i="21"/>
  <c r="AU57" i="21"/>
  <c r="AU8" i="21"/>
  <c r="BA9" i="21"/>
  <c r="BA10" i="21"/>
  <c r="BA11" i="21"/>
  <c r="BA12" i="21"/>
  <c r="BA13" i="21"/>
  <c r="BA14" i="21"/>
  <c r="BA15" i="21"/>
  <c r="BA16" i="21"/>
  <c r="BA17" i="21"/>
  <c r="BA18" i="21"/>
  <c r="BA19" i="21"/>
  <c r="BA20" i="21"/>
  <c r="BA21" i="21"/>
  <c r="BA22" i="21"/>
  <c r="BA23" i="21"/>
  <c r="BA24" i="21"/>
  <c r="BA25" i="21"/>
  <c r="BA26" i="21"/>
  <c r="BA27" i="21"/>
  <c r="BA28" i="21"/>
  <c r="BA29" i="21"/>
  <c r="BA30" i="21"/>
  <c r="BA31" i="21"/>
  <c r="BA32" i="21"/>
  <c r="BA33" i="21"/>
  <c r="BA34" i="21"/>
  <c r="BA35" i="21"/>
  <c r="BA36" i="21"/>
  <c r="BA37" i="21"/>
  <c r="BA38" i="21"/>
  <c r="BA39" i="21"/>
  <c r="BA40" i="21"/>
  <c r="BA41" i="21"/>
  <c r="BA42" i="21"/>
  <c r="BA43" i="21"/>
  <c r="BA44" i="21"/>
  <c r="BA45" i="21"/>
  <c r="BA46" i="21"/>
  <c r="BA47" i="21"/>
  <c r="BA48" i="21"/>
  <c r="BA49" i="21"/>
  <c r="BA50" i="21"/>
  <c r="BA51" i="21"/>
  <c r="BA52" i="21"/>
  <c r="BA53" i="21"/>
  <c r="BA54" i="21"/>
  <c r="BA55" i="21"/>
  <c r="BA56" i="21"/>
  <c r="BA57" i="21"/>
  <c r="BA8" i="21"/>
  <c r="DH9" i="23"/>
  <c r="DH10" i="23"/>
  <c r="DH11" i="23"/>
  <c r="DH12" i="23"/>
  <c r="DH13" i="23"/>
  <c r="DH14" i="23"/>
  <c r="DH15" i="23"/>
  <c r="DH16" i="23"/>
  <c r="DH17" i="23"/>
  <c r="DH18" i="23"/>
  <c r="DH19" i="23"/>
  <c r="DH20" i="23"/>
  <c r="DH21" i="23"/>
  <c r="DH22" i="23"/>
  <c r="DH23" i="23"/>
  <c r="DH24" i="23"/>
  <c r="DH25" i="23"/>
  <c r="DH26" i="23"/>
  <c r="DH27" i="23"/>
  <c r="DH28" i="23"/>
  <c r="DH29" i="23"/>
  <c r="DH30" i="23"/>
  <c r="DH31" i="23"/>
  <c r="DH32" i="23"/>
  <c r="DH33" i="23"/>
  <c r="DH34" i="23"/>
  <c r="DH35" i="23"/>
  <c r="DH36" i="23"/>
  <c r="DH37" i="23"/>
  <c r="DH38" i="23"/>
  <c r="DH39" i="23"/>
  <c r="DH40" i="23"/>
  <c r="DH41" i="23"/>
  <c r="DH42" i="23"/>
  <c r="DH43" i="23"/>
  <c r="DH44" i="23"/>
  <c r="DH45" i="23"/>
  <c r="DH46" i="23"/>
  <c r="DH47" i="23"/>
  <c r="DH48" i="23"/>
  <c r="DH49" i="23"/>
  <c r="DH50" i="23"/>
  <c r="DH51" i="23"/>
  <c r="DH52" i="23"/>
  <c r="DH53" i="23"/>
  <c r="DH54" i="23"/>
  <c r="DH55" i="23"/>
  <c r="DH56" i="23"/>
  <c r="DH57" i="23"/>
  <c r="DH8" i="23"/>
  <c r="BA9" i="23"/>
  <c r="BA10" i="23"/>
  <c r="BA11" i="23"/>
  <c r="BA12" i="23"/>
  <c r="BA13" i="23"/>
  <c r="BA14" i="23"/>
  <c r="BA15" i="23"/>
  <c r="BA16" i="23"/>
  <c r="BA17" i="23"/>
  <c r="BA18" i="23"/>
  <c r="BA19" i="23"/>
  <c r="BA20" i="23"/>
  <c r="BA21" i="23"/>
  <c r="BA22" i="23"/>
  <c r="BA23" i="23"/>
  <c r="BA24" i="23"/>
  <c r="BA25" i="23"/>
  <c r="BA26" i="23"/>
  <c r="BA27" i="23"/>
  <c r="BA28" i="23"/>
  <c r="BA29" i="23"/>
  <c r="BA30" i="23"/>
  <c r="BA31" i="23"/>
  <c r="BA32" i="23"/>
  <c r="BA33" i="23"/>
  <c r="BA34" i="23"/>
  <c r="BA35" i="23"/>
  <c r="BA36" i="23"/>
  <c r="BA37" i="23"/>
  <c r="BA38" i="23"/>
  <c r="BA39" i="23"/>
  <c r="BA40" i="23"/>
  <c r="BA41" i="23"/>
  <c r="BA42" i="23"/>
  <c r="BA43" i="23"/>
  <c r="BA44" i="23"/>
  <c r="BA45" i="23"/>
  <c r="BA46" i="23"/>
  <c r="BA47" i="23"/>
  <c r="BA48" i="23"/>
  <c r="BA49" i="23"/>
  <c r="BA50" i="23"/>
  <c r="BA51" i="23"/>
  <c r="BA52" i="23"/>
  <c r="BA53" i="23"/>
  <c r="BA54" i="23"/>
  <c r="BA55" i="23"/>
  <c r="BA56" i="23"/>
  <c r="BA57" i="23"/>
  <c r="BA8" i="23"/>
  <c r="ET9" i="23"/>
  <c r="EU9" i="23"/>
  <c r="ET10" i="23"/>
  <c r="EU10" i="23"/>
  <c r="ET11" i="23"/>
  <c r="EU11" i="23"/>
  <c r="ET12" i="23"/>
  <c r="EU12" i="23"/>
  <c r="ET13" i="23"/>
  <c r="EU13" i="23"/>
  <c r="ET14" i="23"/>
  <c r="EU14" i="23"/>
  <c r="EV14" i="23" s="1"/>
  <c r="ET15" i="23"/>
  <c r="EU15" i="23"/>
  <c r="ET16" i="23"/>
  <c r="EU16" i="23"/>
  <c r="ET17" i="23"/>
  <c r="EU17" i="23"/>
  <c r="ET18" i="23"/>
  <c r="EU18" i="23"/>
  <c r="ET19" i="23"/>
  <c r="EU19" i="23"/>
  <c r="ET20" i="23"/>
  <c r="EU20" i="23"/>
  <c r="EV20" i="23" s="1"/>
  <c r="ET21" i="23"/>
  <c r="EU21" i="23"/>
  <c r="ET22" i="23"/>
  <c r="EU22" i="23"/>
  <c r="ET23" i="23"/>
  <c r="EU23" i="23"/>
  <c r="ET24" i="23"/>
  <c r="EU24" i="23"/>
  <c r="ET25" i="23"/>
  <c r="EU25" i="23"/>
  <c r="ET26" i="23"/>
  <c r="EU26" i="23"/>
  <c r="EV26" i="23" s="1"/>
  <c r="ET27" i="23"/>
  <c r="EU27" i="23"/>
  <c r="ET28" i="23"/>
  <c r="EU28" i="23"/>
  <c r="ET29" i="23"/>
  <c r="EU29" i="23"/>
  <c r="ET30" i="23"/>
  <c r="EU30" i="23"/>
  <c r="ET31" i="23"/>
  <c r="EU31" i="23"/>
  <c r="EV31" i="23" s="1"/>
  <c r="ET32" i="23"/>
  <c r="EU32" i="23"/>
  <c r="EV32" i="23" s="1"/>
  <c r="ET33" i="23"/>
  <c r="EU33" i="23"/>
  <c r="ET34" i="23"/>
  <c r="EU34" i="23"/>
  <c r="ET35" i="23"/>
  <c r="EU35" i="23"/>
  <c r="ET36" i="23"/>
  <c r="EU36" i="23"/>
  <c r="ET37" i="23"/>
  <c r="EU37" i="23"/>
  <c r="ET38" i="23"/>
  <c r="EU38" i="23"/>
  <c r="EV38" i="23" s="1"/>
  <c r="ET39" i="23"/>
  <c r="EU39" i="23"/>
  <c r="ET40" i="23"/>
  <c r="EU40" i="23"/>
  <c r="ET41" i="23"/>
  <c r="EU41" i="23"/>
  <c r="ET42" i="23"/>
  <c r="EU42" i="23"/>
  <c r="ET43" i="23"/>
  <c r="EU43" i="23"/>
  <c r="EV43" i="23" s="1"/>
  <c r="ET44" i="23"/>
  <c r="EU44" i="23"/>
  <c r="EV44" i="23" s="1"/>
  <c r="ET45" i="23"/>
  <c r="EU45" i="23"/>
  <c r="ET46" i="23"/>
  <c r="EU46" i="23"/>
  <c r="ET47" i="23"/>
  <c r="EU47" i="23"/>
  <c r="ET48" i="23"/>
  <c r="EU48" i="23"/>
  <c r="ET49" i="23"/>
  <c r="EU49" i="23"/>
  <c r="ET50" i="23"/>
  <c r="EU50" i="23"/>
  <c r="EV50" i="23" s="1"/>
  <c r="ET51" i="23"/>
  <c r="EU51" i="23"/>
  <c r="EV51" i="23" s="1"/>
  <c r="ET52" i="23"/>
  <c r="EU52" i="23"/>
  <c r="ET53" i="23"/>
  <c r="EU53" i="23"/>
  <c r="ET54" i="23"/>
  <c r="EU54" i="23"/>
  <c r="ET55" i="23"/>
  <c r="EU55" i="23"/>
  <c r="EV55" i="23" s="1"/>
  <c r="ET56" i="23"/>
  <c r="EU56" i="23"/>
  <c r="EV56" i="23" s="1"/>
  <c r="ET57" i="23"/>
  <c r="EU57" i="23"/>
  <c r="EV25" i="23"/>
  <c r="EV27" i="23"/>
  <c r="EV28" i="23"/>
  <c r="EV29" i="23"/>
  <c r="EV30" i="23"/>
  <c r="EV33" i="23"/>
  <c r="EV34" i="23"/>
  <c r="EV35" i="23"/>
  <c r="EV36" i="23"/>
  <c r="EV37" i="23"/>
  <c r="EV39" i="23"/>
  <c r="EV40" i="23"/>
  <c r="EV41" i="23"/>
  <c r="EV42" i="23"/>
  <c r="EV45" i="23"/>
  <c r="EV46" i="23"/>
  <c r="EV47" i="23"/>
  <c r="EV48" i="23"/>
  <c r="EV49" i="23"/>
  <c r="EV52" i="23"/>
  <c r="EV53" i="23"/>
  <c r="EV54" i="23"/>
  <c r="EV57" i="23"/>
  <c r="EV13" i="23"/>
  <c r="EV15" i="23"/>
  <c r="EV16" i="23"/>
  <c r="EV17" i="23"/>
  <c r="EV18" i="23"/>
  <c r="EV19" i="23"/>
  <c r="EV21" i="23"/>
  <c r="EV22" i="23"/>
  <c r="EV23" i="23"/>
  <c r="EV24" i="23"/>
  <c r="EV8" i="23"/>
  <c r="EU8" i="23"/>
  <c r="ET8" i="23"/>
  <c r="ER8" i="23"/>
  <c r="EQ8" i="23"/>
  <c r="EP8" i="23"/>
  <c r="EO8" i="23"/>
  <c r="EN8" i="23"/>
  <c r="EM8" i="23"/>
  <c r="EL8" i="23"/>
  <c r="EK8" i="23"/>
  <c r="EJ8" i="23"/>
  <c r="EI8" i="23"/>
  <c r="EH8" i="23"/>
  <c r="EG8" i="23"/>
  <c r="EF8" i="23"/>
  <c r="EE8" i="23"/>
  <c r="ED8" i="23"/>
  <c r="EC8" i="23"/>
  <c r="EB8" i="23"/>
  <c r="EA8" i="23"/>
  <c r="DZ8" i="23"/>
  <c r="DY8" i="23"/>
  <c r="DX8" i="23"/>
  <c r="DW8" i="23"/>
  <c r="DV8" i="23"/>
  <c r="DU8" i="23"/>
  <c r="DT8" i="23"/>
  <c r="DS8" i="23"/>
  <c r="DR8" i="23"/>
  <c r="DQ8" i="23"/>
  <c r="DP8" i="23"/>
  <c r="DO8" i="23"/>
  <c r="DN8" i="23"/>
  <c r="DM8" i="23"/>
  <c r="DL8" i="23"/>
  <c r="DK8" i="23"/>
  <c r="ER9" i="23"/>
  <c r="EQ9" i="23"/>
  <c r="EP9" i="23"/>
  <c r="EO9" i="23"/>
  <c r="ER7" i="23"/>
  <c r="EQ7" i="23"/>
  <c r="EP7" i="23"/>
  <c r="EO7" i="23"/>
  <c r="BZ9" i="23"/>
  <c r="BZ10" i="23"/>
  <c r="BZ11" i="23"/>
  <c r="BZ12" i="23"/>
  <c r="BZ13" i="23"/>
  <c r="BZ14" i="23"/>
  <c r="BZ15" i="23"/>
  <c r="BZ16" i="23"/>
  <c r="BZ17" i="23"/>
  <c r="BZ18" i="23"/>
  <c r="BZ19" i="23"/>
  <c r="BZ20" i="23"/>
  <c r="BZ21" i="23"/>
  <c r="BZ22" i="23"/>
  <c r="BZ23" i="23"/>
  <c r="BZ24" i="23"/>
  <c r="BZ25" i="23"/>
  <c r="BZ26" i="23"/>
  <c r="BZ27" i="23"/>
  <c r="BZ28" i="23"/>
  <c r="BZ29" i="23"/>
  <c r="BZ30" i="23"/>
  <c r="BZ31" i="23"/>
  <c r="BZ32" i="23"/>
  <c r="BZ33" i="23"/>
  <c r="BZ34" i="23"/>
  <c r="BZ35" i="23"/>
  <c r="BZ36" i="23"/>
  <c r="BZ37" i="23"/>
  <c r="BZ38" i="23"/>
  <c r="BZ39" i="23"/>
  <c r="BZ40" i="23"/>
  <c r="BZ41" i="23"/>
  <c r="BZ42" i="23"/>
  <c r="BZ43" i="23"/>
  <c r="BZ44" i="23"/>
  <c r="BZ45" i="23"/>
  <c r="BZ46" i="23"/>
  <c r="BZ47" i="23"/>
  <c r="BZ48" i="23"/>
  <c r="BZ49" i="23"/>
  <c r="BZ50" i="23"/>
  <c r="BZ51" i="23"/>
  <c r="BZ52" i="23"/>
  <c r="BZ53" i="23"/>
  <c r="BZ54" i="23"/>
  <c r="BZ55" i="23"/>
  <c r="BZ56" i="23"/>
  <c r="BZ57" i="23"/>
  <c r="BZ8" i="23"/>
  <c r="EI7" i="23"/>
  <c r="EH7" i="23"/>
  <c r="EG7" i="23"/>
  <c r="EI9" i="23"/>
  <c r="EH9" i="23"/>
  <c r="EG9" i="23"/>
  <c r="DA10" i="21" l="1"/>
  <c r="DB10" i="21" s="1"/>
  <c r="BU10" i="21"/>
  <c r="BN10" i="21" s="1"/>
  <c r="CR10" i="21"/>
  <c r="CS10" i="21" s="1"/>
  <c r="CN10" i="21"/>
  <c r="CO10" i="21" s="1"/>
  <c r="CW10" i="21"/>
  <c r="CX10" i="21" s="1"/>
  <c r="DA14" i="21"/>
  <c r="DB14" i="21" s="1"/>
  <c r="BU14" i="21"/>
  <c r="BN14" i="21" s="1"/>
  <c r="CN14" i="21"/>
  <c r="CO14" i="21" s="1"/>
  <c r="CW13" i="21"/>
  <c r="CX13" i="21" s="1"/>
  <c r="CR14" i="21"/>
  <c r="CS14" i="21" s="1"/>
  <c r="CW14" i="21"/>
  <c r="CX14" i="21" s="1"/>
  <c r="DC14" i="21" s="1"/>
  <c r="CN13" i="21"/>
  <c r="CO13" i="21" s="1"/>
  <c r="DA13" i="21"/>
  <c r="DB13" i="21" s="1"/>
  <c r="CR13" i="21"/>
  <c r="CS13" i="21" s="1"/>
  <c r="CW36" i="21"/>
  <c r="CX36" i="21" s="1"/>
  <c r="CW28" i="21"/>
  <c r="CX28" i="21" s="1"/>
  <c r="CW20" i="21"/>
  <c r="CX20" i="21" s="1"/>
  <c r="CW40" i="21"/>
  <c r="CX40" i="21" s="1"/>
  <c r="CW12" i="21"/>
  <c r="CX12" i="21" s="1"/>
  <c r="CW32" i="21"/>
  <c r="CX32" i="21" s="1"/>
  <c r="CW9" i="21"/>
  <c r="CX9" i="21" s="1"/>
  <c r="CW24" i="21"/>
  <c r="CX24" i="21" s="1"/>
  <c r="CW44" i="21"/>
  <c r="CX44" i="21" s="1"/>
  <c r="CN55" i="21"/>
  <c r="CO55" i="21" s="1"/>
  <c r="CN43" i="21"/>
  <c r="CO43" i="21" s="1"/>
  <c r="CN31" i="21"/>
  <c r="CO31" i="21" s="1"/>
  <c r="CN47" i="21"/>
  <c r="CO47" i="21" s="1"/>
  <c r="CN35" i="21"/>
  <c r="CO35" i="21" s="1"/>
  <c r="CN23" i="21"/>
  <c r="CO23" i="21" s="1"/>
  <c r="DA8" i="21"/>
  <c r="DB8" i="21" s="1"/>
  <c r="CW8" i="21"/>
  <c r="CX8" i="21" s="1"/>
  <c r="DC8" i="21" s="1"/>
  <c r="AL57" i="21"/>
  <c r="AL51" i="21"/>
  <c r="AL45" i="21"/>
  <c r="AL39" i="21"/>
  <c r="AL33" i="21"/>
  <c r="AL27" i="21"/>
  <c r="CR8" i="21"/>
  <c r="CS8" i="21" s="1"/>
  <c r="AL56" i="21"/>
  <c r="AL50" i="21"/>
  <c r="AL44" i="21"/>
  <c r="AL38" i="21"/>
  <c r="AL32" i="21"/>
  <c r="AL26" i="21"/>
  <c r="AL20" i="21"/>
  <c r="AL14" i="21"/>
  <c r="AL52" i="21"/>
  <c r="AL46" i="21"/>
  <c r="AL40" i="21"/>
  <c r="AL34" i="21"/>
  <c r="AL28" i="21"/>
  <c r="AL22" i="21"/>
  <c r="CN8" i="21"/>
  <c r="CO8" i="21" s="1"/>
  <c r="BU13" i="21"/>
  <c r="BN13" i="21" s="1"/>
  <c r="BN55" i="21"/>
  <c r="BN43" i="21"/>
  <c r="BN31" i="21"/>
  <c r="BN53" i="21"/>
  <c r="BN49" i="21"/>
  <c r="BN45" i="21"/>
  <c r="BN41" i="21"/>
  <c r="BN25" i="21"/>
  <c r="BN21" i="21"/>
  <c r="AL53" i="21"/>
  <c r="AL47" i="21"/>
  <c r="AL41" i="21"/>
  <c r="AL35" i="21"/>
  <c r="AL29" i="21"/>
  <c r="AL23" i="21"/>
  <c r="AL55" i="21"/>
  <c r="AL49" i="21"/>
  <c r="AL43" i="21"/>
  <c r="AL37" i="21"/>
  <c r="AL31" i="21"/>
  <c r="AL25" i="21"/>
  <c r="AL19" i="21"/>
  <c r="AL13" i="21"/>
  <c r="BN46" i="21"/>
  <c r="BN42" i="21"/>
  <c r="BN30" i="21"/>
  <c r="BN26" i="21"/>
  <c r="BN18" i="21"/>
  <c r="BN22" i="21"/>
  <c r="AL54" i="21"/>
  <c r="AL48" i="21"/>
  <c r="AL42" i="21"/>
  <c r="AL36" i="21"/>
  <c r="AL30" i="21"/>
  <c r="AL24" i="21"/>
  <c r="AL21" i="21"/>
  <c r="AL8" i="21"/>
  <c r="BN56" i="21"/>
  <c r="BN52" i="21"/>
  <c r="BN48" i="21"/>
  <c r="BN44" i="21"/>
  <c r="BN40" i="21"/>
  <c r="BN28" i="21"/>
  <c r="AL15" i="21"/>
  <c r="BN19" i="21"/>
  <c r="AL18" i="21"/>
  <c r="AL17" i="21"/>
  <c r="AL16" i="21"/>
  <c r="AL11" i="21"/>
  <c r="AL10" i="21"/>
  <c r="AL9" i="21"/>
  <c r="AL12" i="21"/>
  <c r="BN51" i="21"/>
  <c r="BN24" i="21"/>
  <c r="BN20" i="21"/>
  <c r="BN16" i="21"/>
  <c r="BN12" i="21"/>
  <c r="BN39" i="21"/>
  <c r="BN35" i="21"/>
  <c r="BN58" i="21"/>
  <c r="BN54" i="21"/>
  <c r="BN50" i="21"/>
  <c r="BN15" i="21"/>
  <c r="BN11" i="21"/>
  <c r="BN38" i="21"/>
  <c r="BN34" i="21"/>
  <c r="BN57" i="21"/>
  <c r="BN37" i="21"/>
  <c r="BN33" i="21"/>
  <c r="BN29" i="21"/>
  <c r="BN32" i="21"/>
  <c r="BN17" i="21"/>
  <c r="BN47" i="21"/>
  <c r="BN36" i="21"/>
  <c r="BN9" i="21"/>
  <c r="CF8" i="21"/>
  <c r="CF9" i="21"/>
  <c r="CG8" i="21"/>
  <c r="CG58" i="21" s="1"/>
  <c r="W5" i="21" s="1"/>
  <c r="BO8" i="21"/>
  <c r="CD9" i="21"/>
  <c r="CD58" i="21" s="1"/>
  <c r="W2" i="21" s="1"/>
  <c r="CE58" i="21"/>
  <c r="W3" i="21" s="1"/>
  <c r="W8" i="21"/>
  <c r="EV11" i="23"/>
  <c r="EV10" i="23"/>
  <c r="EV9" i="23"/>
  <c r="EV12" i="23"/>
  <c r="TE6" i="2"/>
  <c r="TF3" i="2"/>
  <c r="TF4" i="2"/>
  <c r="TV4" i="2"/>
  <c r="YQ6" i="2"/>
  <c r="AQ9" i="21"/>
  <c r="AQ10" i="21"/>
  <c r="AQ11" i="21"/>
  <c r="AQ12" i="21"/>
  <c r="AQ13" i="21"/>
  <c r="AQ14" i="21"/>
  <c r="AQ15" i="21"/>
  <c r="AQ16" i="21"/>
  <c r="AQ17" i="21"/>
  <c r="AQ18" i="21"/>
  <c r="AQ19" i="21"/>
  <c r="AQ20" i="21"/>
  <c r="AQ21" i="21"/>
  <c r="AQ22" i="21"/>
  <c r="AQ23" i="21"/>
  <c r="AQ24" i="21"/>
  <c r="AQ25" i="21"/>
  <c r="AQ26" i="21"/>
  <c r="AQ27" i="21"/>
  <c r="AQ28" i="21"/>
  <c r="AQ29" i="21"/>
  <c r="AQ30" i="21"/>
  <c r="AQ31" i="21"/>
  <c r="AQ32" i="21"/>
  <c r="AQ33" i="21"/>
  <c r="AQ34" i="21"/>
  <c r="AQ35" i="21"/>
  <c r="AQ36" i="21"/>
  <c r="AQ37" i="21"/>
  <c r="AQ38" i="21"/>
  <c r="AQ39" i="21"/>
  <c r="AQ40" i="21"/>
  <c r="AQ41" i="21"/>
  <c r="AQ42" i="21"/>
  <c r="AQ43" i="21"/>
  <c r="AQ44" i="21"/>
  <c r="AQ45" i="21"/>
  <c r="AQ46" i="21"/>
  <c r="AQ47" i="21"/>
  <c r="AQ48" i="21"/>
  <c r="AQ49" i="21"/>
  <c r="AQ50" i="21"/>
  <c r="AQ51" i="21"/>
  <c r="AQ52" i="21"/>
  <c r="AQ53" i="21"/>
  <c r="AQ54" i="21"/>
  <c r="AQ55" i="21"/>
  <c r="AQ56" i="21"/>
  <c r="AQ57" i="21"/>
  <c r="AQ8" i="21"/>
  <c r="YQ4" i="2"/>
  <c r="YR6" i="2"/>
  <c r="YR4" i="2"/>
  <c r="YO6" i="2"/>
  <c r="YO5" i="2"/>
  <c r="YO4" i="2"/>
  <c r="YO3" i="2"/>
  <c r="YO2" i="2"/>
  <c r="XY6" i="2"/>
  <c r="XY5" i="2"/>
  <c r="XY4" i="2"/>
  <c r="XY3" i="2"/>
  <c r="XY2" i="2"/>
  <c r="XX6" i="2"/>
  <c r="XX5" i="2"/>
  <c r="XX4" i="2"/>
  <c r="XX3" i="2"/>
  <c r="XX2" i="2"/>
  <c r="XW6" i="2"/>
  <c r="XW5" i="2"/>
  <c r="XW4" i="2"/>
  <c r="XW3" i="2"/>
  <c r="XW2" i="2"/>
  <c r="XV6" i="2"/>
  <c r="XV5" i="2"/>
  <c r="XV4" i="2"/>
  <c r="XV3" i="2"/>
  <c r="XV2" i="2"/>
  <c r="XU6" i="2"/>
  <c r="XU5" i="2"/>
  <c r="XU4" i="2"/>
  <c r="XU3" i="2"/>
  <c r="XU2" i="2"/>
  <c r="YP6" i="2"/>
  <c r="YN6" i="2"/>
  <c r="YM6" i="2"/>
  <c r="YL6" i="2"/>
  <c r="YK6" i="2"/>
  <c r="YJ6" i="2"/>
  <c r="YI6" i="2"/>
  <c r="YH6" i="2"/>
  <c r="YG6" i="2"/>
  <c r="YF6" i="2"/>
  <c r="YE6" i="2"/>
  <c r="YD6" i="2"/>
  <c r="YC6" i="2"/>
  <c r="YB6" i="2"/>
  <c r="YA6" i="2"/>
  <c r="XZ6" i="2"/>
  <c r="XT6" i="2"/>
  <c r="UB6" i="2"/>
  <c r="AE9" i="21"/>
  <c r="AE10" i="21"/>
  <c r="AE11" i="21"/>
  <c r="AE12" i="21"/>
  <c r="AE13" i="21"/>
  <c r="AE14" i="21"/>
  <c r="AE15" i="21"/>
  <c r="AE16" i="21"/>
  <c r="AE17" i="21"/>
  <c r="AE18" i="21"/>
  <c r="AE19" i="21"/>
  <c r="AE20" i="21"/>
  <c r="AE21" i="21"/>
  <c r="AE22" i="21"/>
  <c r="AE23" i="21"/>
  <c r="AE24" i="21"/>
  <c r="AE25" i="21"/>
  <c r="AE26" i="21"/>
  <c r="AE27" i="21"/>
  <c r="AE28" i="21"/>
  <c r="AE29" i="21"/>
  <c r="AE30" i="21"/>
  <c r="AE31" i="21"/>
  <c r="AE32" i="21"/>
  <c r="AE33" i="21"/>
  <c r="AE34" i="21"/>
  <c r="AE35" i="21"/>
  <c r="AE36" i="21"/>
  <c r="AE37" i="21"/>
  <c r="AE38" i="21"/>
  <c r="AE39" i="21"/>
  <c r="AE40" i="21"/>
  <c r="AE41" i="21"/>
  <c r="AE42" i="21"/>
  <c r="AE43" i="21"/>
  <c r="AE44" i="21"/>
  <c r="AE45" i="21"/>
  <c r="AE46" i="21"/>
  <c r="AE47" i="21"/>
  <c r="AE48" i="21"/>
  <c r="AE49" i="21"/>
  <c r="AE50" i="21"/>
  <c r="AE51" i="21"/>
  <c r="AE52" i="21"/>
  <c r="AE53" i="21"/>
  <c r="AE54" i="21"/>
  <c r="AE55" i="21"/>
  <c r="AE56" i="21"/>
  <c r="AE57" i="21"/>
  <c r="UA6" i="2"/>
  <c r="UA4" i="2"/>
  <c r="AE8" i="21"/>
  <c r="CT10" i="21" l="1"/>
  <c r="DC10" i="21"/>
  <c r="CT14" i="21"/>
  <c r="DC13" i="21"/>
  <c r="CT13" i="21"/>
  <c r="CT8" i="21"/>
  <c r="BU8" i="21"/>
  <c r="BN8" i="21" s="1"/>
  <c r="CF58" i="21"/>
  <c r="W4" i="21" s="1"/>
  <c r="AI9" i="21"/>
  <c r="AI10" i="21"/>
  <c r="AI11" i="21"/>
  <c r="AI12" i="21"/>
  <c r="AI13" i="21"/>
  <c r="AI14" i="21"/>
  <c r="AI15" i="21"/>
  <c r="AI16" i="21"/>
  <c r="AI17" i="21"/>
  <c r="AI18" i="21"/>
  <c r="AI19" i="21"/>
  <c r="AI20" i="21"/>
  <c r="AI21" i="21"/>
  <c r="AI22" i="21"/>
  <c r="AI23" i="21"/>
  <c r="AI24" i="21"/>
  <c r="AI25" i="21"/>
  <c r="AI26" i="21"/>
  <c r="AI27" i="21"/>
  <c r="AI28" i="21"/>
  <c r="AI29" i="21"/>
  <c r="AI30" i="21"/>
  <c r="AI31" i="21"/>
  <c r="AI32" i="21"/>
  <c r="AI33" i="21"/>
  <c r="AI34" i="21"/>
  <c r="AI35" i="21"/>
  <c r="AI36" i="21"/>
  <c r="AI37" i="21"/>
  <c r="AI38" i="21"/>
  <c r="AI39" i="21"/>
  <c r="AI40" i="21"/>
  <c r="AI41" i="21"/>
  <c r="AI42" i="21"/>
  <c r="AI43" i="21"/>
  <c r="AI44" i="21"/>
  <c r="AI45" i="21"/>
  <c r="AI46" i="21"/>
  <c r="AI47" i="21"/>
  <c r="AI48" i="21"/>
  <c r="AI49" i="21"/>
  <c r="AI50" i="21"/>
  <c r="AI51" i="21"/>
  <c r="AI52" i="21"/>
  <c r="AI53" i="21"/>
  <c r="AI54" i="21"/>
  <c r="AI55" i="21"/>
  <c r="AI56" i="21"/>
  <c r="AI57" i="21"/>
  <c r="AI8" i="21"/>
  <c r="UX25" i="2"/>
  <c r="UX24" i="2"/>
  <c r="UX23" i="2"/>
  <c r="UX22" i="2"/>
  <c r="UX21" i="2"/>
  <c r="UX20" i="2"/>
  <c r="UX19" i="2"/>
  <c r="UX18" i="2"/>
  <c r="UX17" i="2"/>
  <c r="UX16" i="2"/>
  <c r="UX15" i="2"/>
  <c r="UX14" i="2"/>
  <c r="UX26" i="2"/>
  <c r="AT9" i="21"/>
  <c r="AT10" i="21"/>
  <c r="AT11" i="21"/>
  <c r="AT12" i="21"/>
  <c r="AT13" i="21"/>
  <c r="AT14" i="21"/>
  <c r="AT15" i="21"/>
  <c r="AT16" i="21"/>
  <c r="AT17" i="21"/>
  <c r="AT18" i="21"/>
  <c r="AT19" i="21"/>
  <c r="AT20" i="21"/>
  <c r="AT21" i="21"/>
  <c r="AT22" i="21"/>
  <c r="AT23" i="21"/>
  <c r="AT24" i="21"/>
  <c r="AT25" i="21"/>
  <c r="AT26" i="21"/>
  <c r="AT27" i="21"/>
  <c r="AT28" i="21"/>
  <c r="AT29" i="21"/>
  <c r="AT30" i="21"/>
  <c r="AT31" i="21"/>
  <c r="AT32" i="21"/>
  <c r="AT33" i="21"/>
  <c r="AT34" i="21"/>
  <c r="AT35" i="21"/>
  <c r="AT36" i="21"/>
  <c r="AT37" i="21"/>
  <c r="AT38" i="21"/>
  <c r="AT39" i="21"/>
  <c r="AT40" i="21"/>
  <c r="AT41" i="21"/>
  <c r="AT42" i="21"/>
  <c r="AT43" i="21"/>
  <c r="AT44" i="21"/>
  <c r="AT45" i="21"/>
  <c r="AT46" i="21"/>
  <c r="AT47" i="21"/>
  <c r="AT48" i="21"/>
  <c r="AT49" i="21"/>
  <c r="AT50" i="21"/>
  <c r="AT51" i="21"/>
  <c r="AT52" i="21"/>
  <c r="AT53" i="21"/>
  <c r="AT54" i="21"/>
  <c r="AT55" i="21"/>
  <c r="AT56" i="21"/>
  <c r="AT57" i="21"/>
  <c r="AT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8" i="21"/>
  <c r="VN13" i="2"/>
  <c r="VN12" i="2"/>
  <c r="VN11" i="2"/>
  <c r="RV15" i="2"/>
  <c r="RV14" i="2"/>
  <c r="AH11" i="21"/>
  <c r="AH12" i="21"/>
  <c r="AH15" i="21"/>
  <c r="AH16" i="21"/>
  <c r="AH17" i="21"/>
  <c r="AH18" i="21"/>
  <c r="AH19" i="21"/>
  <c r="AH20" i="21"/>
  <c r="AH21" i="21"/>
  <c r="AH22" i="21"/>
  <c r="AH23" i="21"/>
  <c r="AH24" i="21"/>
  <c r="AH25" i="21"/>
  <c r="AH26" i="21"/>
  <c r="AH27" i="21"/>
  <c r="AH28" i="21"/>
  <c r="AH29" i="21"/>
  <c r="AH30" i="21"/>
  <c r="AH31" i="21"/>
  <c r="AH32" i="21"/>
  <c r="AH33" i="21"/>
  <c r="AH34" i="21"/>
  <c r="AH35" i="21"/>
  <c r="AH36" i="21"/>
  <c r="AH37" i="21"/>
  <c r="AH38" i="21"/>
  <c r="AH39" i="21"/>
  <c r="AH40" i="21"/>
  <c r="AH41" i="21"/>
  <c r="AH42" i="21"/>
  <c r="AH43" i="21"/>
  <c r="AH44" i="21"/>
  <c r="AH45" i="21"/>
  <c r="AH46" i="21"/>
  <c r="AH47" i="21"/>
  <c r="AH48" i="21"/>
  <c r="AH49" i="21"/>
  <c r="AH50" i="21"/>
  <c r="AH51" i="21"/>
  <c r="AH52" i="21"/>
  <c r="AH53" i="21"/>
  <c r="AH54" i="21"/>
  <c r="AH55" i="21"/>
  <c r="AH56" i="21"/>
  <c r="AH57" i="21"/>
  <c r="RV3" i="2"/>
  <c r="AH13" i="21" s="1"/>
  <c r="RV4" i="2"/>
  <c r="RV5" i="2"/>
  <c r="AH10" i="21" s="1"/>
  <c r="RV6" i="2"/>
  <c r="RV7" i="2"/>
  <c r="RV8" i="2"/>
  <c r="RV9" i="2"/>
  <c r="AH14" i="21" s="1"/>
  <c r="RV10" i="2"/>
  <c r="RV11" i="2"/>
  <c r="AH9" i="21" s="1"/>
  <c r="RV12" i="2"/>
  <c r="RV13" i="2"/>
  <c r="RV2" i="2"/>
  <c r="AH8" i="21" s="1"/>
  <c r="EM7" i="23"/>
  <c r="EM9" i="23"/>
  <c r="TX4" i="2"/>
  <c r="TU4" i="2"/>
  <c r="TW4" i="2"/>
  <c r="TT4" i="2"/>
  <c r="TS4" i="2"/>
  <c r="TR4" i="2"/>
  <c r="TM6" i="2"/>
  <c r="TD6" i="2"/>
  <c r="TC6" i="2"/>
  <c r="VP15" i="2"/>
  <c r="VP14" i="2"/>
  <c r="VP11" i="2"/>
  <c r="VP10" i="2"/>
  <c r="VP9" i="2"/>
  <c r="VP8" i="2"/>
  <c r="VP7" i="2"/>
  <c r="VP6" i="2"/>
  <c r="VP5" i="2"/>
  <c r="VP4" i="2"/>
  <c r="VP3" i="2"/>
  <c r="VP2" i="2"/>
  <c r="FF9" i="23"/>
  <c r="FF10" i="23"/>
  <c r="FF11" i="23"/>
  <c r="FF12" i="23"/>
  <c r="FF13" i="23"/>
  <c r="FF14" i="23"/>
  <c r="FF15" i="23"/>
  <c r="FF16" i="23"/>
  <c r="FF17" i="23"/>
  <c r="FF18" i="23"/>
  <c r="FF19" i="23"/>
  <c r="FF20" i="23"/>
  <c r="FF21" i="23"/>
  <c r="FF22" i="23"/>
  <c r="FF23" i="23"/>
  <c r="FF24" i="23"/>
  <c r="FF25" i="23"/>
  <c r="FF26" i="23"/>
  <c r="FF27" i="23"/>
  <c r="FF28" i="23"/>
  <c r="FF29" i="23"/>
  <c r="FF30" i="23"/>
  <c r="FF31" i="23"/>
  <c r="FF32" i="23"/>
  <c r="FF33" i="23"/>
  <c r="FF34" i="23"/>
  <c r="FF35" i="23"/>
  <c r="FF36" i="23"/>
  <c r="FF37" i="23"/>
  <c r="FF38" i="23"/>
  <c r="FF39" i="23"/>
  <c r="FF40" i="23"/>
  <c r="FF41" i="23"/>
  <c r="FF42" i="23"/>
  <c r="FF43" i="23"/>
  <c r="FF44" i="23"/>
  <c r="FF45" i="23"/>
  <c r="FF46" i="23"/>
  <c r="FF47" i="23"/>
  <c r="FF48" i="23"/>
  <c r="FF49" i="23"/>
  <c r="FF50" i="23"/>
  <c r="FF51" i="23"/>
  <c r="FF52" i="23"/>
  <c r="FF53" i="23"/>
  <c r="FF54" i="23"/>
  <c r="FF55" i="23"/>
  <c r="FF56" i="23"/>
  <c r="FF57" i="23"/>
  <c r="FF8" i="23"/>
  <c r="EJ7" i="23" l="1"/>
  <c r="DU9" i="23"/>
  <c r="EF7" i="23"/>
  <c r="EE7" i="23"/>
  <c r="ED7" i="23"/>
  <c r="EC7" i="23"/>
  <c r="EB7" i="23"/>
  <c r="EL9" i="23"/>
  <c r="EK9" i="23"/>
  <c r="EJ9" i="23"/>
  <c r="EL7" i="23"/>
  <c r="EK7" i="23"/>
  <c r="EF9" i="23"/>
  <c r="EE9" i="23"/>
  <c r="ED9" i="23"/>
  <c r="EC9" i="23"/>
  <c r="EB9" i="23"/>
  <c r="VQ15" i="2" l="1"/>
  <c r="VQ14" i="2"/>
  <c r="VQ11" i="2"/>
  <c r="VO15" i="2"/>
  <c r="VO14" i="2"/>
  <c r="VO11" i="2"/>
  <c r="VN15" i="2"/>
  <c r="VN14" i="2"/>
  <c r="VM15" i="2"/>
  <c r="VM14" i="2"/>
  <c r="VM11" i="2"/>
  <c r="YP5" i="2"/>
  <c r="YP4" i="2"/>
  <c r="YP3" i="2"/>
  <c r="YP2" i="2"/>
  <c r="YN5" i="2"/>
  <c r="YN4" i="2"/>
  <c r="YN3" i="2"/>
  <c r="YN2" i="2"/>
  <c r="YM5" i="2"/>
  <c r="YM4" i="2"/>
  <c r="YM3" i="2"/>
  <c r="YM2" i="2"/>
  <c r="YL5" i="2"/>
  <c r="YL4" i="2"/>
  <c r="YL3" i="2"/>
  <c r="YL2" i="2"/>
  <c r="YK5" i="2"/>
  <c r="YK4" i="2"/>
  <c r="YK3" i="2"/>
  <c r="YK2" i="2"/>
  <c r="YJ5" i="2"/>
  <c r="YJ4" i="2"/>
  <c r="YJ3" i="2"/>
  <c r="YJ2" i="2"/>
  <c r="YI5" i="2"/>
  <c r="YI4" i="2"/>
  <c r="YI3" i="2"/>
  <c r="YI2" i="2"/>
  <c r="YH5" i="2"/>
  <c r="YH4" i="2"/>
  <c r="YH3" i="2"/>
  <c r="YH2" i="2"/>
  <c r="YG5" i="2"/>
  <c r="YG4" i="2"/>
  <c r="YG3" i="2"/>
  <c r="YG2" i="2"/>
  <c r="YR3" i="2" l="1"/>
  <c r="YF4" i="2"/>
  <c r="YE4" i="2"/>
  <c r="YD4" i="2"/>
  <c r="YC4" i="2"/>
  <c r="YB4" i="2"/>
  <c r="YA4" i="2"/>
  <c r="XZ4" i="2"/>
  <c r="XT4" i="2"/>
  <c r="UA3" i="2"/>
  <c r="UB4" i="2" l="1"/>
  <c r="TQ4" i="2"/>
  <c r="TM4" i="2"/>
  <c r="TL4" i="2"/>
  <c r="TK4" i="2"/>
  <c r="TJ4" i="2"/>
  <c r="TI4" i="2"/>
  <c r="TH3" i="2"/>
  <c r="TG3" i="2"/>
  <c r="TE3" i="2"/>
  <c r="TD3" i="2"/>
  <c r="TC4" i="2"/>
  <c r="VO16" i="2"/>
  <c r="VO10" i="2"/>
  <c r="VO9" i="2"/>
  <c r="VO8" i="2"/>
  <c r="VO7" i="2"/>
  <c r="VO6" i="2"/>
  <c r="VO5" i="2"/>
  <c r="VO4" i="2"/>
  <c r="VO3" i="2"/>
  <c r="VO2" i="2"/>
  <c r="EN7" i="23" l="1"/>
  <c r="EA7" i="23"/>
  <c r="DZ7" i="23"/>
  <c r="EN9" i="23"/>
  <c r="EA9" i="23"/>
  <c r="DZ9" i="23"/>
  <c r="FL9" i="23"/>
  <c r="FM9" i="23"/>
  <c r="FL10" i="23"/>
  <c r="FM10" i="23"/>
  <c r="FL11" i="23"/>
  <c r="FM11" i="23"/>
  <c r="FL12" i="23"/>
  <c r="FM12" i="23"/>
  <c r="FL13" i="23"/>
  <c r="FM13" i="23"/>
  <c r="FL14" i="23"/>
  <c r="FM14" i="23"/>
  <c r="FL15" i="23"/>
  <c r="FM15" i="23"/>
  <c r="FL16" i="23"/>
  <c r="FM16" i="23"/>
  <c r="FL17" i="23"/>
  <c r="FM17" i="23"/>
  <c r="FL18" i="23"/>
  <c r="FM18" i="23"/>
  <c r="FL19" i="23"/>
  <c r="FM19" i="23"/>
  <c r="FL20" i="23"/>
  <c r="FM20" i="23"/>
  <c r="FL21" i="23"/>
  <c r="FM21" i="23"/>
  <c r="FL22" i="23"/>
  <c r="FM22" i="23"/>
  <c r="FL23" i="23"/>
  <c r="FM23" i="23"/>
  <c r="FL24" i="23"/>
  <c r="FM24" i="23"/>
  <c r="FL25" i="23"/>
  <c r="FM25" i="23"/>
  <c r="FL26" i="23"/>
  <c r="FM26" i="23"/>
  <c r="FL27" i="23"/>
  <c r="FM27" i="23"/>
  <c r="FL28" i="23"/>
  <c r="FM28" i="23"/>
  <c r="FL29" i="23"/>
  <c r="FM29" i="23"/>
  <c r="FL30" i="23"/>
  <c r="FM30" i="23"/>
  <c r="FL31" i="23"/>
  <c r="FM31" i="23"/>
  <c r="FL32" i="23"/>
  <c r="FM32" i="23"/>
  <c r="FL33" i="23"/>
  <c r="FM33" i="23"/>
  <c r="FL34" i="23"/>
  <c r="FM34" i="23"/>
  <c r="FL35" i="23"/>
  <c r="FM35" i="23"/>
  <c r="FL36" i="23"/>
  <c r="FM36" i="23"/>
  <c r="FL37" i="23"/>
  <c r="FM37" i="23"/>
  <c r="FL38" i="23"/>
  <c r="FM38" i="23"/>
  <c r="FL39" i="23"/>
  <c r="FM39" i="23"/>
  <c r="FL40" i="23"/>
  <c r="FM40" i="23"/>
  <c r="FL41" i="23"/>
  <c r="FM41" i="23"/>
  <c r="FL42" i="23"/>
  <c r="FM42" i="23"/>
  <c r="FL43" i="23"/>
  <c r="FM43" i="23"/>
  <c r="FL44" i="23"/>
  <c r="FM44" i="23"/>
  <c r="FL45" i="23"/>
  <c r="FM45" i="23"/>
  <c r="FL46" i="23"/>
  <c r="FM46" i="23"/>
  <c r="FL47" i="23"/>
  <c r="FM47" i="23"/>
  <c r="FL48" i="23"/>
  <c r="FM48" i="23"/>
  <c r="FL49" i="23"/>
  <c r="FM49" i="23"/>
  <c r="FL50" i="23"/>
  <c r="FM50" i="23"/>
  <c r="FL51" i="23"/>
  <c r="FM51" i="23"/>
  <c r="FL52" i="23"/>
  <c r="FM52" i="23"/>
  <c r="FL53" i="23"/>
  <c r="FM53" i="23"/>
  <c r="FL54" i="23"/>
  <c r="FM54" i="23"/>
  <c r="FL55" i="23"/>
  <c r="FM55" i="23"/>
  <c r="FL56" i="23"/>
  <c r="FM56" i="23"/>
  <c r="FL57" i="23"/>
  <c r="FM57" i="23"/>
  <c r="FM8" i="23"/>
  <c r="FL8" i="23"/>
  <c r="FN5" i="23"/>
  <c r="FN4" i="23"/>
  <c r="FN3" i="23"/>
  <c r="FN2" i="23"/>
  <c r="FM5" i="23"/>
  <c r="FM4" i="23"/>
  <c r="FM3" i="23"/>
  <c r="FM2" i="23"/>
  <c r="DY7" i="23" l="1"/>
  <c r="DY9" i="23"/>
  <c r="J19" i="18" l="1"/>
  <c r="J16" i="18"/>
  <c r="EP11" i="5" l="1"/>
  <c r="EP12" i="5"/>
  <c r="EP13" i="5"/>
  <c r="EP14" i="5"/>
  <c r="EP15" i="5"/>
  <c r="EP16" i="5"/>
  <c r="EP17" i="5"/>
  <c r="EP18" i="5"/>
  <c r="EP19" i="5"/>
  <c r="EP20" i="5"/>
  <c r="EP21" i="5"/>
  <c r="EP22" i="5"/>
  <c r="EP23" i="5"/>
  <c r="BE44" i="5" l="1"/>
  <c r="BE45" i="5"/>
  <c r="BE46" i="5"/>
  <c r="BE47" i="5"/>
  <c r="BE48" i="5"/>
  <c r="BE49" i="5"/>
  <c r="BE50" i="5"/>
  <c r="BE51" i="5"/>
  <c r="BE52" i="5"/>
  <c r="BE43" i="5"/>
  <c r="AZ27" i="5" l="1"/>
  <c r="AZ28" i="5"/>
  <c r="AZ29" i="5"/>
  <c r="AZ30" i="5"/>
  <c r="AZ31" i="5"/>
  <c r="AZ32" i="5"/>
  <c r="AZ33" i="5"/>
  <c r="AZ34" i="5"/>
  <c r="AZ35" i="5"/>
  <c r="AZ26" i="5"/>
  <c r="BJ10" i="5" l="1"/>
  <c r="BJ11" i="5"/>
  <c r="BJ12" i="5"/>
  <c r="BJ13" i="5"/>
  <c r="BJ14" i="5"/>
  <c r="BJ15" i="5"/>
  <c r="BJ16" i="5"/>
  <c r="BJ17" i="5"/>
  <c r="BJ18" i="5"/>
  <c r="BJ19" i="5"/>
  <c r="BJ20" i="5"/>
  <c r="BJ21" i="5"/>
  <c r="BJ22" i="5"/>
  <c r="BJ23" i="5"/>
  <c r="BJ9" i="5"/>
  <c r="BE10" i="5"/>
  <c r="BE11" i="5"/>
  <c r="BE12" i="5"/>
  <c r="BE13" i="5"/>
  <c r="BE14" i="5"/>
  <c r="BE15" i="5"/>
  <c r="BE16" i="5"/>
  <c r="BE17" i="5"/>
  <c r="BE18" i="5"/>
  <c r="BE19" i="5"/>
  <c r="BE20" i="5"/>
  <c r="BE21" i="5"/>
  <c r="BE22" i="5"/>
  <c r="BE23" i="5"/>
  <c r="BE9" i="5"/>
  <c r="BA10" i="5" l="1"/>
  <c r="BA11" i="5"/>
  <c r="BA12" i="5"/>
  <c r="BA13" i="5"/>
  <c r="BA14" i="5"/>
  <c r="BA15" i="5"/>
  <c r="BA16" i="5"/>
  <c r="BA17" i="5"/>
  <c r="BA18" i="5"/>
  <c r="BA19" i="5"/>
  <c r="BA20" i="5"/>
  <c r="BA21" i="5"/>
  <c r="BA22" i="5"/>
  <c r="BA23" i="5"/>
  <c r="BA9" i="5"/>
  <c r="AU19" i="5"/>
  <c r="AU20" i="5"/>
  <c r="AU21" i="5"/>
  <c r="AU22" i="5"/>
  <c r="AU23" i="5"/>
  <c r="CA10" i="5"/>
  <c r="CA11" i="5"/>
  <c r="CA12" i="5"/>
  <c r="CA13" i="5"/>
  <c r="CA14" i="5"/>
  <c r="CA15" i="5"/>
  <c r="CA16" i="5"/>
  <c r="CA17" i="5"/>
  <c r="CA18" i="5"/>
  <c r="CA19" i="5"/>
  <c r="CA20" i="5"/>
  <c r="CA21" i="5"/>
  <c r="CA22" i="5"/>
  <c r="CA23" i="5"/>
  <c r="CA9" i="5"/>
  <c r="CO10" i="5"/>
  <c r="CO11" i="5"/>
  <c r="CO12" i="5"/>
  <c r="CO13" i="5"/>
  <c r="CO14" i="5"/>
  <c r="CO15" i="5"/>
  <c r="CO16" i="5"/>
  <c r="CO17" i="5"/>
  <c r="CO18" i="5"/>
  <c r="CO19" i="5"/>
  <c r="CO20" i="5"/>
  <c r="CO21" i="5"/>
  <c r="CO22" i="5"/>
  <c r="CO23" i="5"/>
  <c r="CO9" i="5"/>
  <c r="FK25" i="2"/>
  <c r="FK24" i="2"/>
  <c r="FK23" i="2"/>
  <c r="FK22" i="2"/>
  <c r="FK21" i="2"/>
  <c r="FK20" i="2"/>
  <c r="FK19" i="2"/>
  <c r="BZ10" i="5"/>
  <c r="BZ11" i="5"/>
  <c r="BZ12" i="5"/>
  <c r="BZ13" i="5"/>
  <c r="BZ14" i="5"/>
  <c r="BZ15" i="5"/>
  <c r="BZ16" i="5"/>
  <c r="BZ17" i="5"/>
  <c r="BZ18" i="5"/>
  <c r="BZ19" i="5"/>
  <c r="BZ20" i="5"/>
  <c r="BZ21" i="5"/>
  <c r="BZ22" i="5"/>
  <c r="BZ23" i="5"/>
  <c r="BZ9" i="5"/>
  <c r="EG10" i="5" l="1"/>
  <c r="EG11" i="5"/>
  <c r="EG12" i="5"/>
  <c r="EG13" i="5"/>
  <c r="EG14" i="5"/>
  <c r="EG15" i="5"/>
  <c r="EG16" i="5"/>
  <c r="EG17" i="5"/>
  <c r="EG18" i="5"/>
  <c r="EG19" i="5"/>
  <c r="EG20" i="5"/>
  <c r="EG21" i="5"/>
  <c r="EG22" i="5"/>
  <c r="EG23" i="5"/>
  <c r="EG9" i="5"/>
  <c r="EQ19" i="5"/>
  <c r="EQ20" i="5"/>
  <c r="EQ21" i="5"/>
  <c r="EQ22" i="5"/>
  <c r="EQ23" i="5"/>
  <c r="CY19" i="5" l="1"/>
  <c r="CY20" i="5"/>
  <c r="CY21" i="5"/>
  <c r="CY22" i="5"/>
  <c r="CY23" i="5"/>
  <c r="CY9" i="5"/>
  <c r="CX10" i="5"/>
  <c r="CX11" i="5"/>
  <c r="CX12" i="5"/>
  <c r="CY12" i="5" s="1"/>
  <c r="CX13" i="5"/>
  <c r="CX14" i="5"/>
  <c r="CX15" i="5"/>
  <c r="CX16" i="5"/>
  <c r="CX17" i="5"/>
  <c r="CX18" i="5"/>
  <c r="CX19" i="5"/>
  <c r="CX20" i="5"/>
  <c r="CX21" i="5"/>
  <c r="CX22" i="5"/>
  <c r="CX23" i="5"/>
  <c r="CX9" i="5"/>
  <c r="CW10" i="5"/>
  <c r="CW11" i="5"/>
  <c r="CW12" i="5"/>
  <c r="CW13" i="5"/>
  <c r="CW14" i="5"/>
  <c r="CY14" i="5" s="1"/>
  <c r="CW15" i="5"/>
  <c r="CW16" i="5"/>
  <c r="CW17" i="5"/>
  <c r="CW18" i="5"/>
  <c r="CW19" i="5"/>
  <c r="CW20" i="5"/>
  <c r="CW21" i="5"/>
  <c r="CW22" i="5"/>
  <c r="CW23" i="5"/>
  <c r="CW9" i="5"/>
  <c r="CU10" i="5" l="1"/>
  <c r="CY10" i="5" s="1"/>
  <c r="CU11" i="5"/>
  <c r="CU12" i="5"/>
  <c r="CU13" i="5"/>
  <c r="CU14" i="5"/>
  <c r="CU15" i="5"/>
  <c r="CU16" i="5"/>
  <c r="CU17" i="5"/>
  <c r="CU18" i="5"/>
  <c r="CU19" i="5"/>
  <c r="CU20" i="5"/>
  <c r="CU21" i="5"/>
  <c r="CU22" i="5"/>
  <c r="CU23" i="5"/>
  <c r="CU9" i="5"/>
  <c r="T9" i="15" l="1"/>
  <c r="T11" i="15"/>
  <c r="T12" i="15"/>
  <c r="T13" i="15"/>
  <c r="T14" i="15"/>
  <c r="T15" i="15"/>
  <c r="T16" i="15"/>
  <c r="T17" i="15"/>
  <c r="T18" i="15"/>
  <c r="T19" i="15"/>
  <c r="T20" i="15"/>
  <c r="T21" i="15"/>
  <c r="T22" i="15"/>
  <c r="T23" i="15"/>
  <c r="T24" i="15"/>
  <c r="T25" i="15"/>
  <c r="T26" i="15"/>
  <c r="T27" i="15"/>
  <c r="M5" i="23" l="1"/>
  <c r="M4" i="23"/>
  <c r="M3" i="23"/>
  <c r="M2" i="23"/>
  <c r="M1" i="23"/>
  <c r="D20" i="18" l="1"/>
  <c r="FJ57" i="23"/>
  <c r="FC57" i="23"/>
  <c r="BT57" i="23"/>
  <c r="BM57" i="23"/>
  <c r="S57" i="23"/>
  <c r="FJ56" i="23"/>
  <c r="FC56" i="23"/>
  <c r="BT56" i="23"/>
  <c r="BM56" i="23"/>
  <c r="S56" i="23"/>
  <c r="FJ55" i="23"/>
  <c r="FC55" i="23"/>
  <c r="BT55" i="23"/>
  <c r="BM55" i="23"/>
  <c r="S55" i="23"/>
  <c r="FJ54" i="23"/>
  <c r="FC54" i="23"/>
  <c r="BT54" i="23"/>
  <c r="BM54" i="23"/>
  <c r="S54" i="23"/>
  <c r="FJ53" i="23"/>
  <c r="FC53" i="23"/>
  <c r="BT53" i="23"/>
  <c r="BM53" i="23"/>
  <c r="S53" i="23"/>
  <c r="FJ52" i="23"/>
  <c r="FC52" i="23"/>
  <c r="BT52" i="23"/>
  <c r="BM52" i="23"/>
  <c r="S52" i="23"/>
  <c r="FJ51" i="23"/>
  <c r="FC51" i="23"/>
  <c r="BT51" i="23"/>
  <c r="BM51" i="23"/>
  <c r="S51" i="23"/>
  <c r="FJ50" i="23"/>
  <c r="FC50" i="23"/>
  <c r="BT50" i="23"/>
  <c r="BM50" i="23"/>
  <c r="S50" i="23"/>
  <c r="FJ49" i="23"/>
  <c r="FC49" i="23"/>
  <c r="BT49" i="23"/>
  <c r="BM49" i="23"/>
  <c r="S49" i="23"/>
  <c r="FJ48" i="23"/>
  <c r="FC48" i="23"/>
  <c r="BT48" i="23"/>
  <c r="BM48" i="23"/>
  <c r="S48" i="23"/>
  <c r="FJ47" i="23"/>
  <c r="FC47" i="23"/>
  <c r="BT47" i="23"/>
  <c r="BM47" i="23"/>
  <c r="S47" i="23"/>
  <c r="FJ46" i="23"/>
  <c r="FC46" i="23"/>
  <c r="BT46" i="23"/>
  <c r="BM46" i="23"/>
  <c r="S46" i="23"/>
  <c r="FJ45" i="23"/>
  <c r="FC45" i="23"/>
  <c r="BT45" i="23"/>
  <c r="BM45" i="23"/>
  <c r="S45" i="23"/>
  <c r="FJ44" i="23"/>
  <c r="FC44" i="23"/>
  <c r="BT44" i="23"/>
  <c r="BM44" i="23"/>
  <c r="S44" i="23"/>
  <c r="FJ43" i="23"/>
  <c r="FC43" i="23"/>
  <c r="BT43" i="23"/>
  <c r="BM43" i="23"/>
  <c r="S43" i="23"/>
  <c r="FJ42" i="23"/>
  <c r="FC42" i="23"/>
  <c r="BT42" i="23"/>
  <c r="BM42" i="23"/>
  <c r="S42" i="23"/>
  <c r="FJ41" i="23"/>
  <c r="FC41" i="23"/>
  <c r="BT41" i="23"/>
  <c r="BM41" i="23"/>
  <c r="S41" i="23"/>
  <c r="FJ40" i="23"/>
  <c r="FC40" i="23"/>
  <c r="BT40" i="23"/>
  <c r="BM40" i="23"/>
  <c r="S40" i="23"/>
  <c r="FJ39" i="23"/>
  <c r="FC39" i="23"/>
  <c r="BT39" i="23"/>
  <c r="BM39" i="23"/>
  <c r="S39" i="23"/>
  <c r="FJ38" i="23"/>
  <c r="FC38" i="23"/>
  <c r="BT38" i="23"/>
  <c r="BM38" i="23"/>
  <c r="S38" i="23"/>
  <c r="FJ37" i="23"/>
  <c r="FC37" i="23"/>
  <c r="BT37" i="23"/>
  <c r="BM37" i="23"/>
  <c r="S37" i="23"/>
  <c r="FJ36" i="23"/>
  <c r="FC36" i="23"/>
  <c r="BT36" i="23"/>
  <c r="BM36" i="23"/>
  <c r="S36" i="23"/>
  <c r="FJ35" i="23"/>
  <c r="FC35" i="23"/>
  <c r="BT35" i="23"/>
  <c r="BM35" i="23"/>
  <c r="S35" i="23"/>
  <c r="FJ34" i="23"/>
  <c r="FC34" i="23"/>
  <c r="BT34" i="23"/>
  <c r="BM34" i="23"/>
  <c r="S34" i="23"/>
  <c r="FJ33" i="23"/>
  <c r="FC33" i="23"/>
  <c r="BT33" i="23"/>
  <c r="BM33" i="23"/>
  <c r="S33" i="23"/>
  <c r="FJ32" i="23"/>
  <c r="FC32" i="23"/>
  <c r="DE32" i="23"/>
  <c r="BT32" i="23"/>
  <c r="BM32" i="23"/>
  <c r="S32" i="23"/>
  <c r="FJ31" i="23"/>
  <c r="FC31" i="23"/>
  <c r="DE31" i="23"/>
  <c r="BT31" i="23"/>
  <c r="BM31" i="23"/>
  <c r="S31" i="23"/>
  <c r="FJ30" i="23"/>
  <c r="FC30" i="23"/>
  <c r="DE30" i="23"/>
  <c r="BT30" i="23"/>
  <c r="BM30" i="23"/>
  <c r="S30" i="23"/>
  <c r="FJ29" i="23"/>
  <c r="FC29" i="23"/>
  <c r="DE29" i="23"/>
  <c r="BT29" i="23"/>
  <c r="BM29" i="23"/>
  <c r="S29" i="23"/>
  <c r="FJ28" i="23"/>
  <c r="FC28" i="23"/>
  <c r="DE28" i="23"/>
  <c r="BT28" i="23"/>
  <c r="BM28" i="23"/>
  <c r="S28" i="23"/>
  <c r="FJ27" i="23"/>
  <c r="FC27" i="23"/>
  <c r="DE27" i="23"/>
  <c r="BT27" i="23"/>
  <c r="BM27" i="23"/>
  <c r="S27" i="23"/>
  <c r="FJ26" i="23"/>
  <c r="FC26" i="23"/>
  <c r="DE26" i="23"/>
  <c r="BT26" i="23"/>
  <c r="BM26" i="23"/>
  <c r="S26" i="23"/>
  <c r="FJ25" i="23"/>
  <c r="FC25" i="23"/>
  <c r="DE25" i="23"/>
  <c r="BT25" i="23"/>
  <c r="BM25" i="23"/>
  <c r="S25" i="23"/>
  <c r="FJ24" i="23"/>
  <c r="FC24" i="23"/>
  <c r="DE24" i="23"/>
  <c r="BT24" i="23"/>
  <c r="BM24" i="23"/>
  <c r="S24" i="23"/>
  <c r="FJ23" i="23"/>
  <c r="FC23" i="23"/>
  <c r="DE23" i="23"/>
  <c r="BT23" i="23"/>
  <c r="BM23" i="23"/>
  <c r="S23" i="23"/>
  <c r="FJ22" i="23"/>
  <c r="FC22" i="23"/>
  <c r="DE22" i="23"/>
  <c r="BT22" i="23"/>
  <c r="BM22" i="23"/>
  <c r="S22" i="23"/>
  <c r="FJ21" i="23"/>
  <c r="FC21" i="23"/>
  <c r="DE21" i="23"/>
  <c r="BT21" i="23"/>
  <c r="BM21" i="23"/>
  <c r="S21" i="23"/>
  <c r="FJ20" i="23"/>
  <c r="FC20" i="23"/>
  <c r="DE20" i="23"/>
  <c r="BT20" i="23"/>
  <c r="BM20" i="23"/>
  <c r="S20" i="23"/>
  <c r="FJ19" i="23"/>
  <c r="FC19" i="23"/>
  <c r="DE19" i="23"/>
  <c r="BT19" i="23"/>
  <c r="BM19" i="23"/>
  <c r="S19" i="23"/>
  <c r="FJ18" i="23"/>
  <c r="FC18" i="23"/>
  <c r="DE18" i="23"/>
  <c r="BT18" i="23"/>
  <c r="BM18" i="23"/>
  <c r="S18" i="23"/>
  <c r="FJ17" i="23"/>
  <c r="FC17" i="23"/>
  <c r="DE17" i="23"/>
  <c r="BT17" i="23"/>
  <c r="BM17" i="23"/>
  <c r="S17" i="23"/>
  <c r="FJ16" i="23"/>
  <c r="FC16" i="23"/>
  <c r="DE16" i="23"/>
  <c r="BT16" i="23"/>
  <c r="BM16" i="23"/>
  <c r="S16" i="23"/>
  <c r="FJ15" i="23"/>
  <c r="FC15" i="23"/>
  <c r="DE15" i="23"/>
  <c r="BT15" i="23"/>
  <c r="BM15" i="23"/>
  <c r="S15" i="23"/>
  <c r="FJ14" i="23"/>
  <c r="FC14" i="23"/>
  <c r="DE14" i="23"/>
  <c r="BT14" i="23"/>
  <c r="BM14" i="23"/>
  <c r="S14" i="23"/>
  <c r="FJ13" i="23"/>
  <c r="FC13" i="23"/>
  <c r="DE13" i="23"/>
  <c r="BT13" i="23"/>
  <c r="BM13" i="23"/>
  <c r="S13" i="23"/>
  <c r="FJ12" i="23"/>
  <c r="FC12" i="23"/>
  <c r="DE12" i="23"/>
  <c r="BT12" i="23"/>
  <c r="BM12" i="23"/>
  <c r="S12" i="23"/>
  <c r="FJ11" i="23"/>
  <c r="FC11" i="23"/>
  <c r="DE11" i="23"/>
  <c r="BT11" i="23"/>
  <c r="BM11" i="23"/>
  <c r="S11" i="23"/>
  <c r="FJ10" i="23"/>
  <c r="FC10" i="23"/>
  <c r="DE10" i="23"/>
  <c r="BT10" i="23"/>
  <c r="BM10" i="23"/>
  <c r="S10" i="23"/>
  <c r="FJ9" i="23"/>
  <c r="FC9" i="23"/>
  <c r="DX9" i="23"/>
  <c r="DW9" i="23"/>
  <c r="DV9" i="23"/>
  <c r="DT9" i="23"/>
  <c r="DS9" i="23"/>
  <c r="DR9" i="23"/>
  <c r="DQ9" i="23"/>
  <c r="DP9" i="23"/>
  <c r="DO9" i="23"/>
  <c r="DN9" i="23"/>
  <c r="DM9" i="23"/>
  <c r="DL9" i="23"/>
  <c r="DK9" i="23"/>
  <c r="DE9" i="23"/>
  <c r="BT9" i="23"/>
  <c r="BM9" i="23"/>
  <c r="S9" i="23"/>
  <c r="FJ8" i="23"/>
  <c r="FC8" i="23"/>
  <c r="DE8" i="23"/>
  <c r="BT8" i="23"/>
  <c r="BM8" i="23"/>
  <c r="S8" i="23"/>
  <c r="DX7" i="23"/>
  <c r="DW7" i="23"/>
  <c r="DV7" i="23"/>
  <c r="DU7" i="23"/>
  <c r="DT7" i="23"/>
  <c r="DS7" i="23"/>
  <c r="DR7" i="23"/>
  <c r="DQ7" i="23"/>
  <c r="DP7" i="23"/>
  <c r="DO7" i="23"/>
  <c r="DN7" i="23"/>
  <c r="DM7" i="23"/>
  <c r="DL7" i="23"/>
  <c r="DK7" i="23"/>
  <c r="ET19" i="5" l="1"/>
  <c r="ET20" i="5"/>
  <c r="ET21" i="5"/>
  <c r="ET22" i="5"/>
  <c r="ET23" i="5"/>
  <c r="ES19" i="5"/>
  <c r="ES20" i="5"/>
  <c r="ES21" i="5"/>
  <c r="ES22" i="5"/>
  <c r="ES23" i="5"/>
  <c r="BB44" i="5"/>
  <c r="BB45" i="5"/>
  <c r="BB46" i="5"/>
  <c r="BB47" i="5"/>
  <c r="BB48" i="5"/>
  <c r="BB49" i="5"/>
  <c r="BB50" i="5"/>
  <c r="BB51" i="5"/>
  <c r="BB52" i="5"/>
  <c r="BB43" i="5"/>
  <c r="AZ44" i="5"/>
  <c r="BA44" i="5" s="1"/>
  <c r="AZ45" i="5"/>
  <c r="BA45" i="5" s="1"/>
  <c r="AZ46" i="5"/>
  <c r="BA46" i="5" s="1"/>
  <c r="AZ47" i="5"/>
  <c r="BA47" i="5" s="1"/>
  <c r="AZ48" i="5"/>
  <c r="BA48" i="5" s="1"/>
  <c r="AZ49" i="5"/>
  <c r="BA49" i="5" s="1"/>
  <c r="AZ50" i="5"/>
  <c r="BA50" i="5" s="1"/>
  <c r="AZ51" i="5"/>
  <c r="BA51" i="5" s="1"/>
  <c r="AZ52" i="5"/>
  <c r="BA52" i="5" s="1"/>
  <c r="AZ43" i="5"/>
  <c r="BA43" i="5" s="1"/>
  <c r="CC10" i="5"/>
  <c r="CC11" i="5"/>
  <c r="CC12" i="5"/>
  <c r="CC13" i="5"/>
  <c r="CC14" i="5"/>
  <c r="CC15" i="5"/>
  <c r="CC16" i="5"/>
  <c r="CC17" i="5"/>
  <c r="CC18" i="5"/>
  <c r="CC19" i="5"/>
  <c r="CC20" i="5"/>
  <c r="CC21" i="5"/>
  <c r="CC22" i="5"/>
  <c r="CC23" i="5"/>
  <c r="CC9" i="5"/>
  <c r="AAL14" i="2" l="1"/>
  <c r="AAL7" i="2"/>
  <c r="AAL6" i="2"/>
  <c r="EV10" i="5" l="1"/>
  <c r="EW10" i="5"/>
  <c r="EV11" i="5"/>
  <c r="EW11" i="5"/>
  <c r="EV12" i="5"/>
  <c r="EW12" i="5"/>
  <c r="EV13" i="5"/>
  <c r="EW13" i="5"/>
  <c r="EV14" i="5"/>
  <c r="EW14" i="5"/>
  <c r="EV15" i="5"/>
  <c r="EW15" i="5"/>
  <c r="EV16" i="5"/>
  <c r="EW16" i="5"/>
  <c r="EV17" i="5"/>
  <c r="EW17" i="5"/>
  <c r="EV18" i="5"/>
  <c r="EW18" i="5"/>
  <c r="EV19" i="5"/>
  <c r="EW19" i="5"/>
  <c r="EV20" i="5"/>
  <c r="EW20" i="5"/>
  <c r="EV21" i="5"/>
  <c r="EW21" i="5"/>
  <c r="EV22" i="5"/>
  <c r="EW22" i="5"/>
  <c r="EV23" i="5"/>
  <c r="EW23" i="5"/>
  <c r="EW9" i="5"/>
  <c r="EV9" i="5"/>
  <c r="EF10" i="5"/>
  <c r="EF11" i="5"/>
  <c r="EF12" i="5"/>
  <c r="EF13" i="5"/>
  <c r="EF14" i="5"/>
  <c r="EF15" i="5"/>
  <c r="EF16" i="5"/>
  <c r="EF17" i="5"/>
  <c r="EF18" i="5"/>
  <c r="EF19" i="5"/>
  <c r="EF20" i="5"/>
  <c r="EF21" i="5"/>
  <c r="EF22" i="5"/>
  <c r="EF23" i="5"/>
  <c r="EF9" i="5"/>
  <c r="EE10" i="5"/>
  <c r="EE11" i="5"/>
  <c r="EE12" i="5"/>
  <c r="EE13" i="5"/>
  <c r="EE14" i="5"/>
  <c r="EE15" i="5"/>
  <c r="EE16" i="5"/>
  <c r="EE17" i="5"/>
  <c r="EE18" i="5"/>
  <c r="EE19" i="5"/>
  <c r="EE20" i="5"/>
  <c r="EE21" i="5"/>
  <c r="EE22" i="5"/>
  <c r="EE23" i="5"/>
  <c r="EE9" i="5"/>
  <c r="DY10" i="5"/>
  <c r="DY11" i="5"/>
  <c r="DY12" i="5"/>
  <c r="DY13" i="5"/>
  <c r="DY14" i="5"/>
  <c r="DY15" i="5"/>
  <c r="DY16" i="5"/>
  <c r="DY17" i="5"/>
  <c r="DY18" i="5"/>
  <c r="DY19" i="5"/>
  <c r="DY20" i="5"/>
  <c r="DY21" i="5"/>
  <c r="DY22" i="5"/>
  <c r="DY23" i="5"/>
  <c r="DY9" i="5"/>
  <c r="DX10" i="5"/>
  <c r="DX11" i="5"/>
  <c r="DX12" i="5"/>
  <c r="DX13" i="5"/>
  <c r="DX14" i="5"/>
  <c r="DX15" i="5"/>
  <c r="DX16" i="5"/>
  <c r="DX17" i="5"/>
  <c r="DX18" i="5"/>
  <c r="DX19" i="5"/>
  <c r="DX20" i="5"/>
  <c r="DX21" i="5"/>
  <c r="DX22" i="5"/>
  <c r="DX23" i="5"/>
  <c r="DX9" i="5"/>
  <c r="DW10" i="5"/>
  <c r="DW11" i="5"/>
  <c r="DW12" i="5"/>
  <c r="DW13" i="5"/>
  <c r="DW14" i="5"/>
  <c r="DW15" i="5"/>
  <c r="DW16" i="5"/>
  <c r="DW17" i="5"/>
  <c r="DW18" i="5"/>
  <c r="DW19" i="5"/>
  <c r="DW20" i="5"/>
  <c r="DW21" i="5"/>
  <c r="DW22" i="5"/>
  <c r="DW23" i="5"/>
  <c r="DW9" i="5"/>
  <c r="DL10" i="5"/>
  <c r="DL11" i="5"/>
  <c r="DL12" i="5"/>
  <c r="DL13" i="5"/>
  <c r="DL14" i="5"/>
  <c r="DL15" i="5"/>
  <c r="DL16" i="5"/>
  <c r="DL17" i="5"/>
  <c r="DL18" i="5"/>
  <c r="DL19" i="5"/>
  <c r="DL20" i="5"/>
  <c r="DL21" i="5"/>
  <c r="DL22" i="5"/>
  <c r="DL23" i="5"/>
  <c r="DL9" i="5"/>
  <c r="CE10" i="5"/>
  <c r="CE11" i="5"/>
  <c r="CE12" i="5"/>
  <c r="CE13" i="5"/>
  <c r="CE14" i="5"/>
  <c r="CE15" i="5"/>
  <c r="CE16" i="5"/>
  <c r="CE17" i="5"/>
  <c r="CE18" i="5"/>
  <c r="CE19" i="5"/>
  <c r="CE20" i="5"/>
  <c r="CE21" i="5"/>
  <c r="CE22" i="5"/>
  <c r="CE23" i="5"/>
  <c r="CE9" i="5"/>
  <c r="FL25" i="2"/>
  <c r="FJ25" i="2"/>
  <c r="FI25" i="2"/>
  <c r="FH25" i="2"/>
  <c r="FL24" i="2"/>
  <c r="FJ24" i="2"/>
  <c r="FI24" i="2"/>
  <c r="FH24" i="2"/>
  <c r="FL23" i="2"/>
  <c r="FJ23" i="2"/>
  <c r="FI23" i="2"/>
  <c r="FH23" i="2"/>
  <c r="FL22" i="2"/>
  <c r="FJ22" i="2"/>
  <c r="FI22" i="2"/>
  <c r="FH22" i="2"/>
  <c r="FL21" i="2"/>
  <c r="FJ21" i="2"/>
  <c r="FI21" i="2"/>
  <c r="FH21" i="2"/>
  <c r="FL20" i="2"/>
  <c r="FJ20" i="2"/>
  <c r="FI20" i="2"/>
  <c r="FH20" i="2"/>
  <c r="FL19" i="2"/>
  <c r="FJ19" i="2"/>
  <c r="FI19" i="2"/>
  <c r="FH19" i="2"/>
  <c r="EX23" i="5" l="1"/>
  <c r="EX21" i="5"/>
  <c r="EX17" i="5"/>
  <c r="EX22" i="5"/>
  <c r="EX20" i="5"/>
  <c r="EX19" i="5"/>
  <c r="EX18" i="5"/>
  <c r="EX16" i="5"/>
  <c r="EX15" i="5"/>
  <c r="EX14" i="5"/>
  <c r="EX13" i="5"/>
  <c r="EX9" i="5"/>
  <c r="EX12" i="5"/>
  <c r="EX11" i="5"/>
  <c r="EX10" i="5"/>
  <c r="BO9" i="22" l="1"/>
  <c r="BQ9" i="22" s="1"/>
  <c r="BO10" i="22"/>
  <c r="BQ10" i="22" s="1"/>
  <c r="BO11" i="22"/>
  <c r="BQ11" i="22" s="1"/>
  <c r="BO12" i="22"/>
  <c r="BQ12" i="22" s="1"/>
  <c r="BO13" i="22"/>
  <c r="BQ13" i="22" s="1"/>
  <c r="BO14" i="22"/>
  <c r="BQ14" i="22" s="1"/>
  <c r="BO15" i="22"/>
  <c r="BQ15" i="22" s="1"/>
  <c r="BO16" i="22"/>
  <c r="BQ16" i="22" s="1"/>
  <c r="BO17" i="22"/>
  <c r="BQ17" i="22" s="1"/>
  <c r="BO18" i="22"/>
  <c r="BQ18" i="22" s="1"/>
  <c r="BO19" i="22"/>
  <c r="BQ19" i="22" s="1"/>
  <c r="BO20" i="22"/>
  <c r="BQ20" i="22" s="1"/>
  <c r="BO21" i="22"/>
  <c r="BQ21" i="22" s="1"/>
  <c r="BO22" i="22"/>
  <c r="BQ22" i="22" s="1"/>
  <c r="BO23" i="22"/>
  <c r="BQ23" i="22" s="1"/>
  <c r="BO24" i="22"/>
  <c r="BQ24" i="22" s="1"/>
  <c r="BO25" i="22"/>
  <c r="BQ25" i="22" s="1"/>
  <c r="BO26" i="22"/>
  <c r="BQ26" i="22" s="1"/>
  <c r="BO27" i="22"/>
  <c r="BQ27" i="22" s="1"/>
  <c r="BO28" i="22"/>
  <c r="BQ28" i="22" s="1"/>
  <c r="BO29" i="22"/>
  <c r="BQ29" i="22" s="1"/>
  <c r="BO30" i="22"/>
  <c r="BQ30" i="22" s="1"/>
  <c r="BO31" i="22"/>
  <c r="BQ31" i="22" s="1"/>
  <c r="BO32" i="22"/>
  <c r="BQ32" i="22" s="1"/>
  <c r="BO33" i="22"/>
  <c r="BQ33" i="22" s="1"/>
  <c r="BO34" i="22"/>
  <c r="BQ34" i="22" s="1"/>
  <c r="BO35" i="22"/>
  <c r="BQ35" i="22" s="1"/>
  <c r="BO36" i="22"/>
  <c r="BQ36" i="22" s="1"/>
  <c r="BO37" i="22"/>
  <c r="BQ37" i="22" s="1"/>
  <c r="BO38" i="22"/>
  <c r="BQ38" i="22" s="1"/>
  <c r="BO39" i="22"/>
  <c r="BQ39" i="22" s="1"/>
  <c r="BO40" i="22"/>
  <c r="BQ40" i="22" s="1"/>
  <c r="BO41" i="22"/>
  <c r="BQ41" i="22" s="1"/>
  <c r="BO42" i="22"/>
  <c r="BQ42" i="22" s="1"/>
  <c r="BO43" i="22"/>
  <c r="BQ43" i="22" s="1"/>
  <c r="BO44" i="22"/>
  <c r="BQ44" i="22" s="1"/>
  <c r="BO45" i="22"/>
  <c r="BQ45" i="22" s="1"/>
  <c r="BO46" i="22"/>
  <c r="BQ46" i="22" s="1"/>
  <c r="BO47" i="22"/>
  <c r="BQ47" i="22" s="1"/>
  <c r="BO48" i="22"/>
  <c r="BQ48" i="22" s="1"/>
  <c r="BO49" i="22"/>
  <c r="BQ49" i="22" s="1"/>
  <c r="BO50" i="22"/>
  <c r="BQ50" i="22" s="1"/>
  <c r="BO51" i="22"/>
  <c r="BQ51" i="22" s="1"/>
  <c r="BO52" i="22"/>
  <c r="BQ52" i="22" s="1"/>
  <c r="BO53" i="22"/>
  <c r="BQ53" i="22" s="1"/>
  <c r="BO54" i="22"/>
  <c r="BQ54" i="22" s="1"/>
  <c r="BO55" i="22"/>
  <c r="BQ55" i="22" s="1"/>
  <c r="BO56" i="22"/>
  <c r="BQ56" i="22" s="1"/>
  <c r="BO57" i="22"/>
  <c r="BQ57" i="22" s="1"/>
  <c r="BK9" i="22"/>
  <c r="BK10" i="22"/>
  <c r="BK11" i="22"/>
  <c r="BK12" i="22"/>
  <c r="BK13" i="22"/>
  <c r="BK14" i="22"/>
  <c r="BK15" i="22"/>
  <c r="BK16" i="22"/>
  <c r="BK17" i="22"/>
  <c r="BK18" i="22"/>
  <c r="BK19" i="22"/>
  <c r="BK20" i="22"/>
  <c r="BK21" i="22"/>
  <c r="BK22" i="22"/>
  <c r="BK23" i="22"/>
  <c r="BK24" i="22"/>
  <c r="BK25" i="22"/>
  <c r="BK26" i="22"/>
  <c r="BK27" i="22"/>
  <c r="BK28" i="22"/>
  <c r="BK29" i="22"/>
  <c r="BK30" i="22"/>
  <c r="BK31" i="22"/>
  <c r="BK32" i="22"/>
  <c r="BK33" i="22"/>
  <c r="BK34" i="22"/>
  <c r="BK35" i="22"/>
  <c r="BK36" i="22"/>
  <c r="BK37" i="22"/>
  <c r="BK38" i="22"/>
  <c r="BK39" i="22"/>
  <c r="BK40" i="22"/>
  <c r="BK41" i="22"/>
  <c r="BK42" i="22"/>
  <c r="BK43" i="22"/>
  <c r="BK44" i="22"/>
  <c r="BK45" i="22"/>
  <c r="BK46" i="22"/>
  <c r="BK47" i="22"/>
  <c r="BK48" i="22"/>
  <c r="BK49" i="22"/>
  <c r="BK50" i="22"/>
  <c r="BK51" i="22"/>
  <c r="BK52" i="22"/>
  <c r="BK53" i="22"/>
  <c r="BK54" i="22"/>
  <c r="BK55" i="22"/>
  <c r="BK56" i="22"/>
  <c r="BK57" i="22"/>
  <c r="BK8" i="22"/>
  <c r="BJ9" i="22"/>
  <c r="BJ10" i="22"/>
  <c r="BJ11" i="22"/>
  <c r="BJ12" i="22"/>
  <c r="BJ13" i="22"/>
  <c r="BJ14" i="22"/>
  <c r="BJ15" i="22"/>
  <c r="BJ16" i="22"/>
  <c r="BJ17" i="22"/>
  <c r="BJ18" i="22"/>
  <c r="BJ19" i="22"/>
  <c r="BJ20" i="22"/>
  <c r="BJ21" i="22"/>
  <c r="BJ22" i="22"/>
  <c r="BJ23" i="22"/>
  <c r="BJ24" i="22"/>
  <c r="BJ25" i="22"/>
  <c r="BJ26" i="22"/>
  <c r="BJ27" i="22"/>
  <c r="BJ28" i="22"/>
  <c r="BJ29" i="22"/>
  <c r="BJ30" i="22"/>
  <c r="BJ31" i="22"/>
  <c r="BJ32" i="22"/>
  <c r="BJ33" i="22"/>
  <c r="BJ34" i="22"/>
  <c r="BJ35" i="22"/>
  <c r="BJ36" i="22"/>
  <c r="BJ37" i="22"/>
  <c r="BJ38" i="22"/>
  <c r="BJ39" i="22"/>
  <c r="BJ40" i="22"/>
  <c r="BJ41" i="22"/>
  <c r="BJ42" i="22"/>
  <c r="BJ43" i="22"/>
  <c r="BJ44" i="22"/>
  <c r="BJ45" i="22"/>
  <c r="BJ46" i="22"/>
  <c r="BJ47" i="22"/>
  <c r="BJ48" i="22"/>
  <c r="BJ49" i="22"/>
  <c r="BJ50" i="22"/>
  <c r="BJ51" i="22"/>
  <c r="BJ52" i="22"/>
  <c r="BJ53" i="22"/>
  <c r="BJ54" i="22"/>
  <c r="BJ55" i="22"/>
  <c r="BJ56" i="22"/>
  <c r="BJ57" i="22"/>
  <c r="BJ8" i="22"/>
  <c r="BI9" i="22"/>
  <c r="BI10" i="22"/>
  <c r="BI11" i="22"/>
  <c r="BI12" i="22"/>
  <c r="BI13" i="22"/>
  <c r="BI14" i="22"/>
  <c r="BI15" i="22"/>
  <c r="BI16" i="22"/>
  <c r="BI17" i="22"/>
  <c r="BI18" i="22"/>
  <c r="BI19" i="22"/>
  <c r="BI20" i="22"/>
  <c r="BI21" i="22"/>
  <c r="BI22" i="22"/>
  <c r="BI23" i="22"/>
  <c r="BI24" i="22"/>
  <c r="BI25" i="22"/>
  <c r="BI26" i="22"/>
  <c r="BI27" i="22"/>
  <c r="BI28" i="22"/>
  <c r="BI29" i="22"/>
  <c r="BI30" i="22"/>
  <c r="BI31" i="22"/>
  <c r="BI32" i="22"/>
  <c r="BI33" i="22"/>
  <c r="BI34" i="22"/>
  <c r="BI35" i="22"/>
  <c r="BI36" i="22"/>
  <c r="BI37" i="22"/>
  <c r="BI38" i="22"/>
  <c r="BI39" i="22"/>
  <c r="BI40" i="22"/>
  <c r="BI41" i="22"/>
  <c r="BI42" i="22"/>
  <c r="BI43" i="22"/>
  <c r="BI44" i="22"/>
  <c r="BI45" i="22"/>
  <c r="BI46" i="22"/>
  <c r="BI47" i="22"/>
  <c r="BI48" i="22"/>
  <c r="BI49" i="22"/>
  <c r="BI50" i="22"/>
  <c r="BI51" i="22"/>
  <c r="BI52" i="22"/>
  <c r="BI53" i="22"/>
  <c r="BI54" i="22"/>
  <c r="BI55" i="22"/>
  <c r="BI56" i="22"/>
  <c r="BI57" i="22"/>
  <c r="BI8" i="22"/>
  <c r="BO8" i="22"/>
  <c r="BQ8" i="22" s="1"/>
  <c r="BP8" i="22" l="1"/>
  <c r="BR8" i="22" s="1"/>
  <c r="BP57" i="22"/>
  <c r="BR57" i="22" s="1"/>
  <c r="BP56" i="22"/>
  <c r="BR56" i="22" s="1"/>
  <c r="BP55" i="22"/>
  <c r="BR55" i="22" s="1"/>
  <c r="BP54" i="22"/>
  <c r="BR54" i="22" s="1"/>
  <c r="BP53" i="22"/>
  <c r="BR53" i="22" s="1"/>
  <c r="BP52" i="22"/>
  <c r="BR52" i="22" s="1"/>
  <c r="BP51" i="22"/>
  <c r="BR51" i="22" s="1"/>
  <c r="BP50" i="22"/>
  <c r="BR50" i="22" s="1"/>
  <c r="BP49" i="22"/>
  <c r="BR49" i="22" s="1"/>
  <c r="BP48" i="22"/>
  <c r="BR48" i="22" s="1"/>
  <c r="BP47" i="22"/>
  <c r="BR47" i="22" s="1"/>
  <c r="BP46" i="22"/>
  <c r="BR46" i="22" s="1"/>
  <c r="BP45" i="22"/>
  <c r="BR45" i="22" s="1"/>
  <c r="BP44" i="22"/>
  <c r="BR44" i="22" s="1"/>
  <c r="BP43" i="22"/>
  <c r="BR43" i="22" s="1"/>
  <c r="BP42" i="22"/>
  <c r="BR42" i="22" s="1"/>
  <c r="BP41" i="22"/>
  <c r="BR41" i="22" s="1"/>
  <c r="BP40" i="22"/>
  <c r="BR40" i="22" s="1"/>
  <c r="BP39" i="22"/>
  <c r="BR39" i="22" s="1"/>
  <c r="BP38" i="22"/>
  <c r="BR38" i="22" s="1"/>
  <c r="BP37" i="22"/>
  <c r="BR37" i="22" s="1"/>
  <c r="BP36" i="22"/>
  <c r="BR36" i="22" s="1"/>
  <c r="BP35" i="22"/>
  <c r="BR35" i="22" s="1"/>
  <c r="BP34" i="22"/>
  <c r="BR34" i="22" s="1"/>
  <c r="BP33" i="22"/>
  <c r="BR33" i="22" s="1"/>
  <c r="BP32" i="22"/>
  <c r="BR32" i="22" s="1"/>
  <c r="BP31" i="22"/>
  <c r="BR31" i="22" s="1"/>
  <c r="BP30" i="22"/>
  <c r="BR30" i="22" s="1"/>
  <c r="BP29" i="22"/>
  <c r="BR29" i="22" s="1"/>
  <c r="BP28" i="22"/>
  <c r="BR28" i="22" s="1"/>
  <c r="BP27" i="22"/>
  <c r="BR27" i="22" s="1"/>
  <c r="BP26" i="22"/>
  <c r="BR26" i="22" s="1"/>
  <c r="BP25" i="22"/>
  <c r="BR25" i="22" s="1"/>
  <c r="BP24" i="22"/>
  <c r="BR24" i="22" s="1"/>
  <c r="BP23" i="22"/>
  <c r="BR23" i="22" s="1"/>
  <c r="BP22" i="22"/>
  <c r="BR22" i="22" s="1"/>
  <c r="BP21" i="22"/>
  <c r="BR21" i="22" s="1"/>
  <c r="BP20" i="22"/>
  <c r="BR20" i="22" s="1"/>
  <c r="BP19" i="22"/>
  <c r="BR19" i="22" s="1"/>
  <c r="BP18" i="22"/>
  <c r="BR18" i="22" s="1"/>
  <c r="BP17" i="22"/>
  <c r="BR17" i="22" s="1"/>
  <c r="BP16" i="22"/>
  <c r="BR16" i="22" s="1"/>
  <c r="BP15" i="22"/>
  <c r="BR15" i="22" s="1"/>
  <c r="BP14" i="22"/>
  <c r="BR14" i="22" s="1"/>
  <c r="BP13" i="22"/>
  <c r="BR13" i="22" s="1"/>
  <c r="BP12" i="22"/>
  <c r="BR12" i="22" s="1"/>
  <c r="BP11" i="22"/>
  <c r="BR11" i="22" s="1"/>
  <c r="BP10" i="22"/>
  <c r="BR10" i="22" s="1"/>
  <c r="BP9" i="22"/>
  <c r="BR9" i="22" s="1"/>
  <c r="BH9" i="8" l="1"/>
  <c r="BH10" i="8"/>
  <c r="BH11" i="8"/>
  <c r="BH12" i="8"/>
  <c r="BH13" i="8"/>
  <c r="BH14" i="8"/>
  <c r="BH15" i="8"/>
  <c r="BH16" i="8"/>
  <c r="BH17" i="8"/>
  <c r="BH18" i="8"/>
  <c r="BH19" i="8"/>
  <c r="BH20" i="8"/>
  <c r="BH21" i="8"/>
  <c r="BH22" i="8"/>
  <c r="BH23" i="8"/>
  <c r="BH24" i="8"/>
  <c r="BH25" i="8"/>
  <c r="BH26" i="8"/>
  <c r="BH27" i="8"/>
  <c r="BH28" i="8"/>
  <c r="BH29" i="8"/>
  <c r="BH30" i="8"/>
  <c r="BH31" i="8"/>
  <c r="BH32" i="8"/>
  <c r="BH33" i="8"/>
  <c r="BH34" i="8"/>
  <c r="BH35" i="8"/>
  <c r="BH36" i="8"/>
  <c r="BH37" i="8"/>
  <c r="BH38" i="8"/>
  <c r="BH39" i="8"/>
  <c r="BH40" i="8"/>
  <c r="BH41" i="8"/>
  <c r="BH42" i="8"/>
  <c r="BH43" i="8"/>
  <c r="BH44" i="8"/>
  <c r="BH45" i="8"/>
  <c r="BH46" i="8"/>
  <c r="BH47" i="8"/>
  <c r="BH48" i="8"/>
  <c r="BH49" i="8"/>
  <c r="BH50" i="8"/>
  <c r="BH51" i="8"/>
  <c r="BH52" i="8"/>
  <c r="BH53" i="8"/>
  <c r="BH54" i="8"/>
  <c r="BH55" i="8"/>
  <c r="BH56" i="8"/>
  <c r="BH57" i="8"/>
  <c r="BI9" i="8"/>
  <c r="BI10" i="8"/>
  <c r="BI11" i="8"/>
  <c r="BI12" i="8"/>
  <c r="BI13" i="8"/>
  <c r="BI14" i="8"/>
  <c r="BI15" i="8"/>
  <c r="BI16" i="8"/>
  <c r="BI17" i="8"/>
  <c r="BI18" i="8"/>
  <c r="BI19" i="8"/>
  <c r="BI20" i="8"/>
  <c r="BI21" i="8"/>
  <c r="BI22" i="8"/>
  <c r="BI23" i="8"/>
  <c r="BI24" i="8"/>
  <c r="BI25" i="8"/>
  <c r="BI26" i="8"/>
  <c r="BI27" i="8"/>
  <c r="BI28" i="8"/>
  <c r="BI29" i="8"/>
  <c r="BI30" i="8"/>
  <c r="BI31" i="8"/>
  <c r="BI32" i="8"/>
  <c r="BI33" i="8"/>
  <c r="BI34" i="8"/>
  <c r="BI35" i="8"/>
  <c r="BI36" i="8"/>
  <c r="BI37" i="8"/>
  <c r="BI38" i="8"/>
  <c r="BI39" i="8"/>
  <c r="BI40" i="8"/>
  <c r="BI41" i="8"/>
  <c r="BI42" i="8"/>
  <c r="BI43" i="8"/>
  <c r="BI44" i="8"/>
  <c r="BI45" i="8"/>
  <c r="BI46" i="8"/>
  <c r="BI47" i="8"/>
  <c r="BI48" i="8"/>
  <c r="BI49" i="8"/>
  <c r="BI50" i="8"/>
  <c r="BI51" i="8"/>
  <c r="BI52" i="8"/>
  <c r="BI53" i="8"/>
  <c r="BI54" i="8"/>
  <c r="BI55" i="8"/>
  <c r="BI56" i="8"/>
  <c r="BI57" i="8"/>
  <c r="BI8" i="8"/>
  <c r="BH8" i="8"/>
  <c r="BG9" i="8"/>
  <c r="BG10" i="8"/>
  <c r="BG11" i="8"/>
  <c r="BG12" i="8"/>
  <c r="BG13" i="8"/>
  <c r="BG14" i="8"/>
  <c r="BG15" i="8"/>
  <c r="BG16" i="8"/>
  <c r="BG17" i="8"/>
  <c r="BG18" i="8"/>
  <c r="BG19" i="8"/>
  <c r="BG20" i="8"/>
  <c r="BG21" i="8"/>
  <c r="BG22" i="8"/>
  <c r="BG23" i="8"/>
  <c r="BG24" i="8"/>
  <c r="BG25" i="8"/>
  <c r="BG26" i="8"/>
  <c r="BG27" i="8"/>
  <c r="BG28" i="8"/>
  <c r="BG29" i="8"/>
  <c r="BG30" i="8"/>
  <c r="BG31" i="8"/>
  <c r="BG32" i="8"/>
  <c r="BG33" i="8"/>
  <c r="BG34" i="8"/>
  <c r="BG35" i="8"/>
  <c r="BG36" i="8"/>
  <c r="BG37" i="8"/>
  <c r="BG38" i="8"/>
  <c r="BG39" i="8"/>
  <c r="BG40" i="8"/>
  <c r="BG41" i="8"/>
  <c r="BG42" i="8"/>
  <c r="BG43" i="8"/>
  <c r="BG44" i="8"/>
  <c r="BG45" i="8"/>
  <c r="BG46" i="8"/>
  <c r="BG47" i="8"/>
  <c r="BG48" i="8"/>
  <c r="BG49" i="8"/>
  <c r="BG50" i="8"/>
  <c r="BG51" i="8"/>
  <c r="BG52" i="8"/>
  <c r="BG53" i="8"/>
  <c r="BG54" i="8"/>
  <c r="BG55" i="8"/>
  <c r="BG56" i="8"/>
  <c r="BG57" i="8"/>
  <c r="BG8" i="8"/>
  <c r="PV16" i="2"/>
  <c r="PV17" i="2"/>
  <c r="PV18" i="2"/>
  <c r="PV19" i="2"/>
  <c r="PV20" i="2"/>
  <c r="PV15" i="2"/>
  <c r="PV14" i="2"/>
  <c r="PV13" i="2"/>
  <c r="BM9" i="22" l="1"/>
  <c r="BM11" i="22"/>
  <c r="BM12" i="22"/>
  <c r="BM13" i="22"/>
  <c r="BM14" i="22"/>
  <c r="BM15" i="22"/>
  <c r="BM16" i="22"/>
  <c r="BM17" i="22"/>
  <c r="BM18" i="22"/>
  <c r="BM19" i="22"/>
  <c r="BM20" i="22"/>
  <c r="BM21" i="22"/>
  <c r="BM22" i="22"/>
  <c r="BM23" i="22"/>
  <c r="BM24" i="22"/>
  <c r="BM25" i="22"/>
  <c r="BM26" i="22"/>
  <c r="BM27" i="22"/>
  <c r="BM28" i="22"/>
  <c r="BM29" i="22"/>
  <c r="BM30" i="22"/>
  <c r="BM31" i="22"/>
  <c r="BM32" i="22"/>
  <c r="BM33" i="22"/>
  <c r="BM34" i="22"/>
  <c r="BM35" i="22"/>
  <c r="BM36" i="22"/>
  <c r="BM37" i="22"/>
  <c r="BM38" i="22"/>
  <c r="BM39" i="22"/>
  <c r="BM40" i="22"/>
  <c r="BM41" i="22"/>
  <c r="BM42" i="22"/>
  <c r="BM43" i="22"/>
  <c r="BM44" i="22"/>
  <c r="BM45" i="22"/>
  <c r="BM46" i="22"/>
  <c r="BM47" i="22"/>
  <c r="BM48" i="22"/>
  <c r="BM49" i="22"/>
  <c r="BM50" i="22"/>
  <c r="BM51" i="22"/>
  <c r="BM52" i="22"/>
  <c r="BM53" i="22"/>
  <c r="BM54" i="22"/>
  <c r="BM55" i="22"/>
  <c r="BM56" i="22"/>
  <c r="BM57" i="22"/>
  <c r="BL9" i="22"/>
  <c r="BL11" i="22"/>
  <c r="BL12" i="22"/>
  <c r="BL13" i="22"/>
  <c r="BL14" i="22"/>
  <c r="BL15" i="22"/>
  <c r="BL16" i="22"/>
  <c r="BL17" i="22"/>
  <c r="BL18" i="22"/>
  <c r="BL19" i="22"/>
  <c r="BL20" i="22"/>
  <c r="BL21" i="22"/>
  <c r="BL22" i="22"/>
  <c r="BN22" i="22" s="1"/>
  <c r="BL23" i="22"/>
  <c r="BL24" i="22"/>
  <c r="BL25" i="22"/>
  <c r="BL26" i="22"/>
  <c r="BL27" i="22"/>
  <c r="BL28" i="22"/>
  <c r="BL29" i="22"/>
  <c r="BL30" i="22"/>
  <c r="BL31" i="22"/>
  <c r="BL32" i="22"/>
  <c r="BL33" i="22"/>
  <c r="BL34" i="22"/>
  <c r="BL35" i="22"/>
  <c r="BL36" i="22"/>
  <c r="BL37" i="22"/>
  <c r="BL38" i="22"/>
  <c r="BL39" i="22"/>
  <c r="BL40" i="22"/>
  <c r="BL41" i="22"/>
  <c r="BL42" i="22"/>
  <c r="BL43" i="22"/>
  <c r="BN43" i="22" s="1"/>
  <c r="BL44" i="22"/>
  <c r="BL45" i="22"/>
  <c r="BL46" i="22"/>
  <c r="BL47" i="22"/>
  <c r="BL48" i="22"/>
  <c r="BL49" i="22"/>
  <c r="BL50" i="22"/>
  <c r="BL51" i="22"/>
  <c r="BL52" i="22"/>
  <c r="BL53" i="22"/>
  <c r="BL54" i="22"/>
  <c r="BL55" i="22"/>
  <c r="BL56" i="22"/>
  <c r="BL57" i="22"/>
  <c r="BM10" i="22"/>
  <c r="BL10" i="22"/>
  <c r="BM8" i="22"/>
  <c r="BL8" i="22"/>
  <c r="Y9" i="22"/>
  <c r="X9" i="22" s="1"/>
  <c r="Y10" i="22"/>
  <c r="X10" i="22" s="1"/>
  <c r="Y11" i="22"/>
  <c r="X11" i="22" s="1"/>
  <c r="Y12" i="22"/>
  <c r="X12" i="22" s="1"/>
  <c r="Y13" i="22"/>
  <c r="X13" i="22" s="1"/>
  <c r="Y14" i="22"/>
  <c r="X14" i="22" s="1"/>
  <c r="Y15" i="22"/>
  <c r="AA15" i="22" s="1"/>
  <c r="Y16" i="22"/>
  <c r="X16" i="22" s="1"/>
  <c r="Y17" i="22"/>
  <c r="X17" i="22" s="1"/>
  <c r="Y18" i="22"/>
  <c r="X18" i="22" s="1"/>
  <c r="Y19" i="22"/>
  <c r="AA19" i="22" s="1"/>
  <c r="Y20" i="22"/>
  <c r="X20" i="22" s="1"/>
  <c r="Y21" i="22"/>
  <c r="X21" i="22" s="1"/>
  <c r="Y22" i="22"/>
  <c r="X22" i="22" s="1"/>
  <c r="Y23" i="22"/>
  <c r="AA23" i="22" s="1"/>
  <c r="Y24" i="22"/>
  <c r="X24" i="22" s="1"/>
  <c r="Y25" i="22"/>
  <c r="X25" i="22" s="1"/>
  <c r="Y26" i="22"/>
  <c r="X26" i="22" s="1"/>
  <c r="Y27" i="22"/>
  <c r="X27" i="22" s="1"/>
  <c r="Y28" i="22"/>
  <c r="X28" i="22" s="1"/>
  <c r="Y29" i="22"/>
  <c r="X29" i="22" s="1"/>
  <c r="Y30" i="22"/>
  <c r="X30" i="22" s="1"/>
  <c r="Y31" i="22"/>
  <c r="AA31" i="22" s="1"/>
  <c r="Y32" i="22"/>
  <c r="X32" i="22" s="1"/>
  <c r="Y33" i="22"/>
  <c r="X33" i="22" s="1"/>
  <c r="Y34" i="22"/>
  <c r="X34" i="22" s="1"/>
  <c r="Y35" i="22"/>
  <c r="AA35" i="22" s="1"/>
  <c r="Y36" i="22"/>
  <c r="X36" i="22" s="1"/>
  <c r="Y37" i="22"/>
  <c r="X37" i="22" s="1"/>
  <c r="Y38" i="22"/>
  <c r="X38" i="22" s="1"/>
  <c r="Y39" i="22"/>
  <c r="AA39" i="22" s="1"/>
  <c r="Y40" i="22"/>
  <c r="X40" i="22" s="1"/>
  <c r="Y41" i="22"/>
  <c r="X41" i="22" s="1"/>
  <c r="Y42" i="22"/>
  <c r="X42" i="22" s="1"/>
  <c r="Y43" i="22"/>
  <c r="X43" i="22" s="1"/>
  <c r="Y44" i="22"/>
  <c r="X44" i="22" s="1"/>
  <c r="Y45" i="22"/>
  <c r="X45" i="22" s="1"/>
  <c r="Y46" i="22"/>
  <c r="X46" i="22" s="1"/>
  <c r="Y47" i="22"/>
  <c r="AA47" i="22" s="1"/>
  <c r="Y48" i="22"/>
  <c r="X48" i="22" s="1"/>
  <c r="Y49" i="22"/>
  <c r="X49" i="22" s="1"/>
  <c r="Y50" i="22"/>
  <c r="X50" i="22" s="1"/>
  <c r="Y51" i="22"/>
  <c r="AA51" i="22" s="1"/>
  <c r="Y52" i="22"/>
  <c r="X52" i="22" s="1"/>
  <c r="Y53" i="22"/>
  <c r="X53" i="22" s="1"/>
  <c r="Y54" i="22"/>
  <c r="X54" i="22" s="1"/>
  <c r="Y55" i="22"/>
  <c r="AA55" i="22" s="1"/>
  <c r="Y56" i="22"/>
  <c r="X56" i="22" s="1"/>
  <c r="Y57" i="22"/>
  <c r="X57" i="22" s="1"/>
  <c r="Y8" i="22"/>
  <c r="X8" i="22" s="1"/>
  <c r="X51" i="22" l="1"/>
  <c r="X35" i="22"/>
  <c r="X19" i="22"/>
  <c r="AA57" i="22"/>
  <c r="AA25" i="22"/>
  <c r="AA43" i="22"/>
  <c r="X39" i="22"/>
  <c r="AA27" i="22"/>
  <c r="X55" i="22"/>
  <c r="X23" i="22"/>
  <c r="X47" i="22"/>
  <c r="X31" i="22"/>
  <c r="X15" i="22"/>
  <c r="AA41" i="22"/>
  <c r="AA11" i="22"/>
  <c r="AA49" i="22"/>
  <c r="AA33" i="22"/>
  <c r="AA17" i="22"/>
  <c r="AA53" i="22"/>
  <c r="AA45" i="22"/>
  <c r="AA37" i="22"/>
  <c r="AA29" i="22"/>
  <c r="AA21" i="22"/>
  <c r="AA13" i="22"/>
  <c r="AA54" i="22"/>
  <c r="AA50" i="22"/>
  <c r="AA46" i="22"/>
  <c r="AA42" i="22"/>
  <c r="AA38" i="22"/>
  <c r="AA34" i="22"/>
  <c r="AA30" i="22"/>
  <c r="AA26" i="22"/>
  <c r="AA22" i="22"/>
  <c r="AA18" i="22"/>
  <c r="AA14" i="22"/>
  <c r="AA10" i="22"/>
  <c r="AA56" i="22"/>
  <c r="AA52" i="22"/>
  <c r="AA48" i="22"/>
  <c r="AA44" i="22"/>
  <c r="AA40" i="22"/>
  <c r="AA36" i="22"/>
  <c r="AA32" i="22"/>
  <c r="AA28" i="22"/>
  <c r="AA24" i="22"/>
  <c r="AA20" i="22"/>
  <c r="AA16" i="22"/>
  <c r="AA12" i="22"/>
  <c r="BN53" i="22"/>
  <c r="BN37" i="22"/>
  <c r="BN21" i="22"/>
  <c r="BN54" i="22"/>
  <c r="BN42" i="22"/>
  <c r="BN26" i="22"/>
  <c r="BN10" i="22"/>
  <c r="BN55" i="22"/>
  <c r="BN51" i="22"/>
  <c r="BN47" i="22"/>
  <c r="BN39" i="22"/>
  <c r="BN35" i="22"/>
  <c r="BN31" i="22"/>
  <c r="BN27" i="22"/>
  <c r="BN23" i="22"/>
  <c r="BN19" i="22"/>
  <c r="BN15" i="22"/>
  <c r="BN11" i="22"/>
  <c r="AA9" i="22"/>
  <c r="BN38" i="22"/>
  <c r="BN57" i="22"/>
  <c r="BN49" i="22"/>
  <c r="BN45" i="22"/>
  <c r="BN41" i="22"/>
  <c r="BN33" i="22"/>
  <c r="BN29" i="22"/>
  <c r="BN25" i="22"/>
  <c r="BN17" i="22"/>
  <c r="BN13" i="22"/>
  <c r="BN9" i="22"/>
  <c r="BN50" i="22"/>
  <c r="BN46" i="22"/>
  <c r="BN34" i="22"/>
  <c r="BN30" i="22"/>
  <c r="BN18" i="22"/>
  <c r="BN14" i="22"/>
  <c r="BN8" i="22"/>
  <c r="BN56" i="22"/>
  <c r="BN52" i="22"/>
  <c r="BN48" i="22"/>
  <c r="BN44" i="22"/>
  <c r="BN40" i="22"/>
  <c r="BN36" i="22"/>
  <c r="BN32" i="22"/>
  <c r="BN28" i="22"/>
  <c r="BN24" i="22"/>
  <c r="BN20" i="22"/>
  <c r="BN16" i="22"/>
  <c r="BN12" i="22"/>
  <c r="AA8" i="22"/>
  <c r="BH9" i="22" l="1"/>
  <c r="BH10" i="22"/>
  <c r="BH11" i="22"/>
  <c r="BH12" i="22"/>
  <c r="BH13" i="22"/>
  <c r="BH14" i="22"/>
  <c r="BH15" i="22"/>
  <c r="BH16" i="22"/>
  <c r="BH17" i="22"/>
  <c r="BH18" i="22"/>
  <c r="BH19" i="22"/>
  <c r="BH20" i="22"/>
  <c r="BH21" i="22"/>
  <c r="BH22" i="22"/>
  <c r="BH23" i="22"/>
  <c r="BH24" i="22"/>
  <c r="BH25" i="22"/>
  <c r="BH26" i="22"/>
  <c r="BH27" i="22"/>
  <c r="BH28" i="22"/>
  <c r="BH29" i="22"/>
  <c r="BH30" i="22"/>
  <c r="BH31" i="22"/>
  <c r="BH32" i="22"/>
  <c r="BH33" i="22"/>
  <c r="BH34" i="22"/>
  <c r="BH35" i="22"/>
  <c r="BH36" i="22"/>
  <c r="BH37" i="22"/>
  <c r="BH38" i="22"/>
  <c r="BH39" i="22"/>
  <c r="BH40" i="22"/>
  <c r="BH41" i="22"/>
  <c r="BH42" i="22"/>
  <c r="BH43" i="22"/>
  <c r="BH44" i="22"/>
  <c r="BH45" i="22"/>
  <c r="BH46" i="22"/>
  <c r="BH47" i="22"/>
  <c r="BH48" i="22"/>
  <c r="BH49" i="22"/>
  <c r="BH50" i="22"/>
  <c r="BH51" i="22"/>
  <c r="BH52" i="22"/>
  <c r="BH53" i="22"/>
  <c r="BH54" i="22"/>
  <c r="BH55" i="22"/>
  <c r="BH56" i="22"/>
  <c r="BH57" i="22"/>
  <c r="BH8" i="22"/>
  <c r="BF57" i="22"/>
  <c r="BE57" i="22"/>
  <c r="BD57" i="22"/>
  <c r="BC57" i="22"/>
  <c r="BB57" i="22"/>
  <c r="AW57" i="22"/>
  <c r="AV57" i="22"/>
  <c r="AX57" i="22" s="1"/>
  <c r="AL57" i="22"/>
  <c r="AJ57" i="22"/>
  <c r="AH57" i="22"/>
  <c r="AE57" i="22"/>
  <c r="AD57" i="22"/>
  <c r="BF56" i="22"/>
  <c r="BE56" i="22"/>
  <c r="BD56" i="22"/>
  <c r="BC56" i="22"/>
  <c r="BB56" i="22"/>
  <c r="AW56" i="22"/>
  <c r="AV56" i="22"/>
  <c r="AX56" i="22" s="1"/>
  <c r="AL56" i="22"/>
  <c r="AJ56" i="22"/>
  <c r="AH56" i="22"/>
  <c r="AE56" i="22"/>
  <c r="AD56" i="22"/>
  <c r="BF55" i="22"/>
  <c r="BE55" i="22"/>
  <c r="BD55" i="22"/>
  <c r="BC55" i="22"/>
  <c r="BB55" i="22"/>
  <c r="AW55" i="22"/>
  <c r="AV55" i="22"/>
  <c r="AX55" i="22" s="1"/>
  <c r="AL55" i="22"/>
  <c r="AJ55" i="22"/>
  <c r="AH55" i="22"/>
  <c r="AE55" i="22"/>
  <c r="AD55" i="22"/>
  <c r="BF54" i="22"/>
  <c r="BE54" i="22"/>
  <c r="BD54" i="22"/>
  <c r="BC54" i="22"/>
  <c r="BB54" i="22"/>
  <c r="AW54" i="22"/>
  <c r="AV54" i="22"/>
  <c r="AX54" i="22" s="1"/>
  <c r="AL54" i="22"/>
  <c r="AJ54" i="22"/>
  <c r="AH54" i="22"/>
  <c r="AE54" i="22"/>
  <c r="AD54" i="22"/>
  <c r="BF53" i="22"/>
  <c r="BE53" i="22"/>
  <c r="BD53" i="22"/>
  <c r="BC53" i="22"/>
  <c r="BB53" i="22"/>
  <c r="AW53" i="22"/>
  <c r="AV53" i="22"/>
  <c r="AX53" i="22" s="1"/>
  <c r="AL53" i="22"/>
  <c r="AJ53" i="22"/>
  <c r="AH53" i="22"/>
  <c r="AE53" i="22"/>
  <c r="AD53" i="22"/>
  <c r="BF52" i="22"/>
  <c r="BE52" i="22"/>
  <c r="BD52" i="22"/>
  <c r="BC52" i="22"/>
  <c r="BB52" i="22"/>
  <c r="AW52" i="22"/>
  <c r="AV52" i="22"/>
  <c r="AX52" i="22" s="1"/>
  <c r="AL52" i="22"/>
  <c r="AJ52" i="22"/>
  <c r="AH52" i="22"/>
  <c r="AE52" i="22"/>
  <c r="AD52" i="22"/>
  <c r="BF51" i="22"/>
  <c r="BE51" i="22"/>
  <c r="BD51" i="22"/>
  <c r="BC51" i="22"/>
  <c r="BB51" i="22"/>
  <c r="AW51" i="22"/>
  <c r="AV51" i="22"/>
  <c r="AX51" i="22" s="1"/>
  <c r="AL51" i="22"/>
  <c r="AJ51" i="22"/>
  <c r="AH51" i="22"/>
  <c r="AE51" i="22"/>
  <c r="AD51" i="22"/>
  <c r="BF50" i="22"/>
  <c r="BE50" i="22"/>
  <c r="BD50" i="22"/>
  <c r="BC50" i="22"/>
  <c r="BB50" i="22"/>
  <c r="AW50" i="22"/>
  <c r="AV50" i="22"/>
  <c r="AX50" i="22" s="1"/>
  <c r="AL50" i="22"/>
  <c r="AJ50" i="22"/>
  <c r="AH50" i="22"/>
  <c r="AE50" i="22"/>
  <c r="AD50" i="22"/>
  <c r="BF49" i="22"/>
  <c r="BE49" i="22"/>
  <c r="BD49" i="22"/>
  <c r="BC49" i="22"/>
  <c r="BB49" i="22"/>
  <c r="AW49" i="22"/>
  <c r="AV49" i="22"/>
  <c r="AX49" i="22" s="1"/>
  <c r="AL49" i="22"/>
  <c r="AJ49" i="22"/>
  <c r="AH49" i="22"/>
  <c r="AE49" i="22"/>
  <c r="AD49" i="22"/>
  <c r="BF48" i="22"/>
  <c r="BE48" i="22"/>
  <c r="BD48" i="22"/>
  <c r="BC48" i="22"/>
  <c r="BB48" i="22"/>
  <c r="AW48" i="22"/>
  <c r="AV48" i="22"/>
  <c r="AX48" i="22" s="1"/>
  <c r="AL48" i="22"/>
  <c r="AJ48" i="22"/>
  <c r="AH48" i="22"/>
  <c r="AE48" i="22"/>
  <c r="AD48" i="22"/>
  <c r="BF47" i="22"/>
  <c r="BE47" i="22"/>
  <c r="BD47" i="22"/>
  <c r="BC47" i="22"/>
  <c r="BB47" i="22"/>
  <c r="AW47" i="22"/>
  <c r="AV47" i="22"/>
  <c r="AX47" i="22" s="1"/>
  <c r="AL47" i="22"/>
  <c r="AJ47" i="22"/>
  <c r="AH47" i="22"/>
  <c r="AE47" i="22"/>
  <c r="AD47" i="22"/>
  <c r="BF46" i="22"/>
  <c r="BE46" i="22"/>
  <c r="BD46" i="22"/>
  <c r="BC46" i="22"/>
  <c r="BB46" i="22"/>
  <c r="AW46" i="22"/>
  <c r="AV46" i="22"/>
  <c r="AX46" i="22" s="1"/>
  <c r="AL46" i="22"/>
  <c r="AJ46" i="22"/>
  <c r="AH46" i="22"/>
  <c r="AE46" i="22"/>
  <c r="AD46" i="22"/>
  <c r="BF45" i="22"/>
  <c r="BE45" i="22"/>
  <c r="BD45" i="22"/>
  <c r="BC45" i="22"/>
  <c r="BB45" i="22"/>
  <c r="AW45" i="22"/>
  <c r="AV45" i="22"/>
  <c r="AX45" i="22" s="1"/>
  <c r="AL45" i="22"/>
  <c r="AJ45" i="22"/>
  <c r="AH45" i="22"/>
  <c r="AE45" i="22"/>
  <c r="AD45" i="22"/>
  <c r="BF44" i="22"/>
  <c r="BE44" i="22"/>
  <c r="BD44" i="22"/>
  <c r="BC44" i="22"/>
  <c r="BB44" i="22"/>
  <c r="AW44" i="22"/>
  <c r="AV44" i="22"/>
  <c r="AX44" i="22" s="1"/>
  <c r="AL44" i="22"/>
  <c r="AJ44" i="22"/>
  <c r="AH44" i="22"/>
  <c r="AE44" i="22"/>
  <c r="AD44" i="22"/>
  <c r="BF43" i="22"/>
  <c r="BE43" i="22"/>
  <c r="BD43" i="22"/>
  <c r="BC43" i="22"/>
  <c r="BB43" i="22"/>
  <c r="AW43" i="22"/>
  <c r="AV43" i="22"/>
  <c r="AX43" i="22" s="1"/>
  <c r="AL43" i="22"/>
  <c r="AJ43" i="22"/>
  <c r="AH43" i="22"/>
  <c r="AE43" i="22"/>
  <c r="AD43" i="22"/>
  <c r="BF42" i="22"/>
  <c r="BE42" i="22"/>
  <c r="BD42" i="22"/>
  <c r="BC42" i="22"/>
  <c r="BB42" i="22"/>
  <c r="AW42" i="22"/>
  <c r="AV42" i="22"/>
  <c r="AX42" i="22" s="1"/>
  <c r="AL42" i="22"/>
  <c r="AJ42" i="22"/>
  <c r="AH42" i="22"/>
  <c r="AE42" i="22"/>
  <c r="AD42" i="22"/>
  <c r="BF41" i="22"/>
  <c r="BE41" i="22"/>
  <c r="BD41" i="22"/>
  <c r="BC41" i="22"/>
  <c r="BB41" i="22"/>
  <c r="AW41" i="22"/>
  <c r="AV41" i="22"/>
  <c r="AX41" i="22" s="1"/>
  <c r="AL41" i="22"/>
  <c r="AJ41" i="22"/>
  <c r="AH41" i="22"/>
  <c r="AE41" i="22"/>
  <c r="AD41" i="22"/>
  <c r="BF40" i="22"/>
  <c r="BE40" i="22"/>
  <c r="BD40" i="22"/>
  <c r="BC40" i="22"/>
  <c r="BB40" i="22"/>
  <c r="AW40" i="22"/>
  <c r="AV40" i="22"/>
  <c r="AX40" i="22" s="1"/>
  <c r="AL40" i="22"/>
  <c r="AJ40" i="22"/>
  <c r="AH40" i="22"/>
  <c r="AE40" i="22"/>
  <c r="AD40" i="22"/>
  <c r="BF39" i="22"/>
  <c r="BE39" i="22"/>
  <c r="BD39" i="22"/>
  <c r="BC39" i="22"/>
  <c r="BB39" i="22"/>
  <c r="AW39" i="22"/>
  <c r="AV39" i="22"/>
  <c r="AX39" i="22" s="1"/>
  <c r="AL39" i="22"/>
  <c r="AJ39" i="22"/>
  <c r="AH39" i="22"/>
  <c r="AE39" i="22"/>
  <c r="AD39" i="22"/>
  <c r="BF38" i="22"/>
  <c r="BE38" i="22"/>
  <c r="BD38" i="22"/>
  <c r="BC38" i="22"/>
  <c r="BB38" i="22"/>
  <c r="AW38" i="22"/>
  <c r="AV38" i="22"/>
  <c r="AX38" i="22" s="1"/>
  <c r="AL38" i="22"/>
  <c r="AJ38" i="22"/>
  <c r="AH38" i="22"/>
  <c r="AE38" i="22"/>
  <c r="AD38" i="22"/>
  <c r="BF37" i="22"/>
  <c r="BE37" i="22"/>
  <c r="BD37" i="22"/>
  <c r="BC37" i="22"/>
  <c r="BB37" i="22"/>
  <c r="AW37" i="22"/>
  <c r="AV37" i="22"/>
  <c r="AX37" i="22" s="1"/>
  <c r="AL37" i="22"/>
  <c r="AJ37" i="22"/>
  <c r="AH37" i="22"/>
  <c r="AE37" i="22"/>
  <c r="AD37" i="22"/>
  <c r="BF36" i="22"/>
  <c r="BE36" i="22"/>
  <c r="BD36" i="22"/>
  <c r="BC36" i="22"/>
  <c r="BB36" i="22"/>
  <c r="AW36" i="22"/>
  <c r="AV36" i="22"/>
  <c r="AX36" i="22" s="1"/>
  <c r="AL36" i="22"/>
  <c r="AJ36" i="22"/>
  <c r="AH36" i="22"/>
  <c r="AE36" i="22"/>
  <c r="AD36" i="22"/>
  <c r="BF35" i="22"/>
  <c r="BE35" i="22"/>
  <c r="BD35" i="22"/>
  <c r="BC35" i="22"/>
  <c r="BB35" i="22"/>
  <c r="AW35" i="22"/>
  <c r="AV35" i="22"/>
  <c r="AX35" i="22" s="1"/>
  <c r="AL35" i="22"/>
  <c r="AJ35" i="22"/>
  <c r="AH35" i="22"/>
  <c r="AE35" i="22"/>
  <c r="AD35" i="22"/>
  <c r="BF34" i="22"/>
  <c r="BE34" i="22"/>
  <c r="BD34" i="22"/>
  <c r="BC34" i="22"/>
  <c r="BB34" i="22"/>
  <c r="AW34" i="22"/>
  <c r="AV34" i="22"/>
  <c r="AX34" i="22" s="1"/>
  <c r="AL34" i="22"/>
  <c r="AJ34" i="22"/>
  <c r="AH34" i="22"/>
  <c r="AE34" i="22"/>
  <c r="AD34" i="22"/>
  <c r="BF33" i="22"/>
  <c r="BE33" i="22"/>
  <c r="BD33" i="22"/>
  <c r="BC33" i="22"/>
  <c r="BB33" i="22"/>
  <c r="AW33" i="22"/>
  <c r="AV33" i="22"/>
  <c r="AX33" i="22" s="1"/>
  <c r="AL33" i="22"/>
  <c r="AJ33" i="22"/>
  <c r="AH33" i="22"/>
  <c r="AE33" i="22"/>
  <c r="AD33" i="22"/>
  <c r="BF32" i="22"/>
  <c r="BE32" i="22"/>
  <c r="BD32" i="22"/>
  <c r="BC32" i="22"/>
  <c r="BB32" i="22"/>
  <c r="AW32" i="22"/>
  <c r="AV32" i="22"/>
  <c r="AX32" i="22" s="1"/>
  <c r="AL32" i="22"/>
  <c r="AJ32" i="22"/>
  <c r="AH32" i="22"/>
  <c r="AE32" i="22"/>
  <c r="AD32" i="22"/>
  <c r="BF31" i="22"/>
  <c r="BE31" i="22"/>
  <c r="BD31" i="22"/>
  <c r="BC31" i="22"/>
  <c r="BB31" i="22"/>
  <c r="AW31" i="22"/>
  <c r="AV31" i="22"/>
  <c r="AX31" i="22" s="1"/>
  <c r="AL31" i="22"/>
  <c r="AJ31" i="22"/>
  <c r="AH31" i="22"/>
  <c r="AE31" i="22"/>
  <c r="AD31" i="22"/>
  <c r="BF30" i="22"/>
  <c r="BE30" i="22"/>
  <c r="BD30" i="22"/>
  <c r="BC30" i="22"/>
  <c r="BB30" i="22"/>
  <c r="AW30" i="22"/>
  <c r="AV30" i="22"/>
  <c r="AX30" i="22" s="1"/>
  <c r="AL30" i="22"/>
  <c r="AJ30" i="22"/>
  <c r="AH30" i="22"/>
  <c r="AE30" i="22"/>
  <c r="AD30" i="22"/>
  <c r="BF29" i="22"/>
  <c r="BE29" i="22"/>
  <c r="BD29" i="22"/>
  <c r="BC29" i="22"/>
  <c r="BB29" i="22"/>
  <c r="AW29" i="22"/>
  <c r="AV29" i="22"/>
  <c r="AX29" i="22" s="1"/>
  <c r="AL29" i="22"/>
  <c r="AJ29" i="22"/>
  <c r="AH29" i="22"/>
  <c r="AE29" i="22"/>
  <c r="AD29" i="22"/>
  <c r="BF28" i="22"/>
  <c r="BE28" i="22"/>
  <c r="BD28" i="22"/>
  <c r="BC28" i="22"/>
  <c r="BB28" i="22"/>
  <c r="AW28" i="22"/>
  <c r="AV28" i="22"/>
  <c r="AX28" i="22" s="1"/>
  <c r="AL28" i="22"/>
  <c r="AJ28" i="22"/>
  <c r="AH28" i="22"/>
  <c r="AE28" i="22"/>
  <c r="AD28" i="22"/>
  <c r="BF27" i="22"/>
  <c r="BE27" i="22"/>
  <c r="BD27" i="22"/>
  <c r="BC27" i="22"/>
  <c r="BB27" i="22"/>
  <c r="AW27" i="22"/>
  <c r="AV27" i="22"/>
  <c r="AX27" i="22" s="1"/>
  <c r="AL27" i="22"/>
  <c r="AJ27" i="22"/>
  <c r="AH27" i="22"/>
  <c r="AE27" i="22"/>
  <c r="AD27" i="22"/>
  <c r="BF26" i="22"/>
  <c r="BE26" i="22"/>
  <c r="BD26" i="22"/>
  <c r="BC26" i="22"/>
  <c r="BB26" i="22"/>
  <c r="AW26" i="22"/>
  <c r="AV26" i="22"/>
  <c r="AX26" i="22" s="1"/>
  <c r="AL26" i="22"/>
  <c r="AJ26" i="22"/>
  <c r="AH26" i="22"/>
  <c r="AE26" i="22"/>
  <c r="AD26" i="22"/>
  <c r="BF25" i="22"/>
  <c r="BE25" i="22"/>
  <c r="BD25" i="22"/>
  <c r="BC25" i="22"/>
  <c r="BB25" i="22"/>
  <c r="AW25" i="22"/>
  <c r="AV25" i="22"/>
  <c r="AX25" i="22" s="1"/>
  <c r="AL25" i="22"/>
  <c r="AJ25" i="22"/>
  <c r="AH25" i="22"/>
  <c r="AE25" i="22"/>
  <c r="AD25" i="22"/>
  <c r="BF24" i="22"/>
  <c r="BE24" i="22"/>
  <c r="BD24" i="22"/>
  <c r="BC24" i="22"/>
  <c r="BB24" i="22"/>
  <c r="AW24" i="22"/>
  <c r="AV24" i="22"/>
  <c r="AX24" i="22" s="1"/>
  <c r="AL24" i="22"/>
  <c r="AJ24" i="22"/>
  <c r="AH24" i="22"/>
  <c r="AE24" i="22"/>
  <c r="AD24" i="22"/>
  <c r="BF23" i="22"/>
  <c r="BE23" i="22"/>
  <c r="BD23" i="22"/>
  <c r="BC23" i="22"/>
  <c r="BB23" i="22"/>
  <c r="AW23" i="22"/>
  <c r="AV23" i="22"/>
  <c r="AX23" i="22" s="1"/>
  <c r="AL23" i="22"/>
  <c r="AJ23" i="22"/>
  <c r="AH23" i="22"/>
  <c r="AE23" i="22"/>
  <c r="AD23" i="22"/>
  <c r="BF22" i="22"/>
  <c r="BE22" i="22"/>
  <c r="BD22" i="22"/>
  <c r="BC22" i="22"/>
  <c r="BB22" i="22"/>
  <c r="AW22" i="22"/>
  <c r="AV22" i="22"/>
  <c r="AX22" i="22" s="1"/>
  <c r="AL22" i="22"/>
  <c r="AJ22" i="22"/>
  <c r="AH22" i="22"/>
  <c r="AE22" i="22"/>
  <c r="AD22" i="22"/>
  <c r="BF21" i="22"/>
  <c r="BE21" i="22"/>
  <c r="BD21" i="22"/>
  <c r="BC21" i="22"/>
  <c r="BB21" i="22"/>
  <c r="AW21" i="22"/>
  <c r="AV21" i="22"/>
  <c r="AX21" i="22" s="1"/>
  <c r="AL21" i="22"/>
  <c r="AJ21" i="22"/>
  <c r="AH21" i="22"/>
  <c r="AE21" i="22"/>
  <c r="AD21" i="22"/>
  <c r="BF20" i="22"/>
  <c r="BE20" i="22"/>
  <c r="BD20" i="22"/>
  <c r="BC20" i="22"/>
  <c r="BB20" i="22"/>
  <c r="AW20" i="22"/>
  <c r="AV20" i="22"/>
  <c r="AX20" i="22" s="1"/>
  <c r="AL20" i="22"/>
  <c r="AJ20" i="22"/>
  <c r="AH20" i="22"/>
  <c r="AE20" i="22"/>
  <c r="AD20" i="22"/>
  <c r="BF19" i="22"/>
  <c r="BE19" i="22"/>
  <c r="BD19" i="22"/>
  <c r="BC19" i="22"/>
  <c r="BB19" i="22"/>
  <c r="AW19" i="22"/>
  <c r="AV19" i="22"/>
  <c r="AX19" i="22" s="1"/>
  <c r="AL19" i="22"/>
  <c r="AJ19" i="22"/>
  <c r="AH19" i="22"/>
  <c r="AE19" i="22"/>
  <c r="AD19" i="22"/>
  <c r="BF18" i="22"/>
  <c r="BE18" i="22"/>
  <c r="BD18" i="22"/>
  <c r="BC18" i="22"/>
  <c r="BB18" i="22"/>
  <c r="AW18" i="22"/>
  <c r="AV18" i="22"/>
  <c r="AX18" i="22" s="1"/>
  <c r="AL18" i="22"/>
  <c r="AJ18" i="22"/>
  <c r="AH18" i="22"/>
  <c r="AE18" i="22"/>
  <c r="AD18" i="22"/>
  <c r="BF17" i="22"/>
  <c r="BE17" i="22"/>
  <c r="BD17" i="22"/>
  <c r="BC17" i="22"/>
  <c r="BB17" i="22"/>
  <c r="AW17" i="22"/>
  <c r="AV17" i="22"/>
  <c r="AX17" i="22" s="1"/>
  <c r="AL17" i="22"/>
  <c r="AJ17" i="22"/>
  <c r="AH17" i="22"/>
  <c r="AE17" i="22"/>
  <c r="AD17" i="22"/>
  <c r="BF16" i="22"/>
  <c r="BE16" i="22"/>
  <c r="BD16" i="22"/>
  <c r="BC16" i="22"/>
  <c r="BB16" i="22"/>
  <c r="AW16" i="22"/>
  <c r="AV16" i="22"/>
  <c r="AX16" i="22" s="1"/>
  <c r="AL16" i="22"/>
  <c r="AJ16" i="22"/>
  <c r="AH16" i="22"/>
  <c r="AE16" i="22"/>
  <c r="AD16" i="22"/>
  <c r="BF15" i="22"/>
  <c r="BE15" i="22"/>
  <c r="BD15" i="22"/>
  <c r="BC15" i="22"/>
  <c r="BB15" i="22"/>
  <c r="AW15" i="22"/>
  <c r="AV15" i="22"/>
  <c r="AX15" i="22" s="1"/>
  <c r="AL15" i="22"/>
  <c r="AJ15" i="22"/>
  <c r="AH15" i="22"/>
  <c r="AE15" i="22"/>
  <c r="AD15" i="22"/>
  <c r="BF14" i="22"/>
  <c r="BE14" i="22"/>
  <c r="BD14" i="22"/>
  <c r="BC14" i="22"/>
  <c r="BB14" i="22"/>
  <c r="AW14" i="22"/>
  <c r="AV14" i="22"/>
  <c r="AX14" i="22" s="1"/>
  <c r="AL14" i="22"/>
  <c r="AJ14" i="22"/>
  <c r="AH14" i="22"/>
  <c r="AE14" i="22"/>
  <c r="AD14" i="22"/>
  <c r="AB14" i="22"/>
  <c r="BF13" i="22"/>
  <c r="BE13" i="22"/>
  <c r="BD13" i="22"/>
  <c r="BC13" i="22"/>
  <c r="BB13" i="22"/>
  <c r="AW13" i="22"/>
  <c r="AV13" i="22"/>
  <c r="AX13" i="22" s="1"/>
  <c r="AL13" i="22"/>
  <c r="AJ13" i="22"/>
  <c r="AH13" i="22"/>
  <c r="AE13" i="22"/>
  <c r="AD13" i="22"/>
  <c r="AB13" i="22"/>
  <c r="BF12" i="22"/>
  <c r="BE12" i="22"/>
  <c r="BD12" i="22"/>
  <c r="BC12" i="22"/>
  <c r="BB12" i="22"/>
  <c r="AW12" i="22"/>
  <c r="AV12" i="22"/>
  <c r="AX12" i="22" s="1"/>
  <c r="AL12" i="22"/>
  <c r="AJ12" i="22"/>
  <c r="AH12" i="22"/>
  <c r="AE12" i="22"/>
  <c r="AD12" i="22"/>
  <c r="AB12" i="22"/>
  <c r="BF11" i="22"/>
  <c r="BE11" i="22"/>
  <c r="BD11" i="22"/>
  <c r="BC11" i="22"/>
  <c r="BB11" i="22"/>
  <c r="AW11" i="22"/>
  <c r="AV11" i="22"/>
  <c r="AX11" i="22" s="1"/>
  <c r="AL11" i="22"/>
  <c r="AJ11" i="22"/>
  <c r="AH11" i="22"/>
  <c r="AE11" i="22"/>
  <c r="AD11" i="22"/>
  <c r="AB11" i="22"/>
  <c r="BF10" i="22"/>
  <c r="BE10" i="22"/>
  <c r="BD10" i="22"/>
  <c r="BC10" i="22"/>
  <c r="BB10" i="22"/>
  <c r="AW10" i="22"/>
  <c r="AV10" i="22"/>
  <c r="AX10" i="22" s="1"/>
  <c r="AL10" i="22"/>
  <c r="AJ10" i="22"/>
  <c r="AH10" i="22"/>
  <c r="AE10" i="22"/>
  <c r="AD10" i="22"/>
  <c r="AB10" i="22"/>
  <c r="BF9" i="22"/>
  <c r="BE9" i="22"/>
  <c r="BD9" i="22"/>
  <c r="BC9" i="22"/>
  <c r="BB9" i="22"/>
  <c r="AW9" i="22"/>
  <c r="AV9" i="22"/>
  <c r="AX9" i="22" s="1"/>
  <c r="AL9" i="22"/>
  <c r="AJ9" i="22"/>
  <c r="AH9" i="22"/>
  <c r="AE9" i="22"/>
  <c r="AD9" i="22"/>
  <c r="AB9" i="22"/>
  <c r="BF8" i="22"/>
  <c r="BE8" i="22"/>
  <c r="BD8" i="22"/>
  <c r="BC8" i="22"/>
  <c r="BB8" i="22"/>
  <c r="AW8" i="22"/>
  <c r="AV8" i="22"/>
  <c r="AX8" i="22" s="1"/>
  <c r="AL8" i="22"/>
  <c r="AJ8" i="22"/>
  <c r="AH8" i="22"/>
  <c r="AE8" i="22"/>
  <c r="AD8" i="22"/>
  <c r="AC8" i="22"/>
  <c r="AB8" i="22"/>
  <c r="M5" i="22"/>
  <c r="M4" i="22"/>
  <c r="M3" i="22"/>
  <c r="M2" i="22"/>
  <c r="M1" i="22"/>
  <c r="AQ9" i="8"/>
  <c r="AQ10" i="8"/>
  <c r="AQ11" i="8"/>
  <c r="AQ12" i="8"/>
  <c r="AQ13" i="8"/>
  <c r="AQ14" i="8"/>
  <c r="AQ15" i="8"/>
  <c r="AQ16" i="8"/>
  <c r="AQ17" i="8"/>
  <c r="AQ18" i="8"/>
  <c r="AQ19" i="8"/>
  <c r="AQ20" i="8"/>
  <c r="AQ21" i="8"/>
  <c r="AQ22" i="8"/>
  <c r="AQ23" i="8"/>
  <c r="AQ24" i="8"/>
  <c r="AQ25" i="8"/>
  <c r="AQ26" i="8"/>
  <c r="AQ27" i="8"/>
  <c r="AQ28" i="8"/>
  <c r="AQ29" i="8"/>
  <c r="AQ30" i="8"/>
  <c r="AQ31" i="8"/>
  <c r="AQ32" i="8"/>
  <c r="AQ33" i="8"/>
  <c r="AQ34" i="8"/>
  <c r="AQ35" i="8"/>
  <c r="AQ36" i="8"/>
  <c r="AQ37" i="8"/>
  <c r="AQ38" i="8"/>
  <c r="AQ39" i="8"/>
  <c r="AQ40" i="8"/>
  <c r="AQ41" i="8"/>
  <c r="AQ42" i="8"/>
  <c r="AQ43" i="8"/>
  <c r="AQ44" i="8"/>
  <c r="AQ45" i="8"/>
  <c r="AQ46" i="8"/>
  <c r="AQ47" i="8"/>
  <c r="AQ48" i="8"/>
  <c r="AQ49" i="8"/>
  <c r="AQ50" i="8"/>
  <c r="AQ51" i="8"/>
  <c r="AQ52" i="8"/>
  <c r="AQ53" i="8"/>
  <c r="AQ54" i="8"/>
  <c r="AQ55" i="8"/>
  <c r="AQ56" i="8"/>
  <c r="AQ57" i="8"/>
  <c r="AQ8" i="8"/>
  <c r="AJ9" i="8"/>
  <c r="AJ10" i="8"/>
  <c r="AJ11" i="8"/>
  <c r="AJ12" i="8"/>
  <c r="AJ13" i="8"/>
  <c r="AJ14" i="8"/>
  <c r="AJ15" i="8"/>
  <c r="AJ16" i="8"/>
  <c r="AJ17" i="8"/>
  <c r="AJ18" i="8"/>
  <c r="AJ19" i="8"/>
  <c r="AJ20" i="8"/>
  <c r="AJ21" i="8"/>
  <c r="AJ22" i="8"/>
  <c r="AJ23" i="8"/>
  <c r="AJ24" i="8"/>
  <c r="AJ25" i="8"/>
  <c r="AJ26" i="8"/>
  <c r="AJ27" i="8"/>
  <c r="AJ28" i="8"/>
  <c r="AJ29" i="8"/>
  <c r="AJ30" i="8"/>
  <c r="AJ31" i="8"/>
  <c r="AJ32" i="8"/>
  <c r="AJ33" i="8"/>
  <c r="AJ34" i="8"/>
  <c r="AJ35" i="8"/>
  <c r="AJ36" i="8"/>
  <c r="AJ37" i="8"/>
  <c r="AJ38" i="8"/>
  <c r="AJ39" i="8"/>
  <c r="AJ40" i="8"/>
  <c r="AJ41" i="8"/>
  <c r="AJ42" i="8"/>
  <c r="AJ43" i="8"/>
  <c r="AJ44" i="8"/>
  <c r="AJ45" i="8"/>
  <c r="AJ46" i="8"/>
  <c r="AJ47" i="8"/>
  <c r="AJ48" i="8"/>
  <c r="AJ49" i="8"/>
  <c r="AJ50" i="8"/>
  <c r="AJ51" i="8"/>
  <c r="AJ52" i="8"/>
  <c r="AJ53" i="8"/>
  <c r="AJ54" i="8"/>
  <c r="AJ55" i="8"/>
  <c r="AJ56" i="8"/>
  <c r="AJ57" i="8"/>
  <c r="AJ8" i="8"/>
  <c r="AM9" i="21"/>
  <c r="AM10" i="21"/>
  <c r="AM11" i="21"/>
  <c r="AM12" i="21"/>
  <c r="AM13" i="21"/>
  <c r="AM14" i="21"/>
  <c r="AM15" i="21"/>
  <c r="AM16" i="21"/>
  <c r="AM17" i="21"/>
  <c r="AM18" i="21"/>
  <c r="AM19" i="21"/>
  <c r="AM20" i="21"/>
  <c r="AM21" i="21"/>
  <c r="AM22" i="21"/>
  <c r="AM23" i="21"/>
  <c r="AM24" i="21"/>
  <c r="AM25" i="21"/>
  <c r="AM26" i="21"/>
  <c r="AM27" i="21"/>
  <c r="AM28" i="21"/>
  <c r="AM29" i="21"/>
  <c r="AM30" i="21"/>
  <c r="AM31" i="21"/>
  <c r="AM32" i="21"/>
  <c r="AM33" i="21"/>
  <c r="AM34" i="21"/>
  <c r="AM35" i="21"/>
  <c r="AM36" i="21"/>
  <c r="AM37" i="21"/>
  <c r="AM38" i="21"/>
  <c r="AM39" i="21"/>
  <c r="AM40" i="21"/>
  <c r="AM41" i="21"/>
  <c r="AM42" i="21"/>
  <c r="AM43" i="21"/>
  <c r="AM44" i="21"/>
  <c r="AM45" i="21"/>
  <c r="AM46" i="21"/>
  <c r="AM47" i="21"/>
  <c r="AM48" i="21"/>
  <c r="AM49" i="21"/>
  <c r="AM50" i="21"/>
  <c r="AM51" i="21"/>
  <c r="AM52" i="21"/>
  <c r="AM53" i="21"/>
  <c r="AM54" i="21"/>
  <c r="AM55" i="21"/>
  <c r="AM56" i="21"/>
  <c r="AM57" i="21"/>
  <c r="AM8" i="21"/>
  <c r="VQ16" i="2"/>
  <c r="VN16" i="2"/>
  <c r="VM16" i="2"/>
  <c r="AY21" i="22" l="1"/>
  <c r="AY25" i="22"/>
  <c r="BG20" i="22"/>
  <c r="BG24" i="22"/>
  <c r="BG28" i="22"/>
  <c r="AY57" i="22"/>
  <c r="AY9" i="22"/>
  <c r="AY11" i="22"/>
  <c r="AY16" i="22"/>
  <c r="BG22" i="22"/>
  <c r="BG38" i="22"/>
  <c r="BG39" i="22"/>
  <c r="BG42" i="22"/>
  <c r="BG46" i="22"/>
  <c r="BG50" i="22"/>
  <c r="BG54" i="22"/>
  <c r="BG32" i="22"/>
  <c r="AY33" i="22"/>
  <c r="BG36" i="22"/>
  <c r="AY37" i="22"/>
  <c r="AY41" i="22"/>
  <c r="AY45" i="22"/>
  <c r="AY13" i="22"/>
  <c r="AY18" i="22"/>
  <c r="BG21" i="22"/>
  <c r="AY22" i="22"/>
  <c r="AY49" i="22"/>
  <c r="AY53" i="22"/>
  <c r="BG10" i="22"/>
  <c r="AY17" i="22"/>
  <c r="BG23" i="22"/>
  <c r="BG27" i="22"/>
  <c r="AY31" i="22"/>
  <c r="AY35" i="22"/>
  <c r="AY43" i="22"/>
  <c r="AY55" i="22"/>
  <c r="AY8" i="22"/>
  <c r="AY10" i="22"/>
  <c r="AY14" i="22"/>
  <c r="BG18" i="22"/>
  <c r="AY19" i="22"/>
  <c r="AY23" i="22"/>
  <c r="BG26" i="22"/>
  <c r="AY27" i="22"/>
  <c r="BG29" i="22"/>
  <c r="AY30" i="22"/>
  <c r="BG33" i="22"/>
  <c r="AY34" i="22"/>
  <c r="BG37" i="22"/>
  <c r="AY38" i="22"/>
  <c r="BG40" i="22"/>
  <c r="BG44" i="22"/>
  <c r="BG48" i="22"/>
  <c r="BG52" i="22"/>
  <c r="BG56" i="22"/>
  <c r="BG12" i="22"/>
  <c r="BG16" i="22"/>
  <c r="BG30" i="22"/>
  <c r="BG34" i="22"/>
  <c r="AY39" i="22"/>
  <c r="AY47" i="22"/>
  <c r="AY51" i="22"/>
  <c r="BG9" i="22"/>
  <c r="BG8" i="22"/>
  <c r="BG13" i="22"/>
  <c r="BG14" i="22"/>
  <c r="BG17" i="22"/>
  <c r="BG19" i="22"/>
  <c r="AY20" i="22"/>
  <c r="BG25" i="22"/>
  <c r="AY26" i="22"/>
  <c r="AY29" i="22"/>
  <c r="BG31" i="22"/>
  <c r="AY32" i="22"/>
  <c r="BG35" i="22"/>
  <c r="AY36" i="22"/>
  <c r="AB16" i="22"/>
  <c r="BG15" i="22"/>
  <c r="AY40" i="22"/>
  <c r="AY42" i="22"/>
  <c r="AY44" i="22"/>
  <c r="AY46" i="22"/>
  <c r="AY48" i="22"/>
  <c r="AY50" i="22"/>
  <c r="AY52" i="22"/>
  <c r="AY54" i="22"/>
  <c r="AY56" i="22"/>
  <c r="BG11" i="22"/>
  <c r="AY12" i="22"/>
  <c r="AY15" i="22"/>
  <c r="AY24" i="22"/>
  <c r="AY28" i="22"/>
  <c r="BG41" i="22"/>
  <c r="BG43" i="22"/>
  <c r="BG45" i="22"/>
  <c r="BG47" i="22"/>
  <c r="BG49" i="22"/>
  <c r="BG51" i="22"/>
  <c r="BG53" i="22"/>
  <c r="BG55" i="22"/>
  <c r="BG57" i="22"/>
  <c r="AB15" i="22"/>
  <c r="AB17" i="22" l="1"/>
  <c r="AB18" i="22" s="1"/>
  <c r="M6" i="22" s="1"/>
  <c r="EJ10" i="5"/>
  <c r="EK10" i="5"/>
  <c r="EJ11" i="5"/>
  <c r="EK11" i="5"/>
  <c r="EJ12" i="5"/>
  <c r="EK12" i="5"/>
  <c r="EJ13" i="5"/>
  <c r="EK13" i="5"/>
  <c r="EJ14" i="5"/>
  <c r="EK14" i="5"/>
  <c r="EJ15" i="5"/>
  <c r="EK15" i="5"/>
  <c r="EJ16" i="5"/>
  <c r="EK16" i="5"/>
  <c r="EL16" i="5" s="1"/>
  <c r="EJ17" i="5"/>
  <c r="EK17" i="5"/>
  <c r="EJ18" i="5"/>
  <c r="EK18" i="5"/>
  <c r="EJ19" i="5"/>
  <c r="EL19" i="5" s="1"/>
  <c r="EK19" i="5"/>
  <c r="EJ20" i="5"/>
  <c r="EK20" i="5"/>
  <c r="EJ21" i="5"/>
  <c r="EK21" i="5"/>
  <c r="EJ22" i="5"/>
  <c r="EK22" i="5"/>
  <c r="EJ23" i="5"/>
  <c r="EK23" i="5"/>
  <c r="EK9" i="5"/>
  <c r="EJ9" i="5"/>
  <c r="EL20" i="5" l="1"/>
  <c r="EM20" i="5" s="1"/>
  <c r="EL22" i="5"/>
  <c r="EL21" i="5"/>
  <c r="EM21" i="5" s="1"/>
  <c r="EL14" i="5"/>
  <c r="EM14" i="5" s="1"/>
  <c r="EL13" i="5"/>
  <c r="EL17" i="5"/>
  <c r="EM17" i="5" s="1"/>
  <c r="EL15" i="5"/>
  <c r="EM15" i="5" s="1"/>
  <c r="EL12" i="5"/>
  <c r="EM12" i="5" s="1"/>
  <c r="EL10" i="5"/>
  <c r="EM10" i="5" s="1"/>
  <c r="EL9" i="5"/>
  <c r="EM9" i="5" s="1"/>
  <c r="EL23" i="5"/>
  <c r="EM23" i="5" s="1"/>
  <c r="EL18" i="5"/>
  <c r="EM18" i="5" s="1"/>
  <c r="EL11" i="5"/>
  <c r="EM11" i="5" s="1"/>
  <c r="EM22" i="5"/>
  <c r="EM13" i="5"/>
  <c r="EM19" i="5"/>
  <c r="EM16" i="5"/>
  <c r="BK9" i="8" l="1"/>
  <c r="BK10" i="8"/>
  <c r="BK11" i="8"/>
  <c r="BK12" i="8"/>
  <c r="BK13" i="8"/>
  <c r="BK14" i="8"/>
  <c r="BK15" i="8"/>
  <c r="BK16" i="8"/>
  <c r="BK17" i="8"/>
  <c r="BK18" i="8"/>
  <c r="BK19" i="8"/>
  <c r="BK20" i="8"/>
  <c r="BK21" i="8"/>
  <c r="BK22" i="8"/>
  <c r="BK23" i="8"/>
  <c r="BK24" i="8"/>
  <c r="BK25" i="8"/>
  <c r="BK26" i="8"/>
  <c r="BK27" i="8"/>
  <c r="BK28" i="8"/>
  <c r="BK29" i="8"/>
  <c r="BK30" i="8"/>
  <c r="BK31" i="8"/>
  <c r="BK32" i="8"/>
  <c r="BK33" i="8"/>
  <c r="BK34" i="8"/>
  <c r="BK35" i="8"/>
  <c r="BK36" i="8"/>
  <c r="BK37" i="8"/>
  <c r="BK38" i="8"/>
  <c r="BK39" i="8"/>
  <c r="BK40" i="8"/>
  <c r="BK41" i="8"/>
  <c r="BK42" i="8"/>
  <c r="BK43" i="8"/>
  <c r="BK44" i="8"/>
  <c r="BK45" i="8"/>
  <c r="BK46" i="8"/>
  <c r="BK47" i="8"/>
  <c r="BK48" i="8"/>
  <c r="BK49" i="8"/>
  <c r="BK50" i="8"/>
  <c r="BK51" i="8"/>
  <c r="BK52" i="8"/>
  <c r="BK53" i="8"/>
  <c r="BK54" i="8"/>
  <c r="BK55" i="8"/>
  <c r="BK56" i="8"/>
  <c r="BK57" i="8"/>
  <c r="BJ9" i="8"/>
  <c r="BJ10" i="8"/>
  <c r="BJ11" i="8"/>
  <c r="BJ12" i="8"/>
  <c r="BJ13" i="8"/>
  <c r="BJ14" i="8"/>
  <c r="BJ15" i="8"/>
  <c r="BJ16" i="8"/>
  <c r="BJ17" i="8"/>
  <c r="BJ18" i="8"/>
  <c r="BJ19" i="8"/>
  <c r="BJ20" i="8"/>
  <c r="BJ21" i="8"/>
  <c r="BJ22" i="8"/>
  <c r="BJ23" i="8"/>
  <c r="BJ24" i="8"/>
  <c r="BJ25" i="8"/>
  <c r="BJ26" i="8"/>
  <c r="BJ27" i="8"/>
  <c r="BJ28" i="8"/>
  <c r="BJ29" i="8"/>
  <c r="BJ30" i="8"/>
  <c r="BJ31" i="8"/>
  <c r="BJ32" i="8"/>
  <c r="BJ33" i="8"/>
  <c r="BJ34" i="8"/>
  <c r="BJ35" i="8"/>
  <c r="BJ36" i="8"/>
  <c r="BJ37" i="8"/>
  <c r="BJ38" i="8"/>
  <c r="BJ39" i="8"/>
  <c r="BJ40" i="8"/>
  <c r="BJ41" i="8"/>
  <c r="BJ42" i="8"/>
  <c r="BJ43" i="8"/>
  <c r="BJ44" i="8"/>
  <c r="BJ45" i="8"/>
  <c r="BJ46" i="8"/>
  <c r="BJ47" i="8"/>
  <c r="BJ48" i="8"/>
  <c r="BJ49" i="8"/>
  <c r="BJ50" i="8"/>
  <c r="BJ51" i="8"/>
  <c r="BJ52" i="8"/>
  <c r="BJ53" i="8"/>
  <c r="BJ54" i="8"/>
  <c r="BJ55" i="8"/>
  <c r="BJ56" i="8"/>
  <c r="BJ57" i="8"/>
  <c r="BL55" i="8" l="1"/>
  <c r="BL51" i="8"/>
  <c r="BL47" i="8"/>
  <c r="BL43" i="8"/>
  <c r="BL39" i="8"/>
  <c r="BL57" i="8"/>
  <c r="BL45" i="8"/>
  <c r="BL37" i="8"/>
  <c r="BL54" i="8"/>
  <c r="BL50" i="8"/>
  <c r="BL46" i="8"/>
  <c r="BL42" i="8"/>
  <c r="BL38" i="8"/>
  <c r="BL53" i="8"/>
  <c r="BL49" i="8"/>
  <c r="BL41" i="8"/>
  <c r="BL29" i="8"/>
  <c r="BL21" i="8"/>
  <c r="BL56" i="8"/>
  <c r="BL52" i="8"/>
  <c r="BL48" i="8"/>
  <c r="BL44" i="8"/>
  <c r="BL40" i="8"/>
  <c r="BL13" i="8"/>
  <c r="BL33" i="8"/>
  <c r="BL9" i="8"/>
  <c r="BL34" i="8"/>
  <c r="BL30" i="8"/>
  <c r="BL26" i="8"/>
  <c r="BL22" i="8"/>
  <c r="BL18" i="8"/>
  <c r="BL14" i="8"/>
  <c r="BL10" i="8"/>
  <c r="BL35" i="8"/>
  <c r="BL31" i="8"/>
  <c r="BL27" i="8"/>
  <c r="BL23" i="8"/>
  <c r="BL19" i="8"/>
  <c r="BL15" i="8"/>
  <c r="BL25" i="8"/>
  <c r="BL17" i="8"/>
  <c r="BL36" i="8"/>
  <c r="BL32" i="8"/>
  <c r="BL28" i="8"/>
  <c r="BL24" i="8"/>
  <c r="BL20" i="8"/>
  <c r="BL16" i="8"/>
  <c r="BL12" i="8"/>
  <c r="BL11" i="8"/>
  <c r="BK8" i="8"/>
  <c r="BJ8" i="8"/>
  <c r="AAL15" i="2"/>
  <c r="AAL13" i="2"/>
  <c r="AAL12" i="2"/>
  <c r="AAL11" i="2"/>
  <c r="AAL9" i="2"/>
  <c r="AAL8" i="2"/>
  <c r="AAL5" i="2"/>
  <c r="AAL4" i="2"/>
  <c r="AAL2" i="2"/>
  <c r="AAL3" i="2"/>
  <c r="AAM15" i="2"/>
  <c r="AAM14" i="2"/>
  <c r="AAM13" i="2"/>
  <c r="AAM12" i="2"/>
  <c r="AAM11" i="2"/>
  <c r="AAM10" i="2"/>
  <c r="AAM9" i="2"/>
  <c r="AAM8" i="2"/>
  <c r="AAM7" i="2"/>
  <c r="AAM6" i="2"/>
  <c r="AAM5" i="2"/>
  <c r="AAM4" i="2"/>
  <c r="AAM3" i="2"/>
  <c r="AAM2" i="2"/>
  <c r="AAL10" i="2"/>
  <c r="AR9" i="21"/>
  <c r="AS9" i="21" s="1"/>
  <c r="AR10" i="21"/>
  <c r="AS10" i="21" s="1"/>
  <c r="AR11" i="21"/>
  <c r="AS11" i="21" s="1"/>
  <c r="AR12" i="21"/>
  <c r="AS12" i="21" s="1"/>
  <c r="AR13" i="21"/>
  <c r="AS13" i="21" s="1"/>
  <c r="AR14" i="21"/>
  <c r="AS14" i="21" s="1"/>
  <c r="AR15" i="21"/>
  <c r="AS15" i="21" s="1"/>
  <c r="AR16" i="21"/>
  <c r="AS16" i="21" s="1"/>
  <c r="AR17" i="21"/>
  <c r="AS17" i="21" s="1"/>
  <c r="AR18" i="21"/>
  <c r="AS18" i="21" s="1"/>
  <c r="AR19" i="21"/>
  <c r="AS19" i="21" s="1"/>
  <c r="AR20" i="21"/>
  <c r="AS20" i="21" s="1"/>
  <c r="AR21" i="21"/>
  <c r="AS21" i="21" s="1"/>
  <c r="AR22" i="21"/>
  <c r="AS22" i="21" s="1"/>
  <c r="AR23" i="21"/>
  <c r="AS23" i="21" s="1"/>
  <c r="AR24" i="21"/>
  <c r="AS24" i="21" s="1"/>
  <c r="AR25" i="21"/>
  <c r="AS25" i="21" s="1"/>
  <c r="AR26" i="21"/>
  <c r="AS26" i="21" s="1"/>
  <c r="AR27" i="21"/>
  <c r="AS27" i="21" s="1"/>
  <c r="AR28" i="21"/>
  <c r="AS28" i="21" s="1"/>
  <c r="AR29" i="21"/>
  <c r="AS29" i="21" s="1"/>
  <c r="AR30" i="21"/>
  <c r="AS30" i="21" s="1"/>
  <c r="AR31" i="21"/>
  <c r="AS31" i="21" s="1"/>
  <c r="AR32" i="21"/>
  <c r="AS32" i="21" s="1"/>
  <c r="AR33" i="21"/>
  <c r="AS33" i="21" s="1"/>
  <c r="AR34" i="21"/>
  <c r="AS34" i="21" s="1"/>
  <c r="AR35" i="21"/>
  <c r="AS35" i="21" s="1"/>
  <c r="AR36" i="21"/>
  <c r="AS36" i="21" s="1"/>
  <c r="AR37" i="21"/>
  <c r="AS37" i="21" s="1"/>
  <c r="AR38" i="21"/>
  <c r="AS38" i="21" s="1"/>
  <c r="AR39" i="21"/>
  <c r="AS39" i="21" s="1"/>
  <c r="AR40" i="21"/>
  <c r="AS40" i="21" s="1"/>
  <c r="AR41" i="21"/>
  <c r="AS41" i="21" s="1"/>
  <c r="AR42" i="21"/>
  <c r="AS42" i="21" s="1"/>
  <c r="AR43" i="21"/>
  <c r="AS43" i="21" s="1"/>
  <c r="AR44" i="21"/>
  <c r="AS44" i="21" s="1"/>
  <c r="AR45" i="21"/>
  <c r="AS45" i="21" s="1"/>
  <c r="AR46" i="21"/>
  <c r="AS46" i="21" s="1"/>
  <c r="AR47" i="21"/>
  <c r="AS47" i="21" s="1"/>
  <c r="AR48" i="21"/>
  <c r="AS48" i="21" s="1"/>
  <c r="AR49" i="21"/>
  <c r="AS49" i="21" s="1"/>
  <c r="AR50" i="21"/>
  <c r="AS50" i="21" s="1"/>
  <c r="AR51" i="21"/>
  <c r="AS51" i="21" s="1"/>
  <c r="AR52" i="21"/>
  <c r="AS52" i="21" s="1"/>
  <c r="AR53" i="21"/>
  <c r="AS53" i="21" s="1"/>
  <c r="AR54" i="21"/>
  <c r="AS54" i="21" s="1"/>
  <c r="AR55" i="21"/>
  <c r="AS55" i="21" s="1"/>
  <c r="AR56" i="21"/>
  <c r="AS56" i="21" s="1"/>
  <c r="AR57" i="21"/>
  <c r="AS57" i="21" s="1"/>
  <c r="AR8" i="21"/>
  <c r="AS8" i="21" s="1"/>
  <c r="YR5" i="2"/>
  <c r="YR2" i="2"/>
  <c r="UA5" i="2"/>
  <c r="UA2" i="2"/>
  <c r="AF9" i="21"/>
  <c r="AG9" i="21" s="1"/>
  <c r="AF10" i="21"/>
  <c r="AG10" i="21" s="1"/>
  <c r="AF11" i="21"/>
  <c r="AG11" i="21" s="1"/>
  <c r="AF12" i="21"/>
  <c r="AG12" i="21" s="1"/>
  <c r="AF13" i="21"/>
  <c r="AG13" i="21" s="1"/>
  <c r="AF14" i="21"/>
  <c r="AG14" i="21" s="1"/>
  <c r="AF15" i="21"/>
  <c r="AG15" i="21" s="1"/>
  <c r="AF16" i="21"/>
  <c r="AG16" i="21" s="1"/>
  <c r="AF17" i="21"/>
  <c r="AG17" i="21" s="1"/>
  <c r="AF18" i="21"/>
  <c r="AG18" i="21" s="1"/>
  <c r="AF19" i="21"/>
  <c r="AG19" i="21" s="1"/>
  <c r="AF20" i="21"/>
  <c r="AG20" i="21" s="1"/>
  <c r="AF21" i="21"/>
  <c r="AG21" i="21" s="1"/>
  <c r="AF22" i="21"/>
  <c r="AG22" i="21" s="1"/>
  <c r="AF23" i="21"/>
  <c r="AG23" i="21" s="1"/>
  <c r="AF24" i="21"/>
  <c r="AG24" i="21" s="1"/>
  <c r="AF25" i="21"/>
  <c r="AG25" i="21" s="1"/>
  <c r="AF26" i="21"/>
  <c r="AG26" i="21" s="1"/>
  <c r="AF27" i="21"/>
  <c r="AG27" i="21" s="1"/>
  <c r="AF28" i="21"/>
  <c r="AG28" i="21" s="1"/>
  <c r="AF29" i="21"/>
  <c r="AG29" i="21" s="1"/>
  <c r="AF30" i="21"/>
  <c r="AG30" i="21" s="1"/>
  <c r="AF31" i="21"/>
  <c r="AG31" i="21" s="1"/>
  <c r="AF32" i="21"/>
  <c r="AG32" i="21" s="1"/>
  <c r="AF33" i="21"/>
  <c r="AG33" i="21" s="1"/>
  <c r="AF34" i="21"/>
  <c r="AG34" i="21" s="1"/>
  <c r="AF35" i="21"/>
  <c r="AG35" i="21" s="1"/>
  <c r="AF36" i="21"/>
  <c r="AG36" i="21" s="1"/>
  <c r="AF37" i="21"/>
  <c r="AG37" i="21" s="1"/>
  <c r="AF38" i="21"/>
  <c r="AG38" i="21" s="1"/>
  <c r="AF39" i="21"/>
  <c r="AG39" i="21" s="1"/>
  <c r="AF40" i="21"/>
  <c r="AG40" i="21" s="1"/>
  <c r="AF41" i="21"/>
  <c r="AG41" i="21" s="1"/>
  <c r="AF42" i="21"/>
  <c r="AG42" i="21" s="1"/>
  <c r="AF43" i="21"/>
  <c r="AG43" i="21" s="1"/>
  <c r="AF44" i="21"/>
  <c r="AG44" i="21" s="1"/>
  <c r="AF45" i="21"/>
  <c r="AG45" i="21" s="1"/>
  <c r="AF46" i="21"/>
  <c r="AG46" i="21" s="1"/>
  <c r="AF47" i="21"/>
  <c r="AG47" i="21" s="1"/>
  <c r="AF48" i="21"/>
  <c r="AG48" i="21" s="1"/>
  <c r="AF49" i="21"/>
  <c r="AG49" i="21" s="1"/>
  <c r="AF50" i="21"/>
  <c r="AG50" i="21" s="1"/>
  <c r="AF51" i="21"/>
  <c r="AG51" i="21" s="1"/>
  <c r="AF52" i="21"/>
  <c r="AG52" i="21" s="1"/>
  <c r="AF53" i="21"/>
  <c r="AG53" i="21" s="1"/>
  <c r="AF54" i="21"/>
  <c r="AG54" i="21" s="1"/>
  <c r="AF55" i="21"/>
  <c r="AG55" i="21" s="1"/>
  <c r="AF56" i="21"/>
  <c r="AG56" i="21" s="1"/>
  <c r="AF57" i="21"/>
  <c r="AG57" i="21" s="1"/>
  <c r="AF8" i="21"/>
  <c r="AG8" i="21" s="1"/>
  <c r="UB5" i="2"/>
  <c r="UB3" i="2"/>
  <c r="UB2" i="2"/>
  <c r="BL8" i="8" l="1"/>
  <c r="D19" i="18"/>
  <c r="D18" i="18"/>
  <c r="YF5" i="2"/>
  <c r="YE5" i="2"/>
  <c r="YD5" i="2"/>
  <c r="YC5" i="2"/>
  <c r="YB5" i="2"/>
  <c r="YA5" i="2"/>
  <c r="YF3" i="2"/>
  <c r="YE3" i="2"/>
  <c r="YD3" i="2"/>
  <c r="YC3" i="2"/>
  <c r="YB3" i="2"/>
  <c r="YA3" i="2"/>
  <c r="YF2" i="2"/>
  <c r="YE2" i="2"/>
  <c r="YD2" i="2"/>
  <c r="YC2" i="2"/>
  <c r="YB2" i="2"/>
  <c r="YA2" i="2"/>
  <c r="XZ5" i="2"/>
  <c r="XZ3" i="2"/>
  <c r="XZ2" i="2"/>
  <c r="XT5" i="2"/>
  <c r="XT3" i="2"/>
  <c r="XT2" i="2"/>
  <c r="YQ5" i="2"/>
  <c r="YQ3" i="2"/>
  <c r="YQ2" i="2"/>
  <c r="UA13" i="2"/>
  <c r="UA12" i="2"/>
  <c r="UA11" i="2"/>
  <c r="TZ3" i="2"/>
  <c r="TZ2" i="2"/>
  <c r="TY3" i="2"/>
  <c r="TY2" i="2"/>
  <c r="TQ3" i="2"/>
  <c r="TQ2" i="2"/>
  <c r="TP2" i="2"/>
  <c r="TP3" i="2"/>
  <c r="TO3" i="2"/>
  <c r="AN9" i="21"/>
  <c r="AN10" i="21"/>
  <c r="AO10" i="21" s="1"/>
  <c r="AN11" i="21"/>
  <c r="AN12" i="21"/>
  <c r="AN13" i="21"/>
  <c r="AO13" i="21" s="1"/>
  <c r="AN14" i="21"/>
  <c r="AO14" i="21" s="1"/>
  <c r="AN15" i="21"/>
  <c r="AO15" i="21" s="1"/>
  <c r="AN16" i="21"/>
  <c r="AO16" i="21" s="1"/>
  <c r="AN17" i="21"/>
  <c r="AO17" i="21" s="1"/>
  <c r="AN18" i="21"/>
  <c r="AO18" i="21" s="1"/>
  <c r="AN19" i="21"/>
  <c r="AO19" i="21" s="1"/>
  <c r="AN20" i="21"/>
  <c r="AO20" i="21" s="1"/>
  <c r="AN21" i="21"/>
  <c r="AO21" i="21" s="1"/>
  <c r="AN22" i="21"/>
  <c r="AO22" i="21" s="1"/>
  <c r="AN23" i="21"/>
  <c r="AO23" i="21" s="1"/>
  <c r="AN24" i="21"/>
  <c r="AO24" i="21" s="1"/>
  <c r="AN25" i="21"/>
  <c r="AO25" i="21" s="1"/>
  <c r="AN26" i="21"/>
  <c r="AO26" i="21" s="1"/>
  <c r="AN27" i="21"/>
  <c r="AO27" i="21" s="1"/>
  <c r="AN28" i="21"/>
  <c r="AO28" i="21" s="1"/>
  <c r="AN29" i="21"/>
  <c r="AO29" i="21" s="1"/>
  <c r="AN30" i="21"/>
  <c r="AO30" i="21" s="1"/>
  <c r="AN31" i="21"/>
  <c r="AO31" i="21" s="1"/>
  <c r="AN32" i="21"/>
  <c r="AO32" i="21" s="1"/>
  <c r="AN33" i="21"/>
  <c r="AO33" i="21" s="1"/>
  <c r="AN34" i="21"/>
  <c r="AO34" i="21" s="1"/>
  <c r="AN35" i="21"/>
  <c r="AO35" i="21" s="1"/>
  <c r="AN36" i="21"/>
  <c r="AO36" i="21" s="1"/>
  <c r="AN37" i="21"/>
  <c r="AO37" i="21" s="1"/>
  <c r="AN38" i="21"/>
  <c r="AO38" i="21" s="1"/>
  <c r="AN39" i="21"/>
  <c r="AO39" i="21" s="1"/>
  <c r="AN40" i="21"/>
  <c r="AO40" i="21" s="1"/>
  <c r="AN41" i="21"/>
  <c r="AO41" i="21" s="1"/>
  <c r="AN42" i="21"/>
  <c r="AO42" i="21" s="1"/>
  <c r="AN43" i="21"/>
  <c r="AO43" i="21" s="1"/>
  <c r="AN44" i="21"/>
  <c r="AO44" i="21" s="1"/>
  <c r="AN45" i="21"/>
  <c r="AO45" i="21" s="1"/>
  <c r="AN46" i="21"/>
  <c r="AO46" i="21" s="1"/>
  <c r="AN47" i="21"/>
  <c r="AO47" i="21" s="1"/>
  <c r="AN48" i="21"/>
  <c r="AO48" i="21" s="1"/>
  <c r="AN49" i="21"/>
  <c r="AO49" i="21" s="1"/>
  <c r="AN50" i="21"/>
  <c r="AO50" i="21" s="1"/>
  <c r="AN51" i="21"/>
  <c r="AO51" i="21" s="1"/>
  <c r="AN52" i="21"/>
  <c r="AO52" i="21" s="1"/>
  <c r="AN53" i="21"/>
  <c r="AO53" i="21" s="1"/>
  <c r="AN54" i="21"/>
  <c r="AO54" i="21" s="1"/>
  <c r="AN55" i="21"/>
  <c r="AO55" i="21" s="1"/>
  <c r="AN56" i="21"/>
  <c r="AO56" i="21" s="1"/>
  <c r="AN57" i="21"/>
  <c r="AO57" i="21" s="1"/>
  <c r="VQ10" i="2"/>
  <c r="VQ9" i="2"/>
  <c r="VQ8" i="2"/>
  <c r="VQ7" i="2"/>
  <c r="VQ6" i="2"/>
  <c r="VQ5" i="2"/>
  <c r="VQ4" i="2"/>
  <c r="VQ3" i="2"/>
  <c r="VQ2" i="2"/>
  <c r="VN10" i="2"/>
  <c r="VN9" i="2"/>
  <c r="VN8" i="2"/>
  <c r="VN7" i="2"/>
  <c r="VN6" i="2"/>
  <c r="VN5" i="2"/>
  <c r="VN4" i="2"/>
  <c r="VN3" i="2"/>
  <c r="VN2" i="2"/>
  <c r="VM10" i="2"/>
  <c r="VM9" i="2"/>
  <c r="VM8" i="2"/>
  <c r="VM7" i="2"/>
  <c r="VM6" i="2"/>
  <c r="VM5" i="2"/>
  <c r="VM4" i="2"/>
  <c r="AN8" i="21"/>
  <c r="VM3" i="2"/>
  <c r="VM2" i="2"/>
  <c r="TN3" i="2"/>
  <c r="TM5" i="2"/>
  <c r="TM3" i="2"/>
  <c r="TC5" i="2"/>
  <c r="TC3" i="2"/>
  <c r="TM2" i="2"/>
  <c r="AO12" i="21" l="1"/>
  <c r="AO8" i="21"/>
  <c r="AO9" i="21"/>
  <c r="AO11" i="21"/>
  <c r="TC2" i="2"/>
  <c r="U9" i="21"/>
  <c r="U10" i="21"/>
  <c r="AV10" i="21" s="1"/>
  <c r="AW10" i="21" s="1"/>
  <c r="AX10" i="21" s="1"/>
  <c r="T10" i="21" s="1"/>
  <c r="U11" i="21"/>
  <c r="AV11" i="21" s="1"/>
  <c r="AW11" i="21" s="1"/>
  <c r="AX11" i="21" s="1"/>
  <c r="T11" i="21" s="1"/>
  <c r="U12" i="21"/>
  <c r="AV12" i="21" s="1"/>
  <c r="AW12" i="21" s="1"/>
  <c r="AX12" i="21" s="1"/>
  <c r="T12" i="21" s="1"/>
  <c r="U13" i="21"/>
  <c r="AV13" i="21" s="1"/>
  <c r="AW13" i="21" s="1"/>
  <c r="AX13" i="21" s="1"/>
  <c r="T13" i="21" s="1"/>
  <c r="U14" i="21"/>
  <c r="AV14" i="21" s="1"/>
  <c r="AW14" i="21" s="1"/>
  <c r="AX14" i="21" s="1"/>
  <c r="T14" i="21" s="1"/>
  <c r="U15" i="21"/>
  <c r="AV15" i="21" s="1"/>
  <c r="AW15" i="21" s="1"/>
  <c r="AX15" i="21" s="1"/>
  <c r="T15" i="21" s="1"/>
  <c r="U16" i="21"/>
  <c r="AV16" i="21" s="1"/>
  <c r="AW16" i="21" s="1"/>
  <c r="AX16" i="21" s="1"/>
  <c r="T16" i="21" s="1"/>
  <c r="U17" i="21"/>
  <c r="AV17" i="21" s="1"/>
  <c r="U18" i="21"/>
  <c r="AV18" i="21" s="1"/>
  <c r="AW18" i="21" s="1"/>
  <c r="AX18" i="21" s="1"/>
  <c r="T18" i="21" s="1"/>
  <c r="U19" i="21"/>
  <c r="AV19" i="21" s="1"/>
  <c r="AW19" i="21" s="1"/>
  <c r="AX19" i="21" s="1"/>
  <c r="T19" i="21" s="1"/>
  <c r="U20" i="21"/>
  <c r="AV20" i="21" s="1"/>
  <c r="AW20" i="21" s="1"/>
  <c r="AX20" i="21" s="1"/>
  <c r="T20" i="21" s="1"/>
  <c r="U21" i="21"/>
  <c r="AV21" i="21" s="1"/>
  <c r="AW21" i="21" s="1"/>
  <c r="AX21" i="21" s="1"/>
  <c r="T21" i="21" s="1"/>
  <c r="U22" i="21"/>
  <c r="AV22" i="21" s="1"/>
  <c r="AW22" i="21" s="1"/>
  <c r="AX22" i="21" s="1"/>
  <c r="T22" i="21" s="1"/>
  <c r="U23" i="21"/>
  <c r="AV23" i="21" s="1"/>
  <c r="AW23" i="21" s="1"/>
  <c r="AX23" i="21" s="1"/>
  <c r="T23" i="21" s="1"/>
  <c r="U24" i="21"/>
  <c r="AV24" i="21" s="1"/>
  <c r="AW24" i="21" s="1"/>
  <c r="AX24" i="21" s="1"/>
  <c r="T24" i="21" s="1"/>
  <c r="U25" i="21"/>
  <c r="AV25" i="21" s="1"/>
  <c r="AW25" i="21" s="1"/>
  <c r="AX25" i="21" s="1"/>
  <c r="T25" i="21" s="1"/>
  <c r="U26" i="21"/>
  <c r="AV26" i="21" s="1"/>
  <c r="AW26" i="21" s="1"/>
  <c r="AX26" i="21" s="1"/>
  <c r="T26" i="21" s="1"/>
  <c r="U27" i="21"/>
  <c r="AV27" i="21" s="1"/>
  <c r="AW27" i="21" s="1"/>
  <c r="AX27" i="21" s="1"/>
  <c r="T27" i="21" s="1"/>
  <c r="U28" i="21"/>
  <c r="AV28" i="21" s="1"/>
  <c r="AW28" i="21" s="1"/>
  <c r="AX28" i="21" s="1"/>
  <c r="T28" i="21" s="1"/>
  <c r="U29" i="21"/>
  <c r="AV29" i="21" s="1"/>
  <c r="AW29" i="21" s="1"/>
  <c r="AX29" i="21" s="1"/>
  <c r="T29" i="21" s="1"/>
  <c r="U30" i="21"/>
  <c r="AV30" i="21" s="1"/>
  <c r="AW30" i="21" s="1"/>
  <c r="AX30" i="21" s="1"/>
  <c r="T30" i="21" s="1"/>
  <c r="U31" i="21"/>
  <c r="AV31" i="21" s="1"/>
  <c r="AW31" i="21" s="1"/>
  <c r="AX31" i="21" s="1"/>
  <c r="T31" i="21" s="1"/>
  <c r="U32" i="21"/>
  <c r="AV32" i="21" s="1"/>
  <c r="AW32" i="21" s="1"/>
  <c r="AX32" i="21" s="1"/>
  <c r="T32" i="21" s="1"/>
  <c r="U33" i="21"/>
  <c r="AV33" i="21" s="1"/>
  <c r="AW33" i="21" s="1"/>
  <c r="AX33" i="21" s="1"/>
  <c r="T33" i="21" s="1"/>
  <c r="U34" i="21"/>
  <c r="AV34" i="21" s="1"/>
  <c r="AW34" i="21" s="1"/>
  <c r="AX34" i="21" s="1"/>
  <c r="T34" i="21" s="1"/>
  <c r="U35" i="21"/>
  <c r="AV35" i="21" s="1"/>
  <c r="AW35" i="21" s="1"/>
  <c r="AX35" i="21" s="1"/>
  <c r="T35" i="21" s="1"/>
  <c r="U36" i="21"/>
  <c r="AV36" i="21" s="1"/>
  <c r="AW36" i="21" s="1"/>
  <c r="AX36" i="21" s="1"/>
  <c r="T36" i="21" s="1"/>
  <c r="U37" i="21"/>
  <c r="AV37" i="21" s="1"/>
  <c r="AW37" i="21" s="1"/>
  <c r="AX37" i="21" s="1"/>
  <c r="T37" i="21" s="1"/>
  <c r="U38" i="21"/>
  <c r="AV38" i="21" s="1"/>
  <c r="AW38" i="21" s="1"/>
  <c r="AX38" i="21" s="1"/>
  <c r="T38" i="21" s="1"/>
  <c r="U39" i="21"/>
  <c r="AV39" i="21" s="1"/>
  <c r="AW39" i="21" s="1"/>
  <c r="AX39" i="21" s="1"/>
  <c r="T39" i="21" s="1"/>
  <c r="U40" i="21"/>
  <c r="AV40" i="21" s="1"/>
  <c r="AW40" i="21" s="1"/>
  <c r="AX40" i="21" s="1"/>
  <c r="T40" i="21" s="1"/>
  <c r="U41" i="21"/>
  <c r="AV41" i="21" s="1"/>
  <c r="AW41" i="21" s="1"/>
  <c r="AX41" i="21" s="1"/>
  <c r="T41" i="21" s="1"/>
  <c r="U42" i="21"/>
  <c r="AV42" i="21" s="1"/>
  <c r="AW42" i="21" s="1"/>
  <c r="AX42" i="21" s="1"/>
  <c r="T42" i="21" s="1"/>
  <c r="U43" i="21"/>
  <c r="AV43" i="21" s="1"/>
  <c r="AW43" i="21" s="1"/>
  <c r="AX43" i="21" s="1"/>
  <c r="T43" i="21" s="1"/>
  <c r="U44" i="21"/>
  <c r="AV44" i="21" s="1"/>
  <c r="AW44" i="21" s="1"/>
  <c r="AX44" i="21" s="1"/>
  <c r="T44" i="21" s="1"/>
  <c r="U45" i="21"/>
  <c r="AV45" i="21" s="1"/>
  <c r="AW45" i="21" s="1"/>
  <c r="AX45" i="21" s="1"/>
  <c r="T45" i="21" s="1"/>
  <c r="U46" i="21"/>
  <c r="AV46" i="21" s="1"/>
  <c r="AW46" i="21" s="1"/>
  <c r="AX46" i="21" s="1"/>
  <c r="T46" i="21" s="1"/>
  <c r="U47" i="21"/>
  <c r="AV47" i="21" s="1"/>
  <c r="AW47" i="21" s="1"/>
  <c r="AX47" i="21" s="1"/>
  <c r="T47" i="21" s="1"/>
  <c r="U48" i="21"/>
  <c r="AV48" i="21" s="1"/>
  <c r="AW48" i="21" s="1"/>
  <c r="AX48" i="21" s="1"/>
  <c r="T48" i="21" s="1"/>
  <c r="U49" i="21"/>
  <c r="AV49" i="21" s="1"/>
  <c r="AW49" i="21" s="1"/>
  <c r="AX49" i="21" s="1"/>
  <c r="T49" i="21" s="1"/>
  <c r="U50" i="21"/>
  <c r="AV50" i="21" s="1"/>
  <c r="AW50" i="21" s="1"/>
  <c r="AX50" i="21" s="1"/>
  <c r="T50" i="21" s="1"/>
  <c r="U51" i="21"/>
  <c r="AV51" i="21" s="1"/>
  <c r="AW51" i="21" s="1"/>
  <c r="AX51" i="21" s="1"/>
  <c r="T51" i="21" s="1"/>
  <c r="U52" i="21"/>
  <c r="AV52" i="21" s="1"/>
  <c r="AW52" i="21" s="1"/>
  <c r="AX52" i="21" s="1"/>
  <c r="T52" i="21" s="1"/>
  <c r="U53" i="21"/>
  <c r="AV53" i="21" s="1"/>
  <c r="AW53" i="21" s="1"/>
  <c r="AX53" i="21" s="1"/>
  <c r="T53" i="21" s="1"/>
  <c r="U54" i="21"/>
  <c r="AV54" i="21" s="1"/>
  <c r="AW54" i="21" s="1"/>
  <c r="AX54" i="21" s="1"/>
  <c r="T54" i="21" s="1"/>
  <c r="U55" i="21"/>
  <c r="AV55" i="21" s="1"/>
  <c r="AW55" i="21" s="1"/>
  <c r="AX55" i="21" s="1"/>
  <c r="T55" i="21" s="1"/>
  <c r="U56" i="21"/>
  <c r="AV56" i="21" s="1"/>
  <c r="AW56" i="21" s="1"/>
  <c r="AX56" i="21" s="1"/>
  <c r="T56" i="21" s="1"/>
  <c r="U57" i="21"/>
  <c r="AV57" i="21" s="1"/>
  <c r="AW57" i="21" s="1"/>
  <c r="AX57" i="21" s="1"/>
  <c r="T57" i="21" s="1"/>
  <c r="U8" i="21"/>
  <c r="AV8" i="21" s="1"/>
  <c r="AW8" i="21" s="1"/>
  <c r="AX8" i="21" s="1"/>
  <c r="AW17" i="21" l="1"/>
  <c r="AX17" i="21" s="1"/>
  <c r="T17" i="21" s="1"/>
  <c r="T8" i="21"/>
  <c r="AV9" i="21"/>
  <c r="AB57" i="21"/>
  <c r="AB56" i="21"/>
  <c r="AB55" i="21"/>
  <c r="AB54" i="21"/>
  <c r="AB53" i="21"/>
  <c r="AB52" i="21"/>
  <c r="AB51" i="21"/>
  <c r="AB50" i="21"/>
  <c r="AB49" i="21"/>
  <c r="AB48" i="21"/>
  <c r="AB47" i="21"/>
  <c r="AB46" i="21"/>
  <c r="AB45" i="21"/>
  <c r="AB44" i="21"/>
  <c r="AB43" i="21"/>
  <c r="AB42" i="21"/>
  <c r="AB41" i="21"/>
  <c r="AB40" i="21"/>
  <c r="AB39" i="21"/>
  <c r="AB38" i="21"/>
  <c r="AB37" i="21"/>
  <c r="AB36" i="21"/>
  <c r="AB35" i="21"/>
  <c r="AB34" i="21"/>
  <c r="AB33" i="21"/>
  <c r="AB32" i="21"/>
  <c r="AB31" i="21"/>
  <c r="AB30" i="21"/>
  <c r="AB29" i="21"/>
  <c r="AB28" i="21"/>
  <c r="AB27" i="21"/>
  <c r="AB26" i="21"/>
  <c r="AB25" i="21"/>
  <c r="AB24" i="21"/>
  <c r="AB23" i="21"/>
  <c r="AB22" i="21"/>
  <c r="AB21" i="21"/>
  <c r="AB20" i="21"/>
  <c r="AB19" i="21"/>
  <c r="AB18" i="21"/>
  <c r="AB17" i="21"/>
  <c r="AB16" i="21"/>
  <c r="AB15" i="21"/>
  <c r="AC14" i="21"/>
  <c r="AB14" i="21"/>
  <c r="AC13" i="21"/>
  <c r="AB13" i="21"/>
  <c r="AC12" i="21"/>
  <c r="AB12" i="21"/>
  <c r="AC11" i="21"/>
  <c r="AB11" i="21"/>
  <c r="AC10" i="21"/>
  <c r="AB10" i="21"/>
  <c r="AC9" i="21"/>
  <c r="AB9" i="21"/>
  <c r="AD8" i="21"/>
  <c r="AC8" i="21"/>
  <c r="AB8" i="21"/>
  <c r="I5" i="21"/>
  <c r="I4" i="21"/>
  <c r="I3" i="21"/>
  <c r="I2" i="21"/>
  <c r="I1" i="21"/>
  <c r="AD9" i="8"/>
  <c r="AF9" i="8" s="1"/>
  <c r="AD10" i="8"/>
  <c r="AC10" i="8" s="1"/>
  <c r="AD11" i="8"/>
  <c r="AC11" i="8" s="1"/>
  <c r="AD12" i="8"/>
  <c r="AF12" i="8" s="1"/>
  <c r="AD13" i="8"/>
  <c r="AC13" i="8" s="1"/>
  <c r="AD14" i="8"/>
  <c r="AF14" i="8" s="1"/>
  <c r="AD15" i="8"/>
  <c r="AC15" i="8" s="1"/>
  <c r="AD16" i="8"/>
  <c r="AF16" i="8" s="1"/>
  <c r="AD17" i="8"/>
  <c r="AF17" i="8" s="1"/>
  <c r="AD18" i="8"/>
  <c r="AF18" i="8" s="1"/>
  <c r="AD19" i="8"/>
  <c r="AC19" i="8" s="1"/>
  <c r="AD20" i="8"/>
  <c r="AF20" i="8" s="1"/>
  <c r="AD21" i="8"/>
  <c r="AF21" i="8" s="1"/>
  <c r="AD22" i="8"/>
  <c r="AF22" i="8" s="1"/>
  <c r="AD23" i="8"/>
  <c r="AC23" i="8" s="1"/>
  <c r="AD24" i="8"/>
  <c r="AF24" i="8" s="1"/>
  <c r="AD25" i="8"/>
  <c r="AF25" i="8" s="1"/>
  <c r="AD26" i="8"/>
  <c r="AF26" i="8" s="1"/>
  <c r="AD27" i="8"/>
  <c r="AC27" i="8" s="1"/>
  <c r="AD28" i="8"/>
  <c r="AF28" i="8" s="1"/>
  <c r="AD29" i="8"/>
  <c r="AC29" i="8" s="1"/>
  <c r="AD30" i="8"/>
  <c r="AF30" i="8" s="1"/>
  <c r="AD31" i="8"/>
  <c r="AC31" i="8" s="1"/>
  <c r="AD32" i="8"/>
  <c r="AF32" i="8" s="1"/>
  <c r="AD33" i="8"/>
  <c r="AF33" i="8" s="1"/>
  <c r="AD34" i="8"/>
  <c r="AF34" i="8" s="1"/>
  <c r="AD35" i="8"/>
  <c r="AC35" i="8" s="1"/>
  <c r="AD36" i="8"/>
  <c r="AF36" i="8" s="1"/>
  <c r="AD37" i="8"/>
  <c r="AF37" i="8" s="1"/>
  <c r="AD38" i="8"/>
  <c r="AF38" i="8" s="1"/>
  <c r="AD39" i="8"/>
  <c r="AC39" i="8" s="1"/>
  <c r="AD40" i="8"/>
  <c r="AF40" i="8" s="1"/>
  <c r="AD41" i="8"/>
  <c r="AF41" i="8" s="1"/>
  <c r="AD42" i="8"/>
  <c r="AF42" i="8" s="1"/>
  <c r="AD43" i="8"/>
  <c r="AC43" i="8" s="1"/>
  <c r="AD44" i="8"/>
  <c r="AF44" i="8" s="1"/>
  <c r="AD45" i="8"/>
  <c r="AC45" i="8" s="1"/>
  <c r="AD46" i="8"/>
  <c r="AF46" i="8" s="1"/>
  <c r="AD47" i="8"/>
  <c r="AC47" i="8" s="1"/>
  <c r="AD48" i="8"/>
  <c r="AF48" i="8" s="1"/>
  <c r="AD49" i="8"/>
  <c r="AF49" i="8" s="1"/>
  <c r="AD50" i="8"/>
  <c r="AF50" i="8" s="1"/>
  <c r="AD51" i="8"/>
  <c r="AC51" i="8" s="1"/>
  <c r="AD52" i="8"/>
  <c r="AF52" i="8" s="1"/>
  <c r="AD53" i="8"/>
  <c r="AF53" i="8" s="1"/>
  <c r="AD54" i="8"/>
  <c r="AF54" i="8" s="1"/>
  <c r="AD55" i="8"/>
  <c r="AC55" i="8" s="1"/>
  <c r="AD56" i="8"/>
  <c r="AF56" i="8" s="1"/>
  <c r="AD57" i="8"/>
  <c r="AF57" i="8" s="1"/>
  <c r="AD8" i="8"/>
  <c r="AF8" i="8" s="1"/>
  <c r="AW9" i="21" l="1"/>
  <c r="AX9" i="21" s="1"/>
  <c r="T9" i="21" s="1"/>
  <c r="AC57" i="8"/>
  <c r="AC25" i="8"/>
  <c r="AF29" i="8"/>
  <c r="AC33" i="8"/>
  <c r="AF45" i="8"/>
  <c r="AC41" i="8"/>
  <c r="AC9" i="8"/>
  <c r="AC49" i="8"/>
  <c r="AC17" i="8"/>
  <c r="AF13" i="8"/>
  <c r="AC52" i="8"/>
  <c r="AC44" i="8"/>
  <c r="AC36" i="8"/>
  <c r="AC28" i="8"/>
  <c r="AC20" i="8"/>
  <c r="AC12" i="8"/>
  <c r="AC53" i="8"/>
  <c r="AC37" i="8"/>
  <c r="AC21" i="8"/>
  <c r="AC56" i="8"/>
  <c r="AC48" i="8"/>
  <c r="AC40" i="8"/>
  <c r="AC32" i="8"/>
  <c r="AC24" i="8"/>
  <c r="AC16" i="8"/>
  <c r="AC8" i="8"/>
  <c r="AC54" i="8"/>
  <c r="AC50" i="8"/>
  <c r="AC46" i="8"/>
  <c r="AC42" i="8"/>
  <c r="AC38" i="8"/>
  <c r="AC34" i="8"/>
  <c r="AC30" i="8"/>
  <c r="AC26" i="8"/>
  <c r="AC22" i="8"/>
  <c r="AC18" i="8"/>
  <c r="AC14" i="8"/>
  <c r="AF55" i="8"/>
  <c r="AF51" i="8"/>
  <c r="AF47" i="8"/>
  <c r="AF43" i="8"/>
  <c r="AF39" i="8"/>
  <c r="AF35" i="8"/>
  <c r="AF31" i="8"/>
  <c r="AF27" i="8"/>
  <c r="AF23" i="8"/>
  <c r="AF19" i="8"/>
  <c r="AF15" i="8"/>
  <c r="AF11" i="8"/>
  <c r="AF10" i="8"/>
  <c r="AC16" i="21"/>
  <c r="AC15" i="21"/>
  <c r="AO9" i="8"/>
  <c r="AO10" i="8"/>
  <c r="AO11" i="8"/>
  <c r="AO12" i="8"/>
  <c r="AO13" i="8"/>
  <c r="AO14" i="8"/>
  <c r="AO15" i="8"/>
  <c r="AO16" i="8"/>
  <c r="AO17" i="8"/>
  <c r="AO18" i="8"/>
  <c r="AO19" i="8"/>
  <c r="AO20" i="8"/>
  <c r="AO21" i="8"/>
  <c r="AO22" i="8"/>
  <c r="AO23" i="8"/>
  <c r="AO24" i="8"/>
  <c r="AO25" i="8"/>
  <c r="AO26" i="8"/>
  <c r="AO27" i="8"/>
  <c r="AO28" i="8"/>
  <c r="AO29" i="8"/>
  <c r="AO30" i="8"/>
  <c r="AO31" i="8"/>
  <c r="AO32" i="8"/>
  <c r="AO33" i="8"/>
  <c r="AO34" i="8"/>
  <c r="AO35" i="8"/>
  <c r="AO36" i="8"/>
  <c r="AO37" i="8"/>
  <c r="AO38" i="8"/>
  <c r="AO39" i="8"/>
  <c r="AO40" i="8"/>
  <c r="AO41" i="8"/>
  <c r="AO42" i="8"/>
  <c r="AO43" i="8"/>
  <c r="AO44" i="8"/>
  <c r="AO45" i="8"/>
  <c r="AO46" i="8"/>
  <c r="AO47" i="8"/>
  <c r="AO48" i="8"/>
  <c r="AO49" i="8"/>
  <c r="AO50" i="8"/>
  <c r="AO51" i="8"/>
  <c r="AO52" i="8"/>
  <c r="AO53" i="8"/>
  <c r="AO54" i="8"/>
  <c r="AO55" i="8"/>
  <c r="AO56" i="8"/>
  <c r="AO57" i="8"/>
  <c r="AO8" i="8"/>
  <c r="AM9" i="8"/>
  <c r="AM10" i="8"/>
  <c r="AM11" i="8"/>
  <c r="AM12" i="8"/>
  <c r="AM13" i="8"/>
  <c r="AM14" i="8"/>
  <c r="AM15" i="8"/>
  <c r="AM16" i="8"/>
  <c r="AM17" i="8"/>
  <c r="AM18" i="8"/>
  <c r="AM19" i="8"/>
  <c r="AM20" i="8"/>
  <c r="AM21" i="8"/>
  <c r="AM22" i="8"/>
  <c r="AM23" i="8"/>
  <c r="AM24" i="8"/>
  <c r="AM25" i="8"/>
  <c r="AM26" i="8"/>
  <c r="AM27" i="8"/>
  <c r="AM28" i="8"/>
  <c r="AM29" i="8"/>
  <c r="AM30" i="8"/>
  <c r="AM31" i="8"/>
  <c r="AM32" i="8"/>
  <c r="AM33" i="8"/>
  <c r="AM34" i="8"/>
  <c r="AM35" i="8"/>
  <c r="AM36" i="8"/>
  <c r="AM37" i="8"/>
  <c r="AM38" i="8"/>
  <c r="AM39" i="8"/>
  <c r="AM40" i="8"/>
  <c r="AM41" i="8"/>
  <c r="AM42" i="8"/>
  <c r="AM43" i="8"/>
  <c r="AM44" i="8"/>
  <c r="AM45" i="8"/>
  <c r="AM46" i="8"/>
  <c r="AM47" i="8"/>
  <c r="AM48" i="8"/>
  <c r="AM49" i="8"/>
  <c r="AM50" i="8"/>
  <c r="AM51" i="8"/>
  <c r="AM52" i="8"/>
  <c r="AM53" i="8"/>
  <c r="AM54" i="8"/>
  <c r="AM55" i="8"/>
  <c r="AM56" i="8"/>
  <c r="AM57" i="8"/>
  <c r="AM8" i="8"/>
  <c r="EH10" i="5"/>
  <c r="EI10" i="5" s="1"/>
  <c r="EH11" i="5"/>
  <c r="EI11" i="5" s="1"/>
  <c r="EH12" i="5"/>
  <c r="EI12" i="5" s="1"/>
  <c r="EH13" i="5"/>
  <c r="EI13" i="5" s="1"/>
  <c r="EH14" i="5"/>
  <c r="EI14" i="5" s="1"/>
  <c r="EH15" i="5"/>
  <c r="EI15" i="5" s="1"/>
  <c r="EH16" i="5"/>
  <c r="EI16" i="5" s="1"/>
  <c r="EH17" i="5"/>
  <c r="EI17" i="5" s="1"/>
  <c r="EH18" i="5"/>
  <c r="EI18" i="5" s="1"/>
  <c r="EH19" i="5"/>
  <c r="EI19" i="5" s="1"/>
  <c r="EH20" i="5"/>
  <c r="EI20" i="5" s="1"/>
  <c r="EH21" i="5"/>
  <c r="EI21" i="5" s="1"/>
  <c r="EH22" i="5"/>
  <c r="EI22" i="5" s="1"/>
  <c r="EH23" i="5"/>
  <c r="EI23" i="5" s="1"/>
  <c r="EH9" i="5"/>
  <c r="EI9" i="5" s="1"/>
  <c r="AG9" i="14"/>
  <c r="AG10" i="14"/>
  <c r="AG11" i="14"/>
  <c r="AG12" i="14"/>
  <c r="AG13" i="14"/>
  <c r="AG14" i="14"/>
  <c r="AG15" i="14"/>
  <c r="AG16" i="14"/>
  <c r="AG17" i="14"/>
  <c r="AG18" i="14"/>
  <c r="AG19" i="14"/>
  <c r="AG20" i="14"/>
  <c r="AG21" i="14"/>
  <c r="AG22" i="14"/>
  <c r="AG23" i="14"/>
  <c r="AG24" i="14"/>
  <c r="AG25" i="14"/>
  <c r="AG26" i="14"/>
  <c r="AG27" i="14"/>
  <c r="AG28" i="14"/>
  <c r="AG29" i="14"/>
  <c r="AG30" i="14"/>
  <c r="AG31" i="14"/>
  <c r="AG32" i="14"/>
  <c r="AG33" i="14"/>
  <c r="AG34" i="14"/>
  <c r="AG35" i="14"/>
  <c r="AG36" i="14"/>
  <c r="AG37" i="14"/>
  <c r="AG38" i="14"/>
  <c r="AG39" i="14"/>
  <c r="AG40" i="14"/>
  <c r="AG41" i="14"/>
  <c r="AG42" i="14"/>
  <c r="AG43" i="14"/>
  <c r="AG44" i="14"/>
  <c r="AG45" i="14"/>
  <c r="AG46" i="14"/>
  <c r="AG47" i="14"/>
  <c r="AG48" i="14"/>
  <c r="AG49" i="14"/>
  <c r="AG50" i="14"/>
  <c r="AG51" i="14"/>
  <c r="AG52" i="14"/>
  <c r="AG53" i="14"/>
  <c r="AG54" i="14"/>
  <c r="AG55" i="14"/>
  <c r="AG56" i="14"/>
  <c r="AG57" i="14"/>
  <c r="AG8" i="14"/>
  <c r="EA10" i="5"/>
  <c r="EB10" i="5" s="1"/>
  <c r="EC10" i="5" s="1"/>
  <c r="EA11" i="5"/>
  <c r="EB11" i="5" s="1"/>
  <c r="EC11" i="5" s="1"/>
  <c r="EA12" i="5"/>
  <c r="EB12" i="5" s="1"/>
  <c r="EA13" i="5"/>
  <c r="EB13" i="5" s="1"/>
  <c r="EC13" i="5" s="1"/>
  <c r="EA14" i="5"/>
  <c r="EB14" i="5" s="1"/>
  <c r="EA15" i="5"/>
  <c r="EB15" i="5" s="1"/>
  <c r="EA16" i="5"/>
  <c r="EB16" i="5" s="1"/>
  <c r="EA17" i="5"/>
  <c r="EB17" i="5" s="1"/>
  <c r="EC17" i="5" s="1"/>
  <c r="EA18" i="5"/>
  <c r="EB18" i="5" s="1"/>
  <c r="EC18" i="5" s="1"/>
  <c r="EA19" i="5"/>
  <c r="EB19" i="5" s="1"/>
  <c r="EA20" i="5"/>
  <c r="EB20" i="5" s="1"/>
  <c r="EA21" i="5"/>
  <c r="EB21" i="5" s="1"/>
  <c r="EA22" i="5"/>
  <c r="EB22" i="5" s="1"/>
  <c r="EA23" i="5"/>
  <c r="EB23" i="5" s="1"/>
  <c r="EA9" i="5"/>
  <c r="EB9" i="5" s="1"/>
  <c r="DQ157" i="2"/>
  <c r="AB9" i="15"/>
  <c r="AB10" i="15"/>
  <c r="AB11" i="15"/>
  <c r="AB12" i="15"/>
  <c r="AB13" i="15"/>
  <c r="AB14" i="15"/>
  <c r="AB15" i="15"/>
  <c r="AB16" i="15"/>
  <c r="AB17" i="15"/>
  <c r="AB18" i="15"/>
  <c r="AB19" i="15"/>
  <c r="AB20" i="15"/>
  <c r="AB21" i="15"/>
  <c r="AB22" i="15"/>
  <c r="AB23" i="15"/>
  <c r="AB24" i="15"/>
  <c r="AB25" i="15"/>
  <c r="AB26" i="15"/>
  <c r="AB27" i="15"/>
  <c r="AB8" i="15"/>
  <c r="ED10" i="5"/>
  <c r="ED11" i="5"/>
  <c r="ED12" i="5"/>
  <c r="ED13" i="5"/>
  <c r="ED14" i="5"/>
  <c r="ED15" i="5"/>
  <c r="ED16" i="5"/>
  <c r="ED17" i="5"/>
  <c r="ED18" i="5"/>
  <c r="ED19" i="5"/>
  <c r="ED20" i="5"/>
  <c r="ED21" i="5"/>
  <c r="ED22" i="5"/>
  <c r="ED23" i="5"/>
  <c r="ED9" i="5"/>
  <c r="CP10" i="5"/>
  <c r="CP11" i="5"/>
  <c r="CP12" i="5"/>
  <c r="CP13" i="5"/>
  <c r="CP14" i="5"/>
  <c r="CP15" i="5"/>
  <c r="CP16" i="5"/>
  <c r="CP17" i="5"/>
  <c r="CP18" i="5"/>
  <c r="CP19" i="5"/>
  <c r="CP20" i="5"/>
  <c r="CP21" i="5"/>
  <c r="CP22" i="5"/>
  <c r="CP23" i="5"/>
  <c r="CP9" i="5"/>
  <c r="DI10" i="5"/>
  <c r="DJ10" i="5" s="1"/>
  <c r="DK10" i="5" s="1"/>
  <c r="DI11" i="5"/>
  <c r="DJ11" i="5" s="1"/>
  <c r="DK11" i="5" s="1"/>
  <c r="DI12" i="5"/>
  <c r="DJ12" i="5" s="1"/>
  <c r="DK12" i="5" s="1"/>
  <c r="DI13" i="5"/>
  <c r="DJ13" i="5" s="1"/>
  <c r="DK13" i="5" s="1"/>
  <c r="DI14" i="5"/>
  <c r="DJ14" i="5" s="1"/>
  <c r="DK14" i="5" s="1"/>
  <c r="DI15" i="5"/>
  <c r="DJ15" i="5" s="1"/>
  <c r="DK15" i="5" s="1"/>
  <c r="DI16" i="5"/>
  <c r="DJ16" i="5" s="1"/>
  <c r="DK16" i="5" s="1"/>
  <c r="DI17" i="5"/>
  <c r="DJ17" i="5" s="1"/>
  <c r="DK17" i="5" s="1"/>
  <c r="DI18" i="5"/>
  <c r="DJ18" i="5" s="1"/>
  <c r="DK18" i="5" s="1"/>
  <c r="DI19" i="5"/>
  <c r="DJ19" i="5" s="1"/>
  <c r="DK19" i="5" s="1"/>
  <c r="DI20" i="5"/>
  <c r="DJ20" i="5" s="1"/>
  <c r="DK20" i="5" s="1"/>
  <c r="DI21" i="5"/>
  <c r="DJ21" i="5" s="1"/>
  <c r="DK21" i="5" s="1"/>
  <c r="DI22" i="5"/>
  <c r="DJ22" i="5" s="1"/>
  <c r="DK22" i="5" s="1"/>
  <c r="DI23" i="5"/>
  <c r="DJ23" i="5" s="1"/>
  <c r="DK23" i="5" s="1"/>
  <c r="DI9" i="5"/>
  <c r="DJ9" i="5" s="1"/>
  <c r="DK9" i="5" s="1"/>
  <c r="CJ10" i="5"/>
  <c r="CK10" i="5" s="1"/>
  <c r="CJ11" i="5"/>
  <c r="CK11" i="5" s="1"/>
  <c r="CJ12" i="5"/>
  <c r="CK12" i="5" s="1"/>
  <c r="CJ13" i="5"/>
  <c r="CK13" i="5" s="1"/>
  <c r="CJ14" i="5"/>
  <c r="CK14" i="5" s="1"/>
  <c r="CJ15" i="5"/>
  <c r="CK15" i="5" s="1"/>
  <c r="CJ16" i="5"/>
  <c r="CK16" i="5" s="1"/>
  <c r="CJ17" i="5"/>
  <c r="CK17" i="5" s="1"/>
  <c r="CJ18" i="5"/>
  <c r="CK18" i="5" s="1"/>
  <c r="CJ19" i="5"/>
  <c r="CK19" i="5" s="1"/>
  <c r="CJ20" i="5"/>
  <c r="CK20" i="5" s="1"/>
  <c r="CJ21" i="5"/>
  <c r="CK21" i="5" s="1"/>
  <c r="CJ22" i="5"/>
  <c r="CK22" i="5" s="1"/>
  <c r="CJ23" i="5"/>
  <c r="CK23" i="5" s="1"/>
  <c r="CJ9" i="5"/>
  <c r="CK9" i="5" s="1"/>
  <c r="EC12" i="5"/>
  <c r="EC9" i="5"/>
  <c r="DQ156" i="2"/>
  <c r="EC14" i="5"/>
  <c r="EC15" i="5"/>
  <c r="EC16" i="5"/>
  <c r="EC19" i="5"/>
  <c r="EC20" i="5"/>
  <c r="EC21" i="5"/>
  <c r="EC22" i="5"/>
  <c r="EC23" i="5"/>
  <c r="H7" i="20"/>
  <c r="H6" i="20"/>
  <c r="H5" i="20"/>
  <c r="H4" i="20"/>
  <c r="G7" i="19"/>
  <c r="G6" i="19"/>
  <c r="G5" i="19"/>
  <c r="G4" i="19"/>
  <c r="DQ5" i="2"/>
  <c r="DQ6" i="2"/>
  <c r="DQ7" i="2"/>
  <c r="DQ8" i="2"/>
  <c r="DQ9" i="2"/>
  <c r="DQ10" i="2"/>
  <c r="DQ11" i="2"/>
  <c r="DQ12" i="2"/>
  <c r="DQ13" i="2"/>
  <c r="DQ14" i="2"/>
  <c r="DQ15" i="2"/>
  <c r="DQ16" i="2"/>
  <c r="DQ17" i="2"/>
  <c r="DQ18" i="2"/>
  <c r="DQ19" i="2"/>
  <c r="DQ20" i="2"/>
  <c r="DQ21" i="2"/>
  <c r="DQ22" i="2"/>
  <c r="DQ23" i="2"/>
  <c r="DQ24" i="2"/>
  <c r="DQ25" i="2"/>
  <c r="DQ26" i="2"/>
  <c r="DQ27" i="2"/>
  <c r="DQ28" i="2"/>
  <c r="DQ29" i="2"/>
  <c r="DQ30" i="2"/>
  <c r="DQ31" i="2"/>
  <c r="DQ32" i="2"/>
  <c r="DQ33" i="2"/>
  <c r="DQ34" i="2"/>
  <c r="DQ35" i="2"/>
  <c r="DQ36" i="2"/>
  <c r="DQ37" i="2"/>
  <c r="DQ38" i="2"/>
  <c r="DQ39" i="2"/>
  <c r="DQ40" i="2"/>
  <c r="DQ41" i="2"/>
  <c r="DQ42" i="2"/>
  <c r="DQ43" i="2"/>
  <c r="DQ44" i="2"/>
  <c r="DQ45" i="2"/>
  <c r="DQ46" i="2"/>
  <c r="DQ47" i="2"/>
  <c r="DQ48" i="2"/>
  <c r="DQ49" i="2"/>
  <c r="DQ50" i="2"/>
  <c r="DQ51" i="2"/>
  <c r="DQ52" i="2"/>
  <c r="DQ53" i="2"/>
  <c r="DQ54" i="2"/>
  <c r="DQ55" i="2"/>
  <c r="DQ56" i="2"/>
  <c r="DQ57" i="2"/>
  <c r="DQ58" i="2"/>
  <c r="DQ59" i="2"/>
  <c r="DQ60" i="2"/>
  <c r="DQ61" i="2"/>
  <c r="DQ62" i="2"/>
  <c r="DQ63" i="2"/>
  <c r="DQ64" i="2"/>
  <c r="DQ65" i="2"/>
  <c r="DQ66" i="2"/>
  <c r="DQ67" i="2"/>
  <c r="DQ68" i="2"/>
  <c r="DQ69" i="2"/>
  <c r="DQ70" i="2"/>
  <c r="DQ71" i="2"/>
  <c r="DQ72" i="2"/>
  <c r="DQ73" i="2"/>
  <c r="DQ74" i="2"/>
  <c r="DQ75" i="2"/>
  <c r="DQ76" i="2"/>
  <c r="DQ77" i="2"/>
  <c r="DQ78" i="2"/>
  <c r="DQ79" i="2"/>
  <c r="DQ80" i="2"/>
  <c r="DQ81" i="2"/>
  <c r="DQ82" i="2"/>
  <c r="DQ83" i="2"/>
  <c r="DQ84" i="2"/>
  <c r="DQ85" i="2"/>
  <c r="DQ86" i="2"/>
  <c r="DQ87" i="2"/>
  <c r="DQ88" i="2"/>
  <c r="DQ89" i="2"/>
  <c r="DQ90" i="2"/>
  <c r="DQ91" i="2"/>
  <c r="DQ92" i="2"/>
  <c r="DQ93" i="2"/>
  <c r="DQ94" i="2"/>
  <c r="DQ95" i="2"/>
  <c r="DQ96" i="2"/>
  <c r="DQ97" i="2"/>
  <c r="DQ98" i="2"/>
  <c r="DQ99" i="2"/>
  <c r="DQ100" i="2"/>
  <c r="DQ101" i="2"/>
  <c r="DQ102" i="2"/>
  <c r="DQ103" i="2"/>
  <c r="DQ104" i="2"/>
  <c r="DQ105" i="2"/>
  <c r="DQ106" i="2"/>
  <c r="DQ107" i="2"/>
  <c r="DQ108" i="2"/>
  <c r="DQ109" i="2"/>
  <c r="DQ110" i="2"/>
  <c r="DQ111" i="2"/>
  <c r="DQ112" i="2"/>
  <c r="DQ113" i="2"/>
  <c r="DQ114" i="2"/>
  <c r="DQ115" i="2"/>
  <c r="DQ116" i="2"/>
  <c r="DQ117" i="2"/>
  <c r="DQ118" i="2"/>
  <c r="DQ119" i="2"/>
  <c r="DQ120" i="2"/>
  <c r="DQ121" i="2"/>
  <c r="DQ122" i="2"/>
  <c r="DQ123" i="2"/>
  <c r="DQ124" i="2"/>
  <c r="DQ125" i="2"/>
  <c r="DQ126" i="2"/>
  <c r="DQ127" i="2"/>
  <c r="DQ128" i="2"/>
  <c r="DQ129" i="2"/>
  <c r="DQ130" i="2"/>
  <c r="DQ131" i="2"/>
  <c r="DQ132" i="2"/>
  <c r="DQ133" i="2"/>
  <c r="DQ134" i="2"/>
  <c r="DQ135" i="2"/>
  <c r="DQ136" i="2"/>
  <c r="DQ137" i="2"/>
  <c r="DQ138" i="2"/>
  <c r="DQ139" i="2"/>
  <c r="DQ140" i="2"/>
  <c r="DQ141" i="2"/>
  <c r="DQ142" i="2"/>
  <c r="DQ143" i="2"/>
  <c r="DQ144" i="2"/>
  <c r="DQ145" i="2"/>
  <c r="DQ146" i="2"/>
  <c r="DQ147" i="2"/>
  <c r="DQ148" i="2"/>
  <c r="DQ149" i="2"/>
  <c r="DQ150" i="2"/>
  <c r="DQ151" i="2"/>
  <c r="DQ152" i="2"/>
  <c r="DQ153" i="2"/>
  <c r="DQ154" i="2"/>
  <c r="DQ155" i="2"/>
  <c r="DZ10" i="5"/>
  <c r="AV10" i="5" s="1"/>
  <c r="DZ11" i="5"/>
  <c r="AV11" i="5" s="1"/>
  <c r="DZ12" i="5"/>
  <c r="AV12" i="5" s="1"/>
  <c r="DZ13" i="5"/>
  <c r="AV13" i="5" s="1"/>
  <c r="DZ14" i="5"/>
  <c r="AV14" i="5" s="1"/>
  <c r="DZ15" i="5"/>
  <c r="AV15" i="5" s="1"/>
  <c r="DZ16" i="5"/>
  <c r="AV16" i="5" s="1"/>
  <c r="DZ17" i="5"/>
  <c r="AV17" i="5" s="1"/>
  <c r="DZ18" i="5"/>
  <c r="AV18" i="5" s="1"/>
  <c r="DZ19" i="5"/>
  <c r="AV19" i="5" s="1"/>
  <c r="DZ20" i="5"/>
  <c r="AV20" i="5" s="1"/>
  <c r="DZ21" i="5"/>
  <c r="AV21" i="5" s="1"/>
  <c r="DZ22" i="5"/>
  <c r="AV22" i="5" s="1"/>
  <c r="DZ23" i="5"/>
  <c r="AV23" i="5" s="1"/>
  <c r="DZ9" i="5"/>
  <c r="AV9" i="5" s="1"/>
  <c r="DT10" i="5"/>
  <c r="DT11" i="5"/>
  <c r="DT12" i="5"/>
  <c r="DT13" i="5"/>
  <c r="DT14" i="5"/>
  <c r="DT15" i="5"/>
  <c r="DT16" i="5"/>
  <c r="DT17" i="5"/>
  <c r="DT18" i="5"/>
  <c r="DT19" i="5"/>
  <c r="DT20" i="5"/>
  <c r="DT21" i="5"/>
  <c r="DT22" i="5"/>
  <c r="DT23" i="5"/>
  <c r="DT9" i="5"/>
  <c r="DF10" i="5"/>
  <c r="DF11" i="5"/>
  <c r="DF12" i="5"/>
  <c r="DF13" i="5"/>
  <c r="DF14" i="5"/>
  <c r="DF15" i="5"/>
  <c r="DF16" i="5"/>
  <c r="DF17" i="5"/>
  <c r="DF18" i="5"/>
  <c r="DF19" i="5"/>
  <c r="DF20" i="5"/>
  <c r="DF21" i="5"/>
  <c r="DF22" i="5"/>
  <c r="DF23" i="5"/>
  <c r="DF9" i="5"/>
  <c r="AY12" i="5"/>
  <c r="AY13" i="5"/>
  <c r="AY16" i="5"/>
  <c r="AY19" i="5"/>
  <c r="AY20" i="5"/>
  <c r="AY21" i="5"/>
  <c r="AY22" i="5"/>
  <c r="AY23" i="5"/>
  <c r="AY9" i="5"/>
  <c r="BU10" i="5"/>
  <c r="BU11" i="5"/>
  <c r="BU12" i="5"/>
  <c r="BU13" i="5"/>
  <c r="BU14" i="5"/>
  <c r="BU15" i="5"/>
  <c r="BU16" i="5"/>
  <c r="BU17" i="5"/>
  <c r="BU18" i="5"/>
  <c r="BU19" i="5"/>
  <c r="BU20" i="5"/>
  <c r="BU21" i="5"/>
  <c r="BU22" i="5"/>
  <c r="BU23" i="5"/>
  <c r="BU9" i="5"/>
  <c r="BV10" i="5"/>
  <c r="BV11" i="5"/>
  <c r="BV12" i="5"/>
  <c r="BV13" i="5"/>
  <c r="BV14" i="5"/>
  <c r="BV15" i="5"/>
  <c r="BV16" i="5"/>
  <c r="BV17" i="5"/>
  <c r="BV18" i="5"/>
  <c r="BV19" i="5"/>
  <c r="BV20" i="5"/>
  <c r="BV21" i="5"/>
  <c r="BV22" i="5"/>
  <c r="BV23" i="5"/>
  <c r="CF10" i="5"/>
  <c r="CF11" i="5"/>
  <c r="CF12" i="5"/>
  <c r="CF13" i="5"/>
  <c r="CF14" i="5"/>
  <c r="CF15" i="5"/>
  <c r="CF16" i="5"/>
  <c r="CF17" i="5"/>
  <c r="CF18" i="5"/>
  <c r="CF19" i="5"/>
  <c r="CF20" i="5"/>
  <c r="CF21" i="5"/>
  <c r="CF22" i="5"/>
  <c r="CF23" i="5"/>
  <c r="BV9" i="5"/>
  <c r="CF9" i="5"/>
  <c r="BJ27" i="2"/>
  <c r="AY14" i="5" s="1"/>
  <c r="BF10" i="5"/>
  <c r="BF11" i="5"/>
  <c r="BF12" i="5"/>
  <c r="BF13" i="5"/>
  <c r="BF14" i="5"/>
  <c r="BF15" i="5"/>
  <c r="BF16" i="5"/>
  <c r="BF17" i="5"/>
  <c r="BF18" i="5"/>
  <c r="BF19" i="5"/>
  <c r="BF20" i="5"/>
  <c r="BF21" i="5"/>
  <c r="BF22" i="5"/>
  <c r="BF23" i="5"/>
  <c r="BF9" i="5"/>
  <c r="AW10" i="5"/>
  <c r="AX10" i="5" s="1"/>
  <c r="AW11" i="5"/>
  <c r="AX11" i="5" s="1"/>
  <c r="AW12" i="5"/>
  <c r="AX12" i="5" s="1"/>
  <c r="AW13" i="5"/>
  <c r="AX13" i="5" s="1"/>
  <c r="AW14" i="5"/>
  <c r="AX14" i="5" s="1"/>
  <c r="AW15" i="5"/>
  <c r="AX15" i="5" s="1"/>
  <c r="AW16" i="5"/>
  <c r="AX16" i="5" s="1"/>
  <c r="AW17" i="5"/>
  <c r="AX17" i="5" s="1"/>
  <c r="AW18" i="5"/>
  <c r="AX18" i="5" s="1"/>
  <c r="AW19" i="5"/>
  <c r="AX19" i="5" s="1"/>
  <c r="AW20" i="5"/>
  <c r="AX20" i="5" s="1"/>
  <c r="AW21" i="5"/>
  <c r="AX21" i="5" s="1"/>
  <c r="AW22" i="5"/>
  <c r="AX22" i="5" s="1"/>
  <c r="AW23" i="5"/>
  <c r="AX23" i="5" s="1"/>
  <c r="AW9" i="5"/>
  <c r="AX9" i="5" s="1"/>
  <c r="BJ29" i="2"/>
  <c r="BJ28" i="2"/>
  <c r="AY17" i="5" s="1"/>
  <c r="BJ26" i="2"/>
  <c r="AY15" i="5" s="1"/>
  <c r="BJ25" i="2"/>
  <c r="AY10" i="5" s="1"/>
  <c r="BJ24" i="2"/>
  <c r="AY18" i="5" s="1"/>
  <c r="BL11" i="5"/>
  <c r="BM11" i="5"/>
  <c r="BN11" i="5"/>
  <c r="BL12" i="5"/>
  <c r="BM12" i="5"/>
  <c r="BN12" i="5"/>
  <c r="BL13" i="5"/>
  <c r="BM13" i="5"/>
  <c r="BN13" i="5"/>
  <c r="BL14" i="5"/>
  <c r="BM14" i="5"/>
  <c r="BN14" i="5"/>
  <c r="BL15" i="5"/>
  <c r="BM15" i="5"/>
  <c r="BN15" i="5"/>
  <c r="BL16" i="5"/>
  <c r="BM16" i="5"/>
  <c r="DN16" i="5" s="1"/>
  <c r="BN16" i="5"/>
  <c r="BL18" i="5"/>
  <c r="BM18" i="5"/>
  <c r="BN18" i="5"/>
  <c r="BL19" i="5"/>
  <c r="BM19" i="5"/>
  <c r="BN19" i="5"/>
  <c r="BL20" i="5"/>
  <c r="BM20" i="5"/>
  <c r="BN20" i="5"/>
  <c r="BL21" i="5"/>
  <c r="BM21" i="5"/>
  <c r="BN21" i="5"/>
  <c r="BL22" i="5"/>
  <c r="BM22" i="5"/>
  <c r="BN22" i="5"/>
  <c r="BL23" i="5"/>
  <c r="BM23" i="5"/>
  <c r="BN23" i="5"/>
  <c r="BL9" i="5"/>
  <c r="BM9" i="5"/>
  <c r="BN9" i="5"/>
  <c r="BK10" i="5"/>
  <c r="BK11" i="5"/>
  <c r="BK12" i="5"/>
  <c r="BK13" i="5"/>
  <c r="BK14" i="5"/>
  <c r="BK15" i="5"/>
  <c r="BK16" i="5"/>
  <c r="BK17" i="5"/>
  <c r="BK18" i="5"/>
  <c r="BK19" i="5"/>
  <c r="BK20" i="5"/>
  <c r="BK21" i="5"/>
  <c r="BK22" i="5"/>
  <c r="BK23" i="5"/>
  <c r="BK9" i="5"/>
  <c r="BY10" i="5"/>
  <c r="BT10" i="5"/>
  <c r="BX10" i="5"/>
  <c r="DQ4" i="2"/>
  <c r="CI10" i="5"/>
  <c r="CI11" i="5"/>
  <c r="CI12" i="5"/>
  <c r="CI13" i="5"/>
  <c r="CI14" i="5"/>
  <c r="CI15" i="5"/>
  <c r="CI16" i="5"/>
  <c r="CI17" i="5"/>
  <c r="CI18" i="5"/>
  <c r="CI19" i="5"/>
  <c r="CI20" i="5"/>
  <c r="CI21" i="5"/>
  <c r="CI22" i="5"/>
  <c r="CI23" i="5"/>
  <c r="CI9" i="5"/>
  <c r="BB18" i="5"/>
  <c r="BC18" i="5" s="1"/>
  <c r="BB22" i="5"/>
  <c r="BB23" i="5"/>
  <c r="BC23" i="5" s="1"/>
  <c r="DV10" i="5"/>
  <c r="DV11" i="5"/>
  <c r="DV12" i="5"/>
  <c r="DV13" i="5"/>
  <c r="DV14" i="5"/>
  <c r="DV15" i="5"/>
  <c r="DV16" i="5"/>
  <c r="DV17" i="5"/>
  <c r="DV18" i="5"/>
  <c r="DV19" i="5"/>
  <c r="DV20" i="5"/>
  <c r="DV21" i="5"/>
  <c r="DV22" i="5"/>
  <c r="DV23" i="5"/>
  <c r="DV9" i="5"/>
  <c r="DU10" i="5"/>
  <c r="DU11" i="5"/>
  <c r="DU12" i="5"/>
  <c r="DU13" i="5"/>
  <c r="DU14" i="5"/>
  <c r="DU15" i="5"/>
  <c r="DU16" i="5"/>
  <c r="DU17" i="5"/>
  <c r="DU18" i="5"/>
  <c r="DU19" i="5"/>
  <c r="DU20" i="5"/>
  <c r="DU21" i="5"/>
  <c r="DU22" i="5"/>
  <c r="DU23" i="5"/>
  <c r="DU9" i="5"/>
  <c r="CV10" i="5"/>
  <c r="CV11" i="5"/>
  <c r="CY11" i="5" s="1"/>
  <c r="CV12" i="5"/>
  <c r="CV13" i="5"/>
  <c r="CY13" i="5" s="1"/>
  <c r="CV14" i="5"/>
  <c r="CV15" i="5"/>
  <c r="CY15" i="5" s="1"/>
  <c r="CV16" i="5"/>
  <c r="CY16" i="5" s="1"/>
  <c r="CV17" i="5"/>
  <c r="CY17" i="5" s="1"/>
  <c r="CV18" i="5"/>
  <c r="CY18" i="5" s="1"/>
  <c r="CV19" i="5"/>
  <c r="CV20" i="5"/>
  <c r="CV21" i="5"/>
  <c r="CV22" i="5"/>
  <c r="CV23" i="5"/>
  <c r="CV9" i="5"/>
  <c r="N5" i="5"/>
  <c r="N4" i="5"/>
  <c r="N3" i="5"/>
  <c r="N2" i="5"/>
  <c r="N1" i="5"/>
  <c r="BA9" i="8"/>
  <c r="BC9" i="8" s="1"/>
  <c r="BB9" i="8"/>
  <c r="BA10" i="8"/>
  <c r="BC10" i="8" s="1"/>
  <c r="BB10" i="8"/>
  <c r="BA11" i="8"/>
  <c r="BC11" i="8" s="1"/>
  <c r="BB11" i="8"/>
  <c r="BA12" i="8"/>
  <c r="BC12" i="8" s="1"/>
  <c r="BB12" i="8"/>
  <c r="BA13" i="8"/>
  <c r="BC13" i="8" s="1"/>
  <c r="BB13" i="8"/>
  <c r="BA14" i="8"/>
  <c r="BC14" i="8" s="1"/>
  <c r="BB14" i="8"/>
  <c r="BA15" i="8"/>
  <c r="BC15" i="8" s="1"/>
  <c r="BB15" i="8"/>
  <c r="BA16" i="8"/>
  <c r="BC16" i="8" s="1"/>
  <c r="BB16" i="8"/>
  <c r="BA17" i="8"/>
  <c r="BC17" i="8" s="1"/>
  <c r="BB17" i="8"/>
  <c r="BA18" i="8"/>
  <c r="BC18" i="8" s="1"/>
  <c r="BB18" i="8"/>
  <c r="BA19" i="8"/>
  <c r="BC19" i="8" s="1"/>
  <c r="BB19" i="8"/>
  <c r="BA20" i="8"/>
  <c r="BC20" i="8" s="1"/>
  <c r="BB20" i="8"/>
  <c r="BA21" i="8"/>
  <c r="BC21" i="8" s="1"/>
  <c r="BB21" i="8"/>
  <c r="BA22" i="8"/>
  <c r="BC22" i="8" s="1"/>
  <c r="BB22" i="8"/>
  <c r="BA23" i="8"/>
  <c r="BC23" i="8" s="1"/>
  <c r="BB23" i="8"/>
  <c r="BA24" i="8"/>
  <c r="BC24" i="8" s="1"/>
  <c r="BB24" i="8"/>
  <c r="BA25" i="8"/>
  <c r="BC25" i="8" s="1"/>
  <c r="BB25" i="8"/>
  <c r="BA26" i="8"/>
  <c r="BC26" i="8" s="1"/>
  <c r="BB26" i="8"/>
  <c r="BA27" i="8"/>
  <c r="BC27" i="8" s="1"/>
  <c r="BB27" i="8"/>
  <c r="BA28" i="8"/>
  <c r="BC28" i="8" s="1"/>
  <c r="BB28" i="8"/>
  <c r="BA29" i="8"/>
  <c r="BC29" i="8" s="1"/>
  <c r="BB29" i="8"/>
  <c r="BA30" i="8"/>
  <c r="BC30" i="8" s="1"/>
  <c r="BB30" i="8"/>
  <c r="BA31" i="8"/>
  <c r="BC31" i="8" s="1"/>
  <c r="BB31" i="8"/>
  <c r="BA32" i="8"/>
  <c r="BC32" i="8" s="1"/>
  <c r="BB32" i="8"/>
  <c r="BA33" i="8"/>
  <c r="BC33" i="8" s="1"/>
  <c r="BB33" i="8"/>
  <c r="BA34" i="8"/>
  <c r="BC34" i="8" s="1"/>
  <c r="BB34" i="8"/>
  <c r="BA35" i="8"/>
  <c r="BC35" i="8" s="1"/>
  <c r="BB35" i="8"/>
  <c r="BA36" i="8"/>
  <c r="BC36" i="8" s="1"/>
  <c r="BB36" i="8"/>
  <c r="BA37" i="8"/>
  <c r="BC37" i="8" s="1"/>
  <c r="BB37" i="8"/>
  <c r="BA38" i="8"/>
  <c r="BC38" i="8" s="1"/>
  <c r="BB38" i="8"/>
  <c r="BA39" i="8"/>
  <c r="BC39" i="8" s="1"/>
  <c r="BB39" i="8"/>
  <c r="BA40" i="8"/>
  <c r="BC40" i="8" s="1"/>
  <c r="BB40" i="8"/>
  <c r="BA41" i="8"/>
  <c r="BC41" i="8" s="1"/>
  <c r="BB41" i="8"/>
  <c r="BA42" i="8"/>
  <c r="BC42" i="8" s="1"/>
  <c r="BB42" i="8"/>
  <c r="BA43" i="8"/>
  <c r="BC43" i="8" s="1"/>
  <c r="BB43" i="8"/>
  <c r="BA44" i="8"/>
  <c r="BC44" i="8" s="1"/>
  <c r="BB44" i="8"/>
  <c r="BA45" i="8"/>
  <c r="BC45" i="8" s="1"/>
  <c r="BB45" i="8"/>
  <c r="BA46" i="8"/>
  <c r="BC46" i="8" s="1"/>
  <c r="BB46" i="8"/>
  <c r="BA47" i="8"/>
  <c r="BC47" i="8" s="1"/>
  <c r="BB47" i="8"/>
  <c r="BA48" i="8"/>
  <c r="BC48" i="8" s="1"/>
  <c r="BB48" i="8"/>
  <c r="BA49" i="8"/>
  <c r="BC49" i="8" s="1"/>
  <c r="BB49" i="8"/>
  <c r="BA50" i="8"/>
  <c r="BC50" i="8" s="1"/>
  <c r="BB50" i="8"/>
  <c r="BA51" i="8"/>
  <c r="BC51" i="8" s="1"/>
  <c r="BB51" i="8"/>
  <c r="BA52" i="8"/>
  <c r="BC52" i="8" s="1"/>
  <c r="BB52" i="8"/>
  <c r="BA53" i="8"/>
  <c r="BC53" i="8" s="1"/>
  <c r="BB53" i="8"/>
  <c r="BA54" i="8"/>
  <c r="BC54" i="8" s="1"/>
  <c r="BB54" i="8"/>
  <c r="BA55" i="8"/>
  <c r="BC55" i="8" s="1"/>
  <c r="BB55" i="8"/>
  <c r="BA56" i="8"/>
  <c r="BC56" i="8" s="1"/>
  <c r="BB56" i="8"/>
  <c r="BA57" i="8"/>
  <c r="BC57" i="8" s="1"/>
  <c r="BB57" i="8"/>
  <c r="AI9" i="8"/>
  <c r="AI10" i="8"/>
  <c r="AI11" i="8"/>
  <c r="AI12" i="8"/>
  <c r="AI13" i="8"/>
  <c r="AI14" i="8"/>
  <c r="AI15" i="8"/>
  <c r="AI16" i="8"/>
  <c r="AI17" i="8"/>
  <c r="AI18" i="8"/>
  <c r="AI19" i="8"/>
  <c r="AI20" i="8"/>
  <c r="AI21" i="8"/>
  <c r="AI22" i="8"/>
  <c r="AI23" i="8"/>
  <c r="AI24" i="8"/>
  <c r="AI25" i="8"/>
  <c r="AI26" i="8"/>
  <c r="AI27" i="8"/>
  <c r="AI28" i="8"/>
  <c r="AI29" i="8"/>
  <c r="AI30" i="8"/>
  <c r="AI31" i="8"/>
  <c r="AI32" i="8"/>
  <c r="AI33" i="8"/>
  <c r="AI34" i="8"/>
  <c r="AI35" i="8"/>
  <c r="AI36" i="8"/>
  <c r="AI37" i="8"/>
  <c r="AI38" i="8"/>
  <c r="AI39" i="8"/>
  <c r="AI40" i="8"/>
  <c r="AI41" i="8"/>
  <c r="AI42" i="8"/>
  <c r="AI43" i="8"/>
  <c r="AI44" i="8"/>
  <c r="AI45" i="8"/>
  <c r="AI46" i="8"/>
  <c r="AI47" i="8"/>
  <c r="AI48" i="8"/>
  <c r="AI49" i="8"/>
  <c r="AI50" i="8"/>
  <c r="AI51" i="8"/>
  <c r="AI52" i="8"/>
  <c r="AI53" i="8"/>
  <c r="AI54" i="8"/>
  <c r="AI55" i="8"/>
  <c r="AI56" i="8"/>
  <c r="AI57" i="8"/>
  <c r="BB8" i="8"/>
  <c r="BA8" i="8"/>
  <c r="BC8" i="8" s="1"/>
  <c r="AI8" i="8"/>
  <c r="AE14" i="15"/>
  <c r="AE13" i="15"/>
  <c r="AE12" i="15"/>
  <c r="AE11" i="15"/>
  <c r="AE10" i="15"/>
  <c r="AE9" i="15"/>
  <c r="AE8" i="15"/>
  <c r="AG14" i="8"/>
  <c r="AG13" i="8"/>
  <c r="AG12" i="8"/>
  <c r="AG11" i="8"/>
  <c r="AG10" i="8"/>
  <c r="AG9" i="8"/>
  <c r="AG8" i="8"/>
  <c r="AH8" i="8"/>
  <c r="AF8" i="15"/>
  <c r="AB14" i="14"/>
  <c r="AB13" i="14"/>
  <c r="AB12" i="14"/>
  <c r="AB11" i="14"/>
  <c r="AB10" i="14"/>
  <c r="AB9" i="14"/>
  <c r="AC8" i="14"/>
  <c r="AB8" i="14"/>
  <c r="AC8" i="13"/>
  <c r="AB14" i="13"/>
  <c r="AB12" i="13"/>
  <c r="AB11" i="13"/>
  <c r="AB10" i="13"/>
  <c r="AB9" i="13"/>
  <c r="AB13" i="13"/>
  <c r="AB8" i="13"/>
  <c r="DP10" i="5"/>
  <c r="DP11" i="5"/>
  <c r="DP12" i="5"/>
  <c r="DP13" i="5"/>
  <c r="DP14" i="5"/>
  <c r="DP15" i="5"/>
  <c r="DP16" i="5"/>
  <c r="DP17" i="5"/>
  <c r="DP18" i="5"/>
  <c r="DP19" i="5"/>
  <c r="DP20" i="5"/>
  <c r="DP21" i="5"/>
  <c r="DP22" i="5"/>
  <c r="DP23" i="5"/>
  <c r="DQ10" i="5"/>
  <c r="DR10" i="5"/>
  <c r="DS10" i="5"/>
  <c r="DQ11" i="5"/>
  <c r="DR11" i="5"/>
  <c r="DS11" i="5"/>
  <c r="DQ12" i="5"/>
  <c r="DR12" i="5"/>
  <c r="DS12" i="5"/>
  <c r="DQ13" i="5"/>
  <c r="DR13" i="5"/>
  <c r="DS13" i="5"/>
  <c r="DQ14" i="5"/>
  <c r="DR14" i="5"/>
  <c r="DS14" i="5"/>
  <c r="DQ15" i="5"/>
  <c r="DR15" i="5"/>
  <c r="DS15" i="5"/>
  <c r="DQ16" i="5"/>
  <c r="DR16" i="5"/>
  <c r="DS16" i="5"/>
  <c r="DQ17" i="5"/>
  <c r="DR17" i="5"/>
  <c r="DS17" i="5"/>
  <c r="DQ18" i="5"/>
  <c r="DR18" i="5"/>
  <c r="DS18" i="5"/>
  <c r="DQ19" i="5"/>
  <c r="DR19" i="5"/>
  <c r="DS19" i="5"/>
  <c r="DQ20" i="5"/>
  <c r="DR20" i="5"/>
  <c r="DS20" i="5"/>
  <c r="DQ21" i="5"/>
  <c r="DR21" i="5"/>
  <c r="DS21" i="5"/>
  <c r="DQ22" i="5"/>
  <c r="DR22" i="5"/>
  <c r="DS22" i="5"/>
  <c r="DQ23" i="5"/>
  <c r="DR23" i="5"/>
  <c r="DS23" i="5"/>
  <c r="DS9" i="5"/>
  <c r="DR9" i="5"/>
  <c r="DQ9" i="5"/>
  <c r="DP9" i="5"/>
  <c r="DE10" i="5"/>
  <c r="DE11" i="5"/>
  <c r="DE12" i="5"/>
  <c r="DE13" i="5"/>
  <c r="DE14" i="5"/>
  <c r="DE15" i="5"/>
  <c r="DE16" i="5"/>
  <c r="DE17" i="5"/>
  <c r="DE18" i="5"/>
  <c r="DE19" i="5"/>
  <c r="DE20" i="5"/>
  <c r="DE21" i="5"/>
  <c r="DE22" i="5"/>
  <c r="DE23" i="5"/>
  <c r="DE9" i="5"/>
  <c r="DA10" i="5"/>
  <c r="DA11" i="5"/>
  <c r="DA12" i="5"/>
  <c r="DA13" i="5"/>
  <c r="DA14" i="5"/>
  <c r="DA15" i="5"/>
  <c r="DA16" i="5"/>
  <c r="DA17" i="5"/>
  <c r="DA18" i="5"/>
  <c r="DA19" i="5"/>
  <c r="DA20" i="5"/>
  <c r="DA21" i="5"/>
  <c r="DA22" i="5"/>
  <c r="DA23" i="5"/>
  <c r="DA9" i="5"/>
  <c r="CZ10" i="5"/>
  <c r="CZ11" i="5"/>
  <c r="CZ12" i="5"/>
  <c r="CZ13" i="5"/>
  <c r="CZ14" i="5"/>
  <c r="CZ15" i="5"/>
  <c r="CZ16" i="5"/>
  <c r="CZ17" i="5"/>
  <c r="CZ18" i="5"/>
  <c r="CZ19" i="5"/>
  <c r="CZ20" i="5"/>
  <c r="CZ21" i="5"/>
  <c r="CZ22" i="5"/>
  <c r="CZ23" i="5"/>
  <c r="CB10" i="5"/>
  <c r="CG10" i="5"/>
  <c r="CH10" i="5" s="1"/>
  <c r="CB11" i="5"/>
  <c r="CG11" i="5"/>
  <c r="CH11" i="5" s="1"/>
  <c r="CB12" i="5"/>
  <c r="CG12" i="5"/>
  <c r="CH12" i="5" s="1"/>
  <c r="CB13" i="5"/>
  <c r="CG13" i="5"/>
  <c r="CH13" i="5" s="1"/>
  <c r="CB14" i="5"/>
  <c r="CG14" i="5"/>
  <c r="CH14" i="5" s="1"/>
  <c r="CB15" i="5"/>
  <c r="CG15" i="5"/>
  <c r="CH15" i="5" s="1"/>
  <c r="CB16" i="5"/>
  <c r="CG16" i="5"/>
  <c r="CH16" i="5" s="1"/>
  <c r="CB17" i="5"/>
  <c r="CG17" i="5"/>
  <c r="CH17" i="5" s="1"/>
  <c r="CB18" i="5"/>
  <c r="CG18" i="5"/>
  <c r="CH18" i="5" s="1"/>
  <c r="CB19" i="5"/>
  <c r="CG19" i="5"/>
  <c r="CH19" i="5" s="1"/>
  <c r="CB20" i="5"/>
  <c r="CG20" i="5"/>
  <c r="CH20" i="5" s="1"/>
  <c r="CB21" i="5"/>
  <c r="CG21" i="5"/>
  <c r="CH21" i="5" s="1"/>
  <c r="CB22" i="5"/>
  <c r="CG22" i="5"/>
  <c r="CH22" i="5" s="1"/>
  <c r="CB23" i="5"/>
  <c r="CG23" i="5"/>
  <c r="CH23" i="5" s="1"/>
  <c r="CZ9" i="5"/>
  <c r="CQ23" i="5"/>
  <c r="CR23" i="5"/>
  <c r="CQ20" i="5"/>
  <c r="CS20" i="5" s="1"/>
  <c r="CR20" i="5"/>
  <c r="CQ21" i="5"/>
  <c r="CR21" i="5"/>
  <c r="CQ22" i="5"/>
  <c r="CS22" i="5" s="1"/>
  <c r="CR22" i="5"/>
  <c r="CQ10" i="5"/>
  <c r="CR10" i="5"/>
  <c r="CQ11" i="5"/>
  <c r="CR11" i="5"/>
  <c r="CQ12" i="5"/>
  <c r="CR12" i="5"/>
  <c r="CQ13" i="5"/>
  <c r="CR13" i="5"/>
  <c r="CQ14" i="5"/>
  <c r="CR14" i="5"/>
  <c r="CQ15" i="5"/>
  <c r="CR15" i="5"/>
  <c r="CQ16" i="5"/>
  <c r="CR16" i="5"/>
  <c r="CQ17" i="5"/>
  <c r="CR17" i="5"/>
  <c r="CQ18" i="5"/>
  <c r="CR18" i="5"/>
  <c r="CQ19" i="5"/>
  <c r="CR19" i="5"/>
  <c r="CR9" i="5"/>
  <c r="CQ9" i="5"/>
  <c r="CN9" i="5"/>
  <c r="CN12" i="5"/>
  <c r="CN11" i="5"/>
  <c r="CN10" i="5"/>
  <c r="CG9" i="5"/>
  <c r="CH9" i="5" s="1"/>
  <c r="BP10" i="5"/>
  <c r="BP11" i="5"/>
  <c r="BP12" i="5"/>
  <c r="BP13" i="5"/>
  <c r="BP14" i="5"/>
  <c r="BP15" i="5"/>
  <c r="BP16" i="5"/>
  <c r="BP17" i="5"/>
  <c r="BP18" i="5"/>
  <c r="BP19" i="5"/>
  <c r="BP20" i="5"/>
  <c r="BP21" i="5"/>
  <c r="BP22" i="5"/>
  <c r="BP23" i="5"/>
  <c r="BP9" i="5"/>
  <c r="AC4" i="5"/>
  <c r="CB9" i="5"/>
  <c r="BY23" i="5"/>
  <c r="BX23" i="5"/>
  <c r="BW23" i="5"/>
  <c r="BY22" i="5"/>
  <c r="BX22" i="5"/>
  <c r="BW22" i="5"/>
  <c r="BY21" i="5"/>
  <c r="BX21" i="5"/>
  <c r="BW21" i="5"/>
  <c r="BY20" i="5"/>
  <c r="BX20" i="5"/>
  <c r="BW20" i="5"/>
  <c r="BY19" i="5"/>
  <c r="BX19" i="5"/>
  <c r="BW19" i="5"/>
  <c r="BY18" i="5"/>
  <c r="BX18" i="5"/>
  <c r="BW18" i="5"/>
  <c r="BY17" i="5"/>
  <c r="BX17" i="5"/>
  <c r="BW17" i="5"/>
  <c r="BY16" i="5"/>
  <c r="BX16" i="5"/>
  <c r="BW16" i="5"/>
  <c r="BY15" i="5"/>
  <c r="BX15" i="5"/>
  <c r="BW15" i="5"/>
  <c r="BY14" i="5"/>
  <c r="BX14" i="5"/>
  <c r="BW14" i="5"/>
  <c r="BY13" i="5"/>
  <c r="BX13" i="5"/>
  <c r="BW13" i="5"/>
  <c r="BY12" i="5"/>
  <c r="BX12" i="5"/>
  <c r="BW12" i="5"/>
  <c r="BY11" i="5"/>
  <c r="BX11" i="5"/>
  <c r="BW11" i="5"/>
  <c r="BW10" i="5"/>
  <c r="BY9" i="5"/>
  <c r="AU9" i="5" s="1"/>
  <c r="BX9" i="5"/>
  <c r="BW9" i="5"/>
  <c r="BT23" i="5"/>
  <c r="BT22" i="5"/>
  <c r="BT21" i="5"/>
  <c r="BT20" i="5"/>
  <c r="BT19" i="5"/>
  <c r="BT18" i="5"/>
  <c r="BT17" i="5"/>
  <c r="AU17" i="5" s="1"/>
  <c r="BT16" i="5"/>
  <c r="BT15" i="5"/>
  <c r="BT14" i="5"/>
  <c r="BT13" i="5"/>
  <c r="AU13" i="5" s="1"/>
  <c r="BT12" i="5"/>
  <c r="BT11" i="5"/>
  <c r="BT9" i="5"/>
  <c r="BO10" i="5"/>
  <c r="BO11" i="5"/>
  <c r="BO12" i="5"/>
  <c r="BO13" i="5"/>
  <c r="BO14" i="5"/>
  <c r="BO15" i="5"/>
  <c r="BO16" i="5"/>
  <c r="BO17" i="5"/>
  <c r="BO18" i="5"/>
  <c r="BO19" i="5"/>
  <c r="BO20" i="5"/>
  <c r="BO21" i="5"/>
  <c r="BO22" i="5"/>
  <c r="BO23" i="5"/>
  <c r="BO9" i="5"/>
  <c r="BS10" i="5"/>
  <c r="BS11" i="5"/>
  <c r="BS12" i="5"/>
  <c r="BS13" i="5"/>
  <c r="BS14" i="5"/>
  <c r="BS15" i="5"/>
  <c r="BS16" i="5"/>
  <c r="BS17" i="5"/>
  <c r="BS18" i="5"/>
  <c r="BS19" i="5"/>
  <c r="BS20" i="5"/>
  <c r="BS21" i="5"/>
  <c r="BS22" i="5"/>
  <c r="BS23" i="5"/>
  <c r="BL10" i="5"/>
  <c r="BM10" i="5"/>
  <c r="BN10" i="5"/>
  <c r="BL17" i="5"/>
  <c r="BM17" i="5"/>
  <c r="BN17" i="5"/>
  <c r="AZ9" i="15"/>
  <c r="BA9" i="15"/>
  <c r="AZ10" i="15"/>
  <c r="BA10" i="15"/>
  <c r="AZ11" i="15"/>
  <c r="BA11" i="15"/>
  <c r="AZ12" i="15"/>
  <c r="BA12" i="15"/>
  <c r="AZ13" i="15"/>
  <c r="BA13" i="15"/>
  <c r="AZ14" i="15"/>
  <c r="BA14" i="15"/>
  <c r="AZ15" i="15"/>
  <c r="BA15" i="15"/>
  <c r="AZ16" i="15"/>
  <c r="BA16" i="15"/>
  <c r="AZ17" i="15"/>
  <c r="BA17" i="15"/>
  <c r="AZ18" i="15"/>
  <c r="BA18" i="15"/>
  <c r="AZ19" i="15"/>
  <c r="BA19" i="15"/>
  <c r="AZ20" i="15"/>
  <c r="BA20" i="15"/>
  <c r="AZ21" i="15"/>
  <c r="BA21" i="15"/>
  <c r="AZ22" i="15"/>
  <c r="BA22" i="15"/>
  <c r="AZ23" i="15"/>
  <c r="BA23" i="15"/>
  <c r="AZ24" i="15"/>
  <c r="BA24" i="15"/>
  <c r="AZ25" i="15"/>
  <c r="BA25" i="15"/>
  <c r="AZ26" i="15"/>
  <c r="BA26" i="15"/>
  <c r="AZ27" i="15"/>
  <c r="BA27" i="15"/>
  <c r="BA8" i="15"/>
  <c r="BS9" i="5"/>
  <c r="BQ10" i="5"/>
  <c r="BQ11" i="5"/>
  <c r="BQ12" i="5"/>
  <c r="BQ13" i="5"/>
  <c r="BQ14" i="5"/>
  <c r="BQ15" i="5"/>
  <c r="BQ16" i="5"/>
  <c r="BR16" i="5" s="1"/>
  <c r="BQ17" i="5"/>
  <c r="BQ18" i="5"/>
  <c r="BQ19" i="5"/>
  <c r="BQ20" i="5"/>
  <c r="BR20" i="5" s="1"/>
  <c r="BQ21" i="5"/>
  <c r="BQ22" i="5"/>
  <c r="BQ23" i="5"/>
  <c r="AZ8" i="15"/>
  <c r="BQ9" i="5"/>
  <c r="BI10" i="5"/>
  <c r="BI11" i="5"/>
  <c r="BI12" i="5"/>
  <c r="BI13" i="5"/>
  <c r="BI14" i="5"/>
  <c r="BI15" i="5"/>
  <c r="BI16" i="5"/>
  <c r="BI17" i="5"/>
  <c r="BI18" i="5"/>
  <c r="BI19" i="5"/>
  <c r="BI20" i="5"/>
  <c r="BI21" i="5"/>
  <c r="BI22" i="5"/>
  <c r="BI23" i="5"/>
  <c r="BI9" i="5"/>
  <c r="N1" i="14"/>
  <c r="AD9" i="15"/>
  <c r="AD10" i="15"/>
  <c r="AD11" i="15"/>
  <c r="AD12" i="15"/>
  <c r="AD13" i="15"/>
  <c r="AD14" i="15"/>
  <c r="AD15" i="15"/>
  <c r="AD16" i="15"/>
  <c r="AD17" i="15"/>
  <c r="AD18" i="15"/>
  <c r="AD19" i="15"/>
  <c r="AD20" i="15"/>
  <c r="AD21" i="15"/>
  <c r="AD22" i="15"/>
  <c r="AD23" i="15"/>
  <c r="AD24" i="15"/>
  <c r="AD25" i="15"/>
  <c r="AD26" i="15"/>
  <c r="AD27" i="15"/>
  <c r="AD8" i="15"/>
  <c r="AC9" i="15"/>
  <c r="AC10" i="15"/>
  <c r="AC11" i="15"/>
  <c r="AC12" i="15"/>
  <c r="AC13" i="15"/>
  <c r="AC14" i="15"/>
  <c r="AC15" i="15"/>
  <c r="AC16" i="15"/>
  <c r="AC17" i="15"/>
  <c r="AC18" i="15"/>
  <c r="AC19" i="15"/>
  <c r="AC20" i="15"/>
  <c r="AC21" i="15"/>
  <c r="AC22" i="15"/>
  <c r="AC23" i="15"/>
  <c r="AC24" i="15"/>
  <c r="AC25" i="15"/>
  <c r="AC26" i="15"/>
  <c r="AC27" i="15"/>
  <c r="AC8" i="15"/>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45" i="14"/>
  <c r="AA46" i="14"/>
  <c r="AA47" i="14"/>
  <c r="AA48" i="14"/>
  <c r="AA49" i="14"/>
  <c r="AA50" i="14"/>
  <c r="AA51" i="14"/>
  <c r="AA52" i="14"/>
  <c r="AA53" i="14"/>
  <c r="AA54" i="14"/>
  <c r="AA55" i="14"/>
  <c r="AA56" i="14"/>
  <c r="AA57" i="14"/>
  <c r="AA8" i="14"/>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40" i="13"/>
  <c r="AA41" i="13"/>
  <c r="AA42" i="13"/>
  <c r="AA43" i="13"/>
  <c r="AA44" i="13"/>
  <c r="AA45" i="13"/>
  <c r="AA46" i="13"/>
  <c r="AA47" i="13"/>
  <c r="AA48" i="13"/>
  <c r="AA49" i="13"/>
  <c r="AA50" i="13"/>
  <c r="AA51" i="13"/>
  <c r="AA52" i="13"/>
  <c r="AA53" i="13"/>
  <c r="AA54" i="13"/>
  <c r="AA55" i="13"/>
  <c r="AA56" i="13"/>
  <c r="AA57" i="13"/>
  <c r="AA8" i="13"/>
  <c r="BB21" i="5"/>
  <c r="BB20" i="5"/>
  <c r="BB19" i="5"/>
  <c r="BB17" i="5"/>
  <c r="BC17" i="5" s="1"/>
  <c r="BB16" i="5"/>
  <c r="BC16" i="5" s="1"/>
  <c r="BB15" i="5"/>
  <c r="BC15" i="5" s="1"/>
  <c r="BB14" i="5"/>
  <c r="BB13" i="5"/>
  <c r="BC13" i="5" s="1"/>
  <c r="BB12" i="5"/>
  <c r="BC12" i="5" s="1"/>
  <c r="BB11" i="5"/>
  <c r="BC11" i="5" s="1"/>
  <c r="BB10" i="5"/>
  <c r="BC10" i="5" s="1"/>
  <c r="AZ10" i="5"/>
  <c r="BB9" i="5"/>
  <c r="BC9" i="5" s="1"/>
  <c r="BG23" i="5"/>
  <c r="BG22" i="5"/>
  <c r="BG21" i="5"/>
  <c r="BG20" i="5"/>
  <c r="BG19" i="5"/>
  <c r="BG18" i="5"/>
  <c r="BG17" i="5"/>
  <c r="BG16" i="5"/>
  <c r="BG15" i="5"/>
  <c r="BG14" i="5"/>
  <c r="BG13" i="5"/>
  <c r="BG12" i="5"/>
  <c r="BG11" i="5"/>
  <c r="BG10" i="5"/>
  <c r="BG9" i="5"/>
  <c r="AD9" i="5"/>
  <c r="AY27" i="15"/>
  <c r="AY26" i="15"/>
  <c r="AY25" i="15"/>
  <c r="AY24" i="15"/>
  <c r="AY23" i="15"/>
  <c r="AY22" i="15"/>
  <c r="AY21" i="15"/>
  <c r="AY20" i="15"/>
  <c r="AY19" i="15"/>
  <c r="AY18" i="15"/>
  <c r="AY17" i="15"/>
  <c r="AY16" i="15"/>
  <c r="AY15" i="15"/>
  <c r="AY14" i="15"/>
  <c r="AY13" i="15"/>
  <c r="AY12" i="15"/>
  <c r="AY11" i="15"/>
  <c r="AY10" i="15"/>
  <c r="T10" i="15" s="1"/>
  <c r="AY9" i="15"/>
  <c r="AY8" i="15"/>
  <c r="T8" i="15" s="1"/>
  <c r="AZ20" i="5"/>
  <c r="AZ21" i="5"/>
  <c r="AZ22" i="5"/>
  <c r="AD22" i="5"/>
  <c r="AD21" i="5"/>
  <c r="AD20" i="5"/>
  <c r="AZ9" i="5"/>
  <c r="AZ11" i="5"/>
  <c r="AZ12" i="5"/>
  <c r="AZ13" i="5"/>
  <c r="AZ14" i="5"/>
  <c r="AZ15" i="5"/>
  <c r="AZ16" i="5"/>
  <c r="AZ17" i="5"/>
  <c r="AZ18" i="5"/>
  <c r="AZ19" i="5"/>
  <c r="AZ23" i="5"/>
  <c r="N5" i="15"/>
  <c r="N4" i="15"/>
  <c r="N2" i="15"/>
  <c r="N1" i="15"/>
  <c r="N5" i="14"/>
  <c r="N4" i="14"/>
  <c r="N2" i="14"/>
  <c r="N5" i="13"/>
  <c r="N4" i="13"/>
  <c r="N2" i="13"/>
  <c r="N1" i="13"/>
  <c r="N5" i="8"/>
  <c r="N4" i="8"/>
  <c r="N2" i="8"/>
  <c r="N1" i="8"/>
  <c r="D16" i="18"/>
  <c r="D15" i="18"/>
  <c r="D17" i="18"/>
  <c r="AD23" i="5"/>
  <c r="AD19" i="5"/>
  <c r="AD18" i="5"/>
  <c r="AD17" i="5"/>
  <c r="AD16" i="5"/>
  <c r="AD15" i="5"/>
  <c r="AD14" i="5"/>
  <c r="AD13" i="5"/>
  <c r="AD12" i="5"/>
  <c r="AD11" i="5"/>
  <c r="AD10" i="5"/>
  <c r="N3" i="8"/>
  <c r="N3" i="14"/>
  <c r="N3" i="15"/>
  <c r="N3" i="13"/>
  <c r="DN9" i="5" l="1"/>
  <c r="DN20" i="5"/>
  <c r="CS21" i="5"/>
  <c r="DN17" i="5"/>
  <c r="BR23" i="5"/>
  <c r="BR15" i="5"/>
  <c r="DN12" i="5"/>
  <c r="BR22" i="5"/>
  <c r="BR18" i="5"/>
  <c r="BR14" i="5"/>
  <c r="CS23" i="5"/>
  <c r="EN23" i="5" s="1"/>
  <c r="CD19" i="5"/>
  <c r="BC19" i="5"/>
  <c r="BD20" i="5"/>
  <c r="BC20" i="5"/>
  <c r="BH20" i="5" s="1"/>
  <c r="BR19" i="5"/>
  <c r="DN13" i="5"/>
  <c r="CD21" i="5"/>
  <c r="BC21" i="5"/>
  <c r="BH21" i="5" s="1"/>
  <c r="CD22" i="5"/>
  <c r="BC22" i="5"/>
  <c r="BH22" i="5" s="1"/>
  <c r="BR21" i="5"/>
  <c r="BR17" i="5"/>
  <c r="BR13" i="5"/>
  <c r="DN22" i="5"/>
  <c r="DN19" i="5"/>
  <c r="DO19" i="5" s="1"/>
  <c r="DN14" i="5"/>
  <c r="DO14" i="5" s="1"/>
  <c r="DN21" i="5"/>
  <c r="DO21" i="5" s="1"/>
  <c r="DN18" i="5"/>
  <c r="DN23" i="5"/>
  <c r="DN15" i="5"/>
  <c r="DO15" i="5" s="1"/>
  <c r="CS17" i="5"/>
  <c r="EN17" i="5" s="1"/>
  <c r="AU11" i="5"/>
  <c r="DN10" i="5"/>
  <c r="DO10" i="5" s="1"/>
  <c r="AU16" i="5"/>
  <c r="AU15" i="5"/>
  <c r="AU14" i="5"/>
  <c r="AU10" i="5"/>
  <c r="AU18" i="5"/>
  <c r="BD14" i="5"/>
  <c r="BC14" i="5"/>
  <c r="BH14" i="5" s="1"/>
  <c r="AU12" i="5"/>
  <c r="CS13" i="5"/>
  <c r="CT13" i="5" s="1"/>
  <c r="AY11" i="5"/>
  <c r="BD17" i="5"/>
  <c r="BD18" i="5"/>
  <c r="CD17" i="5"/>
  <c r="BD15" i="5"/>
  <c r="BH15" i="5"/>
  <c r="CD14" i="5"/>
  <c r="BD12" i="5"/>
  <c r="BH12" i="5"/>
  <c r="BD9" i="5"/>
  <c r="BH9" i="5"/>
  <c r="CD13" i="5"/>
  <c r="BH13" i="5"/>
  <c r="CD18" i="5"/>
  <c r="CS19" i="5"/>
  <c r="EN19" i="5" s="1"/>
  <c r="CS15" i="5"/>
  <c r="EN15" i="5" s="1"/>
  <c r="CS18" i="5"/>
  <c r="EN18" i="5" s="1"/>
  <c r="CS16" i="5"/>
  <c r="CT16" i="5" s="1"/>
  <c r="BD19" i="5"/>
  <c r="BH19" i="5"/>
  <c r="BH18" i="5"/>
  <c r="BD16" i="5"/>
  <c r="CD16" i="5"/>
  <c r="CS14" i="5"/>
  <c r="EN14" i="5" s="1"/>
  <c r="EN22" i="5"/>
  <c r="CT22" i="5"/>
  <c r="DO23" i="5"/>
  <c r="CD15" i="5"/>
  <c r="BH17" i="5"/>
  <c r="DO22" i="5"/>
  <c r="DO18" i="5"/>
  <c r="EN20" i="5"/>
  <c r="CT20" i="5"/>
  <c r="CD23" i="5"/>
  <c r="EN21" i="5"/>
  <c r="CT21" i="5"/>
  <c r="BH23" i="5"/>
  <c r="BH16" i="5"/>
  <c r="DO17" i="5"/>
  <c r="DO13" i="5"/>
  <c r="BD23" i="5"/>
  <c r="CD20" i="5"/>
  <c r="DN11" i="5"/>
  <c r="DO11" i="5" s="1"/>
  <c r="DO20" i="5"/>
  <c r="DO16" i="5"/>
  <c r="DO12" i="5"/>
  <c r="BR11" i="5"/>
  <c r="CS12" i="5"/>
  <c r="CT12" i="5" s="1"/>
  <c r="BR12" i="5"/>
  <c r="CS11" i="5"/>
  <c r="CT11" i="5" s="1"/>
  <c r="BR10" i="5"/>
  <c r="BR9" i="5"/>
  <c r="CS10" i="5"/>
  <c r="EN10" i="5" s="1"/>
  <c r="BD21" i="5"/>
  <c r="BD22" i="5"/>
  <c r="BD13" i="5"/>
  <c r="CD12" i="5"/>
  <c r="CD9" i="5"/>
  <c r="CD10" i="5"/>
  <c r="BD10" i="5"/>
  <c r="BD11" i="5"/>
  <c r="CD11" i="5"/>
  <c r="BH11" i="5"/>
  <c r="BH10" i="5"/>
  <c r="AC3" i="5"/>
  <c r="CS9" i="5"/>
  <c r="CN13" i="5"/>
  <c r="N6" i="5" s="1"/>
  <c r="BD9" i="8"/>
  <c r="BD48" i="8"/>
  <c r="BD32" i="8"/>
  <c r="BD30" i="8"/>
  <c r="BD14" i="8"/>
  <c r="BD12" i="8"/>
  <c r="BD29" i="8"/>
  <c r="BD23" i="8"/>
  <c r="DC9" i="5"/>
  <c r="BD57" i="8"/>
  <c r="BD55" i="8"/>
  <c r="BD53" i="8"/>
  <c r="BD51" i="8"/>
  <c r="BD45" i="8"/>
  <c r="BD39" i="8"/>
  <c r="BD37" i="8"/>
  <c r="BD33" i="8"/>
  <c r="AB16" i="13"/>
  <c r="AE15" i="15"/>
  <c r="BD49" i="8"/>
  <c r="AB16" i="14"/>
  <c r="BD54" i="8"/>
  <c r="BD52" i="8"/>
  <c r="BD50" i="8"/>
  <c r="BD38" i="8"/>
  <c r="BD31" i="8"/>
  <c r="BD13" i="8"/>
  <c r="AC17" i="21"/>
  <c r="AC18" i="21" s="1"/>
  <c r="I6" i="21" s="1"/>
  <c r="AG16" i="8"/>
  <c r="BD47" i="8"/>
  <c r="BD22" i="8"/>
  <c r="BD56" i="8"/>
  <c r="BD46" i="8"/>
  <c r="BD8" i="8"/>
  <c r="BD34" i="8"/>
  <c r="BD27" i="8"/>
  <c r="BD25" i="8"/>
  <c r="BD20" i="8"/>
  <c r="BD11" i="8"/>
  <c r="BD28" i="8"/>
  <c r="BD26" i="8"/>
  <c r="BD24" i="8"/>
  <c r="BD21" i="8"/>
  <c r="BD10" i="8"/>
  <c r="AB15" i="13"/>
  <c r="AB15" i="14"/>
  <c r="AE16" i="15"/>
  <c r="AG15" i="8"/>
  <c r="BD43" i="8"/>
  <c r="BD41" i="8"/>
  <c r="BD35" i="8"/>
  <c r="BD18" i="8"/>
  <c r="BD16" i="8"/>
  <c r="BD44" i="8"/>
  <c r="BD42" i="8"/>
  <c r="BD40" i="8"/>
  <c r="BD36" i="8"/>
  <c r="BD19" i="8"/>
  <c r="BD17" i="8"/>
  <c r="BD15" i="8"/>
  <c r="DO9" i="5"/>
  <c r="DK24" i="5"/>
  <c r="Y7" i="5" s="1"/>
  <c r="AE17" i="15" l="1"/>
  <c r="AE18" i="15" s="1"/>
  <c r="N6" i="15" s="1"/>
  <c r="CT17" i="5"/>
  <c r="CT23" i="5"/>
  <c r="CT14" i="5"/>
  <c r="EN16" i="5"/>
  <c r="EN13" i="5"/>
  <c r="EQ17" i="5"/>
  <c r="ET17" i="5"/>
  <c r="ES17" i="5"/>
  <c r="EQ16" i="5"/>
  <c r="ES16" i="5"/>
  <c r="ET16" i="5"/>
  <c r="EQ14" i="5"/>
  <c r="ES14" i="5"/>
  <c r="ET14" i="5"/>
  <c r="EQ13" i="5"/>
  <c r="EQ12" i="5"/>
  <c r="ET12" i="5"/>
  <c r="ES12" i="5"/>
  <c r="EQ11" i="5"/>
  <c r="ET11" i="5"/>
  <c r="ES11" i="5"/>
  <c r="ES13" i="5"/>
  <c r="ET13" i="5"/>
  <c r="CT15" i="5"/>
  <c r="CT19" i="5"/>
  <c r="CT18" i="5"/>
  <c r="ER23" i="5"/>
  <c r="EO23" i="5"/>
  <c r="EO21" i="5"/>
  <c r="ER21" i="5"/>
  <c r="EO22" i="5"/>
  <c r="ER22" i="5"/>
  <c r="EO20" i="5"/>
  <c r="ER20" i="5"/>
  <c r="EO19" i="5"/>
  <c r="ER19" i="5"/>
  <c r="EO17" i="5"/>
  <c r="ER17" i="5"/>
  <c r="EO16" i="5"/>
  <c r="ER16" i="5"/>
  <c r="ER14" i="5"/>
  <c r="EO14" i="5"/>
  <c r="EO13" i="5"/>
  <c r="ER13" i="5"/>
  <c r="EN11" i="5"/>
  <c r="EN12" i="5"/>
  <c r="CT10" i="5"/>
  <c r="EP10" i="5" s="1"/>
  <c r="ER11" i="5"/>
  <c r="EO11" i="5"/>
  <c r="EN9" i="5"/>
  <c r="CT9" i="5"/>
  <c r="ER12" i="5"/>
  <c r="EO12" i="5"/>
  <c r="AB17" i="13"/>
  <c r="AB18" i="13" s="1"/>
  <c r="N6" i="13" s="1"/>
  <c r="AB17" i="14"/>
  <c r="AB18" i="14" s="1"/>
  <c r="N6" i="14" s="1"/>
  <c r="AG17" i="8"/>
  <c r="AG18" i="8" s="1"/>
  <c r="N6" i="8" s="1"/>
  <c r="EU19" i="5" l="1"/>
  <c r="K19" i="5" s="1"/>
  <c r="DB19" i="5" s="1"/>
  <c r="EU20" i="5"/>
  <c r="K20" i="5" s="1"/>
  <c r="DB20" i="5" s="1"/>
  <c r="EU14" i="5"/>
  <c r="K14" i="5" s="1"/>
  <c r="DB14" i="5" s="1"/>
  <c r="EU16" i="5"/>
  <c r="K16" i="5" s="1"/>
  <c r="DB16" i="5" s="1"/>
  <c r="EU22" i="5"/>
  <c r="K22" i="5" s="1"/>
  <c r="DB22" i="5" s="1"/>
  <c r="EP9" i="5"/>
  <c r="EQ9" i="5"/>
  <c r="ET9" i="5"/>
  <c r="ES9" i="5"/>
  <c r="EO18" i="5"/>
  <c r="EQ18" i="5"/>
  <c r="ET18" i="5"/>
  <c r="ES18" i="5"/>
  <c r="ER18" i="5"/>
  <c r="EQ15" i="5"/>
  <c r="ET15" i="5"/>
  <c r="ES15" i="5"/>
  <c r="ER15" i="5"/>
  <c r="EO15" i="5"/>
  <c r="EQ10" i="5"/>
  <c r="ER10" i="5"/>
  <c r="ET10" i="5"/>
  <c r="ES10" i="5"/>
  <c r="EU13" i="5"/>
  <c r="K13" i="5" s="1"/>
  <c r="DB13" i="5" s="1"/>
  <c r="EU17" i="5"/>
  <c r="K17" i="5" s="1"/>
  <c r="DB17" i="5" s="1"/>
  <c r="EU21" i="5"/>
  <c r="K21" i="5" s="1"/>
  <c r="DB21" i="5" s="1"/>
  <c r="EU23" i="5"/>
  <c r="K23" i="5" s="1"/>
  <c r="DB23" i="5" s="1"/>
  <c r="EO10" i="5"/>
  <c r="EU11" i="5"/>
  <c r="K11" i="5" s="1"/>
  <c r="DB11" i="5" s="1"/>
  <c r="EO9" i="5"/>
  <c r="ER9" i="5"/>
  <c r="EU12" i="5"/>
  <c r="K12" i="5" s="1"/>
  <c r="DB12" i="5" s="1"/>
  <c r="EU18" i="5" l="1"/>
  <c r="EU15" i="5"/>
  <c r="K15" i="5" s="1"/>
  <c r="DB15" i="5" s="1"/>
  <c r="K18" i="5"/>
  <c r="DB18" i="5" s="1"/>
  <c r="EU10" i="5"/>
  <c r="K10" i="5" s="1"/>
  <c r="DB10" i="5" s="1"/>
  <c r="EU9" i="5"/>
  <c r="K9" i="5" s="1"/>
  <c r="DB9" i="5" s="1"/>
  <c r="DD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D3" authorId="0" shapeId="0" xr:uid="{00000000-0006-0000-0100-000001000000}">
      <text>
        <r>
          <rPr>
            <sz val="8"/>
            <color indexed="81"/>
            <rFont val="Tahoma"/>
            <family val="2"/>
          </rPr>
          <t>The</t>
        </r>
        <r>
          <rPr>
            <i/>
            <sz val="8"/>
            <color indexed="81"/>
            <rFont val="Tahoma"/>
            <family val="2"/>
          </rPr>
          <t xml:space="preserve"> Store Name</t>
        </r>
        <r>
          <rPr>
            <sz val="8"/>
            <color indexed="81"/>
            <rFont val="Tahoma"/>
            <family val="2"/>
          </rPr>
          <t xml:space="preserve"> List Can Be Populated 
When Entered On 
The</t>
        </r>
        <r>
          <rPr>
            <i/>
            <sz val="8"/>
            <color indexed="81"/>
            <rFont val="Tahoma"/>
            <family val="2"/>
          </rPr>
          <t xml:space="preserve"> Stores &amp; Delivery Addresses</t>
        </r>
        <r>
          <rPr>
            <sz val="8"/>
            <color indexed="81"/>
            <rFont val="Tahoma"/>
            <family val="2"/>
          </rPr>
          <t xml:space="preserve"> Tab.</t>
        </r>
      </text>
    </comment>
    <comment ref="D4" authorId="0" shapeId="0" xr:uid="{00000000-0006-0000-0100-000002000000}">
      <text>
        <r>
          <rPr>
            <sz val="8"/>
            <color indexed="81"/>
            <rFont val="Tahoma"/>
            <family val="2"/>
          </rPr>
          <t xml:space="preserve">The </t>
        </r>
        <r>
          <rPr>
            <i/>
            <sz val="8"/>
            <color indexed="81"/>
            <rFont val="Tahoma"/>
            <family val="2"/>
          </rPr>
          <t>Delivery Address</t>
        </r>
        <r>
          <rPr>
            <sz val="8"/>
            <color indexed="81"/>
            <rFont val="Tahoma"/>
            <family val="2"/>
          </rPr>
          <t xml:space="preserve"> List Can Be Populated 
When Entered On 
The </t>
        </r>
        <r>
          <rPr>
            <i/>
            <sz val="8"/>
            <color indexed="81"/>
            <rFont val="Tahoma"/>
            <family val="2"/>
          </rPr>
          <t>Stores &amp; Delivery Addresses</t>
        </r>
        <r>
          <rPr>
            <sz val="8"/>
            <color indexed="81"/>
            <rFont val="Tahoma"/>
            <family val="2"/>
          </rPr>
          <t xml:space="preserve"> Tab.</t>
        </r>
      </text>
    </comment>
    <comment ref="G16" authorId="0" shapeId="0" xr:uid="{00000000-0006-0000-0100-000003000000}">
      <text>
        <r>
          <rPr>
            <sz val="8"/>
            <color indexed="81"/>
            <rFont val="Tahoma"/>
            <family val="2"/>
          </rPr>
          <t>This is only applicable to Custom Made Blinds.
If a Shutter Corner Window is required, then please complete the appropriate Shutter diagram and submit with the Order.</t>
        </r>
      </text>
    </comment>
    <comment ref="J16" authorId="0" shapeId="0" xr:uid="{00000000-0006-0000-0100-000004000000}">
      <text>
        <r>
          <rPr>
            <sz val="8"/>
            <color indexed="81"/>
            <rFont val="Tahoma"/>
            <family val="2"/>
          </rPr>
          <t>This will auto-populate 
with "Yes" when entries are made in the CMB Corner Worksheet.</t>
        </r>
      </text>
    </comment>
    <comment ref="G19" authorId="0" shapeId="0" xr:uid="{00000000-0006-0000-0100-000005000000}">
      <text>
        <r>
          <rPr>
            <sz val="8"/>
            <color indexed="81"/>
            <rFont val="Tahoma"/>
            <family val="2"/>
          </rPr>
          <t>This is only applicable to Custom Made Blinds.
If a Shutter Bay Window is required, then please complete the appropriate Shutter diagram and submit with the Order.</t>
        </r>
      </text>
    </comment>
    <comment ref="J19" authorId="0" shapeId="0" xr:uid="{00000000-0006-0000-0100-000006000000}">
      <text>
        <r>
          <rPr>
            <sz val="8"/>
            <color indexed="81"/>
            <rFont val="Tahoma"/>
            <family val="2"/>
          </rPr>
          <t>This will auto-populate 
with "Yes" when entries are made in the CMB Bay Worksheet.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Tony Sinke</author>
    <author>PWD</author>
  </authors>
  <commentList>
    <comment ref="D7" authorId="0" shapeId="0" xr:uid="{10B392CC-3DA8-4AED-ACC7-9F724A6B5C42}">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7" authorId="1" shapeId="0" xr:uid="{F985CC1A-0424-4BD5-915D-C0DE01757407}">
      <text>
        <r>
          <rPr>
            <sz val="8"/>
            <color indexed="81"/>
            <rFont val="Tahoma"/>
            <family val="2"/>
          </rPr>
          <t xml:space="preserve">The Colour options are 
dependent on the Product.
</t>
        </r>
        <r>
          <rPr>
            <i/>
            <sz val="8"/>
            <color indexed="81"/>
            <rFont val="Tahoma"/>
            <family val="2"/>
          </rPr>
          <t xml:space="preserve">
Please refer to the Swatches.</t>
        </r>
      </text>
    </comment>
    <comment ref="F7" authorId="1" shapeId="0" xr:uid="{5BED3335-B9B6-4DD6-BBC0-309105CE7993}">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7" authorId="1" shapeId="0" xr:uid="{7D9D15C0-41F3-48EB-AA50-25B7013F665F}">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7" authorId="1" shapeId="0" xr:uid="{F6B92DF4-9721-49E8-B858-6155FBF0BDC2}">
      <text>
        <r>
          <rPr>
            <sz val="8"/>
            <color indexed="81"/>
            <rFont val="Tahoma"/>
            <family val="2"/>
          </rPr>
          <t>When selecting a
Corner or Bay 
Window Type, 
the CMB Corner WS 
or the 
CMB Bay WS 
must be completed please.</t>
        </r>
      </text>
    </comment>
    <comment ref="I7" authorId="1" shapeId="0" xr:uid="{5431EF6D-C90B-480C-A76F-5B98AEEC3A31}">
      <text>
        <r>
          <rPr>
            <sz val="8"/>
            <color indexed="81"/>
            <rFont val="Tahoma"/>
            <family val="2"/>
          </rPr>
          <t>The Fitting options are 
Face Fit
Recess Fit</t>
        </r>
      </text>
    </comment>
    <comment ref="J7" authorId="1" shapeId="0" xr:uid="{05DF99E8-D000-490D-AB56-0E4572CE3942}">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7" authorId="1" shapeId="0" xr:uid="{E272C619-C4C5-4148-B780-3F9A7BFC9426}">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7" authorId="1" shapeId="0" xr:uid="{FDD34566-BC27-4800-83C8-AFEA2BC90BE7}">
      <text>
        <r>
          <rPr>
            <sz val="8"/>
            <color indexed="81"/>
            <rFont val="Tahoma"/>
            <family val="2"/>
          </rPr>
          <t>The Control Side options are;
For Cord Lock &amp; Chain;
Left
Right
For Cordless &amp; Motorised;
N/A</t>
        </r>
      </text>
    </comment>
    <comment ref="M7" authorId="1" shapeId="0" xr:uid="{86DA7175-4B37-42B3-87CD-642C20287991}">
      <text>
        <r>
          <rPr>
            <sz val="8"/>
            <color indexed="81"/>
            <rFont val="Tahoma"/>
            <family val="2"/>
          </rPr>
          <t>The Tilt options are;
For Cord Lock;
Left
Right
For Chain, Cordless &amp; Motorised;
N/A</t>
        </r>
      </text>
    </comment>
    <comment ref="O7" authorId="1" shapeId="0" xr:uid="{2DEAFB52-2DC0-4D58-A21D-21C6F35AA3FF}">
      <text>
        <r>
          <rPr>
            <sz val="8"/>
            <color indexed="81"/>
            <rFont val="Tahoma"/>
            <family val="2"/>
          </rPr>
          <t>The Motor Remote options are;
Single Remote
Multi Remote</t>
        </r>
      </text>
    </comment>
    <comment ref="Q7" authorId="1" shapeId="0" xr:uid="{884C328E-2F96-465C-B8CB-D5E3C5E6B4F7}">
      <text>
        <r>
          <rPr>
            <sz val="8"/>
            <color indexed="81"/>
            <rFont val="Tahoma"/>
            <family val="2"/>
          </rPr>
          <t>When left blank, 
no Cut Out applies.</t>
        </r>
      </text>
    </comment>
    <comment ref="D8" authorId="0" shapeId="0" xr:uid="{A721C2DB-8058-4514-8D00-3711CD65B880}">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8" authorId="1" shapeId="0" xr:uid="{8DE78327-156A-4C52-A153-3B7681F049E1}">
      <text>
        <r>
          <rPr>
            <sz val="8"/>
            <color indexed="81"/>
            <rFont val="Tahoma"/>
            <family val="2"/>
          </rPr>
          <t xml:space="preserve">The Colour options are 
dependent on the Product.
</t>
        </r>
        <r>
          <rPr>
            <i/>
            <sz val="8"/>
            <color indexed="81"/>
            <rFont val="Tahoma"/>
            <family val="2"/>
          </rPr>
          <t xml:space="preserve">
Please refer to the Swatches.</t>
        </r>
      </text>
    </comment>
    <comment ref="F8" authorId="1" shapeId="0" xr:uid="{98E33DC7-249E-4487-A46A-D117D6027CB6}">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8" authorId="1" shapeId="0" xr:uid="{B5DC9E32-38F1-45B7-B27B-056361514A10}">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8" authorId="1" shapeId="0" xr:uid="{0806BF06-BE4A-43A3-ABBD-E8D6D853A4D5}">
      <text>
        <r>
          <rPr>
            <sz val="8"/>
            <color indexed="81"/>
            <rFont val="Tahoma"/>
            <family val="2"/>
          </rPr>
          <t>When selecting a
Corner or Bay 
Window Type, 
the CMB Corner WS 
or the 
CMB Bay WS 
must be completed please.</t>
        </r>
      </text>
    </comment>
    <comment ref="I8" authorId="1" shapeId="0" xr:uid="{BF74AE27-FF9F-42BE-AB0B-F3D021DEA0E9}">
      <text>
        <r>
          <rPr>
            <sz val="8"/>
            <color indexed="81"/>
            <rFont val="Tahoma"/>
            <family val="2"/>
          </rPr>
          <t>The Fitting options are 
Face Fit
Recess Fit</t>
        </r>
      </text>
    </comment>
    <comment ref="J8" authorId="1" shapeId="0" xr:uid="{C36AE380-DC89-49D2-B747-2BD7772EAFE2}">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8" authorId="1" shapeId="0" xr:uid="{11536CAC-1CF5-4213-8E35-DCC21553DBE8}">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8" authorId="1" shapeId="0" xr:uid="{BF552D68-C7CA-4916-9563-2F64333D668C}">
      <text>
        <r>
          <rPr>
            <sz val="8"/>
            <color indexed="81"/>
            <rFont val="Tahoma"/>
            <family val="2"/>
          </rPr>
          <t>The Control Side options are;
For Cord Lock &amp; Chain;
Left
Right
For Cordless &amp; Motorised;
N/A</t>
        </r>
      </text>
    </comment>
    <comment ref="M8" authorId="1" shapeId="0" xr:uid="{8961ACE0-B05D-424B-BF7D-84D3826D83E7}">
      <text>
        <r>
          <rPr>
            <sz val="8"/>
            <color indexed="81"/>
            <rFont val="Tahoma"/>
            <family val="2"/>
          </rPr>
          <t>The Tilt options are;
For Cord Lock;
Left
Right
For Chain, Cordless &amp; Motorised;
N/A</t>
        </r>
      </text>
    </comment>
    <comment ref="O8" authorId="1" shapeId="0" xr:uid="{2459879D-96BB-4D59-B6BF-910B64A2B3F1}">
      <text>
        <r>
          <rPr>
            <sz val="8"/>
            <color indexed="81"/>
            <rFont val="Tahoma"/>
            <family val="2"/>
          </rPr>
          <t>The Motor Remote options are;
Single Remote
Multi Remote</t>
        </r>
      </text>
    </comment>
    <comment ref="Q8" authorId="1" shapeId="0" xr:uid="{EF46778C-7D5E-466A-91FD-8401CEBC6B47}">
      <text>
        <r>
          <rPr>
            <sz val="8"/>
            <color indexed="81"/>
            <rFont val="Tahoma"/>
            <family val="2"/>
          </rPr>
          <t>When left blank, 
no Cut Out applies.</t>
        </r>
      </text>
    </comment>
    <comment ref="D9" authorId="0" shapeId="0" xr:uid="{BA0A1DB5-653F-4D60-933E-74E21511D341}">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9" authorId="1" shapeId="0" xr:uid="{F6DBA12C-B14C-4CD8-8C21-81CD5D7DD72A}">
      <text>
        <r>
          <rPr>
            <sz val="8"/>
            <color indexed="81"/>
            <rFont val="Tahoma"/>
            <family val="2"/>
          </rPr>
          <t xml:space="preserve">The Colour options are 
dependent on the Product.
</t>
        </r>
        <r>
          <rPr>
            <i/>
            <sz val="8"/>
            <color indexed="81"/>
            <rFont val="Tahoma"/>
            <family val="2"/>
          </rPr>
          <t xml:space="preserve">
Please refer to the Swatches.</t>
        </r>
      </text>
    </comment>
    <comment ref="F9" authorId="1" shapeId="0" xr:uid="{622FDD7F-F3EA-41BA-8981-40A0C7B0531C}">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9" authorId="1" shapeId="0" xr:uid="{C9E4E7D1-5693-485E-8A93-A14ADDAAC266}">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9" authorId="1" shapeId="0" xr:uid="{BAE920EF-7070-49E5-8961-B2CD7930A6CE}">
      <text>
        <r>
          <rPr>
            <sz val="8"/>
            <color indexed="81"/>
            <rFont val="Tahoma"/>
            <family val="2"/>
          </rPr>
          <t>When selecting a
Corner or Bay 
Window Type, 
the CMB Corner WS 
or the 
CMB Bay WS 
must be completed please.</t>
        </r>
      </text>
    </comment>
    <comment ref="I9" authorId="1" shapeId="0" xr:uid="{9159F9BD-F90F-4995-8BB8-1BD60D971B42}">
      <text>
        <r>
          <rPr>
            <sz val="8"/>
            <color indexed="81"/>
            <rFont val="Tahoma"/>
            <family val="2"/>
          </rPr>
          <t>The Fitting options are 
Face Fit
Recess Fit</t>
        </r>
      </text>
    </comment>
    <comment ref="J9" authorId="1" shapeId="0" xr:uid="{F060A97F-18D6-4D0B-9CB4-D59E479B07F0}">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9" authorId="1" shapeId="0" xr:uid="{5B472FE4-BB39-4A14-B63D-61FF1CDA7550}">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9" authorId="1" shapeId="0" xr:uid="{545D6479-FEAD-40A5-B5DB-2808A3D7915B}">
      <text>
        <r>
          <rPr>
            <sz val="8"/>
            <color indexed="81"/>
            <rFont val="Tahoma"/>
            <family val="2"/>
          </rPr>
          <t>The Control Side options are;
For Cord Lock &amp; Chain;
Left
Right
For Cordless &amp; Motorised;
N/A</t>
        </r>
      </text>
    </comment>
    <comment ref="M9" authorId="1" shapeId="0" xr:uid="{A24951DD-3EB2-450D-A759-D2E0C8638D9A}">
      <text>
        <r>
          <rPr>
            <sz val="8"/>
            <color indexed="81"/>
            <rFont val="Tahoma"/>
            <family val="2"/>
          </rPr>
          <t>The Tilt options are;
For Cord Lock;
Left
Right
For Chain, Cordless &amp; Motorised;
N/A</t>
        </r>
      </text>
    </comment>
    <comment ref="O9" authorId="1" shapeId="0" xr:uid="{A30BFC17-5F56-4106-B765-68E47C29FAC4}">
      <text>
        <r>
          <rPr>
            <sz val="8"/>
            <color indexed="81"/>
            <rFont val="Tahoma"/>
            <family val="2"/>
          </rPr>
          <t>The Motor Remote options are;
Single Remote
Multi Remote</t>
        </r>
      </text>
    </comment>
    <comment ref="Q9" authorId="1" shapeId="0" xr:uid="{848D511C-0279-45AB-B624-BE8CCA3B5990}">
      <text>
        <r>
          <rPr>
            <sz val="8"/>
            <color indexed="81"/>
            <rFont val="Tahoma"/>
            <family val="2"/>
          </rPr>
          <t>When left blank, 
no Cut Out applies.</t>
        </r>
      </text>
    </comment>
    <comment ref="D10" authorId="0" shapeId="0" xr:uid="{E9D7FCCD-D8AE-4851-8B7E-BE3296CD81E4}">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10" authorId="1" shapeId="0" xr:uid="{EC8F8797-C5CC-4033-BA9B-8F817DBEC1E5}">
      <text>
        <r>
          <rPr>
            <sz val="8"/>
            <color indexed="81"/>
            <rFont val="Tahoma"/>
            <family val="2"/>
          </rPr>
          <t xml:space="preserve">The Colour options are 
dependent on the Product.
</t>
        </r>
        <r>
          <rPr>
            <i/>
            <sz val="8"/>
            <color indexed="81"/>
            <rFont val="Tahoma"/>
            <family val="2"/>
          </rPr>
          <t xml:space="preserve">
Please refer to the Swatches.</t>
        </r>
      </text>
    </comment>
    <comment ref="F10" authorId="1" shapeId="0" xr:uid="{A8A7E642-84B4-4116-977F-89FE979B5E7C}">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0" authorId="1" shapeId="0" xr:uid="{8A89022B-ABBA-4B42-8311-F0ED9DA0A14C}">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0" authorId="1" shapeId="0" xr:uid="{E6D18AB3-06AF-481D-AFE2-307B10DC5BD3}">
      <text>
        <r>
          <rPr>
            <sz val="8"/>
            <color indexed="81"/>
            <rFont val="Tahoma"/>
            <family val="2"/>
          </rPr>
          <t>When selecting a
Corner or Bay 
Window Type, 
the CMB Corner WS 
or the 
CMB Bay WS 
must be completed please.</t>
        </r>
      </text>
    </comment>
    <comment ref="I10" authorId="1" shapeId="0" xr:uid="{C62A648C-1FCB-4AEF-A9BC-9D88382D20F4}">
      <text>
        <r>
          <rPr>
            <sz val="8"/>
            <color indexed="81"/>
            <rFont val="Tahoma"/>
            <family val="2"/>
          </rPr>
          <t>The Fitting options are 
Face Fit
Recess Fit</t>
        </r>
      </text>
    </comment>
    <comment ref="J10" authorId="1" shapeId="0" xr:uid="{D1E1C75C-F1B7-456F-BD1A-B2FFD2BDCAA0}">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10" authorId="1" shapeId="0" xr:uid="{1FCCCD11-9767-4C5F-8A22-24F6416C6CF1}">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10" authorId="1" shapeId="0" xr:uid="{94825FA5-2A97-4B42-8EB6-D6267775FBC3}">
      <text>
        <r>
          <rPr>
            <sz val="8"/>
            <color indexed="81"/>
            <rFont val="Tahoma"/>
            <family val="2"/>
          </rPr>
          <t>The Control Side options are;
For Cord Lock &amp; Chain;
Left
Right
For Cordless &amp; Motorised;
N/A</t>
        </r>
      </text>
    </comment>
    <comment ref="M10" authorId="1" shapeId="0" xr:uid="{2292B976-ED50-4A30-9AF5-A3AA1F9203E5}">
      <text>
        <r>
          <rPr>
            <sz val="8"/>
            <color indexed="81"/>
            <rFont val="Tahoma"/>
            <family val="2"/>
          </rPr>
          <t>The Tilt options are;
For Cord Lock;
Left
Right
For Chain, Cordless &amp; Motorised;
N/A</t>
        </r>
      </text>
    </comment>
    <comment ref="O10" authorId="1" shapeId="0" xr:uid="{CDEC0062-6B9E-4578-A047-F98BE8484D37}">
      <text>
        <r>
          <rPr>
            <sz val="8"/>
            <color indexed="81"/>
            <rFont val="Tahoma"/>
            <family val="2"/>
          </rPr>
          <t>The Motor Remote options are;
Single Remote
Multi Remote</t>
        </r>
      </text>
    </comment>
    <comment ref="Q10" authorId="1" shapeId="0" xr:uid="{3AA23E61-BAD7-4DA8-84E2-29B249EF5EBB}">
      <text>
        <r>
          <rPr>
            <sz val="8"/>
            <color indexed="81"/>
            <rFont val="Tahoma"/>
            <family val="2"/>
          </rPr>
          <t>When left blank, 
no Cut Out applies.</t>
        </r>
      </text>
    </comment>
    <comment ref="D11" authorId="0" shapeId="0" xr:uid="{FCC19CA0-D7D7-4E9A-8F41-92CC279699E9}">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11" authorId="1" shapeId="0" xr:uid="{C163721C-BCEF-437F-BC4E-45CAB44997BB}">
      <text>
        <r>
          <rPr>
            <sz val="8"/>
            <color indexed="81"/>
            <rFont val="Tahoma"/>
            <family val="2"/>
          </rPr>
          <t xml:space="preserve">The Colour options are 
dependent on the Product.
</t>
        </r>
        <r>
          <rPr>
            <i/>
            <sz val="8"/>
            <color indexed="81"/>
            <rFont val="Tahoma"/>
            <family val="2"/>
          </rPr>
          <t xml:space="preserve">
Please refer to the Swatches.</t>
        </r>
      </text>
    </comment>
    <comment ref="F11" authorId="1" shapeId="0" xr:uid="{48E3EA50-FA31-448C-86D2-847E4D96AF06}">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1" authorId="1" shapeId="0" xr:uid="{8D44F6CE-C5F2-42E1-8BA3-D1CE29990F01}">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1" authorId="1" shapeId="0" xr:uid="{0D95EAAC-3088-41E6-B65E-B26E55933A99}">
      <text>
        <r>
          <rPr>
            <sz val="8"/>
            <color indexed="81"/>
            <rFont val="Tahoma"/>
            <family val="2"/>
          </rPr>
          <t>When selecting a
Corner or Bay 
Window Type, 
the CMB Corner WS 
or the 
CMB Bay WS 
must be completed please.</t>
        </r>
      </text>
    </comment>
    <comment ref="I11" authorId="1" shapeId="0" xr:uid="{47C8160F-DE3B-4066-9C6C-8EB37A101159}">
      <text>
        <r>
          <rPr>
            <sz val="8"/>
            <color indexed="81"/>
            <rFont val="Tahoma"/>
            <family val="2"/>
          </rPr>
          <t>The Fitting options are 
Face Fit
Recess Fit</t>
        </r>
      </text>
    </comment>
    <comment ref="J11" authorId="1" shapeId="0" xr:uid="{D6C784AC-73EF-4659-813C-153C1B22F09B}">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11" authorId="1" shapeId="0" xr:uid="{8D89B0B9-D305-4550-9B59-34902464D480}">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11" authorId="1" shapeId="0" xr:uid="{F60F9C2B-656C-4E51-AFFC-249183F3A16A}">
      <text>
        <r>
          <rPr>
            <sz val="8"/>
            <color indexed="81"/>
            <rFont val="Tahoma"/>
            <family val="2"/>
          </rPr>
          <t>The Control Side options are;
For Cord Lock &amp; Chain;
Left
Right
For Cordless &amp; Motorised;
N/A</t>
        </r>
      </text>
    </comment>
    <comment ref="M11" authorId="1" shapeId="0" xr:uid="{EE480BB5-7071-4320-96CB-EA10A7C02957}">
      <text>
        <r>
          <rPr>
            <sz val="8"/>
            <color indexed="81"/>
            <rFont val="Tahoma"/>
            <family val="2"/>
          </rPr>
          <t>The Tilt options are;
For Cord Lock;
Left
Right
For Chain, Cordless &amp; Motorised;
N/A</t>
        </r>
      </text>
    </comment>
    <comment ref="O11" authorId="1" shapeId="0" xr:uid="{481BA743-015A-44FF-A541-36F3747B15EF}">
      <text>
        <r>
          <rPr>
            <sz val="8"/>
            <color indexed="81"/>
            <rFont val="Tahoma"/>
            <family val="2"/>
          </rPr>
          <t>The Motor Remote options are;
Single Remote
Multi Remote</t>
        </r>
      </text>
    </comment>
    <comment ref="Q11" authorId="1" shapeId="0" xr:uid="{98B69C61-2ECA-47A0-8B8E-271940B2F9CF}">
      <text>
        <r>
          <rPr>
            <sz val="8"/>
            <color indexed="81"/>
            <rFont val="Tahoma"/>
            <family val="2"/>
          </rPr>
          <t>When left blank, 
no Cut Out applies.</t>
        </r>
      </text>
    </comment>
    <comment ref="D12" authorId="0" shapeId="0" xr:uid="{5E940045-DBBF-4459-867B-DD141B59F0D8}">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12" authorId="1" shapeId="0" xr:uid="{C3CC785B-0E32-4CE0-9C9A-E43C54D79EAB}">
      <text>
        <r>
          <rPr>
            <sz val="8"/>
            <color indexed="81"/>
            <rFont val="Tahoma"/>
            <family val="2"/>
          </rPr>
          <t xml:space="preserve">The Colour options are 
dependent on the Product.
</t>
        </r>
        <r>
          <rPr>
            <i/>
            <sz val="8"/>
            <color indexed="81"/>
            <rFont val="Tahoma"/>
            <family val="2"/>
          </rPr>
          <t xml:space="preserve">
Please refer to the Swatches.</t>
        </r>
      </text>
    </comment>
    <comment ref="F12" authorId="1" shapeId="0" xr:uid="{C1ACAF19-6742-49C2-84FF-943F84A43E11}">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2" authorId="1" shapeId="0" xr:uid="{36848495-F6B3-46E6-A0EA-8126E5DD9CED}">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2" authorId="1" shapeId="0" xr:uid="{956AAA4E-8B76-4417-826F-A17403152792}">
      <text>
        <r>
          <rPr>
            <sz val="8"/>
            <color indexed="81"/>
            <rFont val="Tahoma"/>
            <family val="2"/>
          </rPr>
          <t>When selecting a
Corner or Bay 
Window Type, 
the CMB Corner WS 
or the 
CMB Bay WS 
must be completed please.</t>
        </r>
      </text>
    </comment>
    <comment ref="I12" authorId="1" shapeId="0" xr:uid="{676B17D6-E140-4BAB-8FC1-0F849EF92688}">
      <text>
        <r>
          <rPr>
            <sz val="8"/>
            <color indexed="81"/>
            <rFont val="Tahoma"/>
            <family val="2"/>
          </rPr>
          <t>The Fitting options are 
Face Fit
Recess Fit</t>
        </r>
      </text>
    </comment>
    <comment ref="J12" authorId="1" shapeId="0" xr:uid="{2DFE908E-0771-45D7-847E-20A6FC4FADD3}">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12" authorId="1" shapeId="0" xr:uid="{6210FFCA-B9EA-4D87-B846-6CCB91BF8A68}">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12" authorId="1" shapeId="0" xr:uid="{BB5AE554-2666-4924-BE6C-EC2FDF91CECF}">
      <text>
        <r>
          <rPr>
            <sz val="8"/>
            <color indexed="81"/>
            <rFont val="Tahoma"/>
            <family val="2"/>
          </rPr>
          <t>The Control Side options are;
For Cord Lock &amp; Chain;
Left
Right
For Cordless &amp; Motorised;
N/A</t>
        </r>
      </text>
    </comment>
    <comment ref="M12" authorId="1" shapeId="0" xr:uid="{9191FBEA-1076-44EC-B662-1085626F2BE3}">
      <text>
        <r>
          <rPr>
            <sz val="8"/>
            <color indexed="81"/>
            <rFont val="Tahoma"/>
            <family val="2"/>
          </rPr>
          <t>The Tilt options are;
For Cord Lock;
Left
Right
For Chain, Cordless &amp; Motorised;
N/A</t>
        </r>
      </text>
    </comment>
    <comment ref="O12" authorId="1" shapeId="0" xr:uid="{E1B102AF-85A5-49C6-8B72-33D6EF462169}">
      <text>
        <r>
          <rPr>
            <sz val="8"/>
            <color indexed="81"/>
            <rFont val="Tahoma"/>
            <family val="2"/>
          </rPr>
          <t>The Motor Remote options are;
Single Remote
Multi Remote</t>
        </r>
      </text>
    </comment>
    <comment ref="Q12" authorId="1" shapeId="0" xr:uid="{A264FD93-6DF6-4DB1-A90A-5EC57BE6A0E3}">
      <text>
        <r>
          <rPr>
            <sz val="8"/>
            <color indexed="81"/>
            <rFont val="Tahoma"/>
            <family val="2"/>
          </rPr>
          <t>When left blank, 
no Cut Out applies.</t>
        </r>
      </text>
    </comment>
    <comment ref="D13" authorId="0" shapeId="0" xr:uid="{37C27493-5D6F-46C4-A4FA-4B93CB8EA686}">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13" authorId="1" shapeId="0" xr:uid="{D382EA2D-6677-4D0E-9D96-99904F5CF57B}">
      <text>
        <r>
          <rPr>
            <sz val="8"/>
            <color indexed="81"/>
            <rFont val="Tahoma"/>
            <family val="2"/>
          </rPr>
          <t xml:space="preserve">The Colour options are 
dependent on the Product.
</t>
        </r>
        <r>
          <rPr>
            <i/>
            <sz val="8"/>
            <color indexed="81"/>
            <rFont val="Tahoma"/>
            <family val="2"/>
          </rPr>
          <t xml:space="preserve">
Please refer to the Swatches.</t>
        </r>
      </text>
    </comment>
    <comment ref="F13" authorId="1" shapeId="0" xr:uid="{197CDB7A-55BE-4789-BEA3-3125BF2BF0B5}">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3" authorId="1" shapeId="0" xr:uid="{EDF84450-F8B1-49DE-8BFD-776C0D6CBEA9}">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3" authorId="1" shapeId="0" xr:uid="{75A7ADCE-2C6B-48FD-A59C-0C740FAC9888}">
      <text>
        <r>
          <rPr>
            <sz val="8"/>
            <color indexed="81"/>
            <rFont val="Tahoma"/>
            <family val="2"/>
          </rPr>
          <t>When selecting a
Corner or Bay 
Window Type, 
the CMB Corner WS 
or the 
CMB Bay WS 
must be completed please.</t>
        </r>
      </text>
    </comment>
    <comment ref="I13" authorId="1" shapeId="0" xr:uid="{2B332C93-E49D-4170-AC5D-4547E2625144}">
      <text>
        <r>
          <rPr>
            <sz val="8"/>
            <color indexed="81"/>
            <rFont val="Tahoma"/>
            <family val="2"/>
          </rPr>
          <t>The Fitting options are 
Face Fit
Recess Fit</t>
        </r>
      </text>
    </comment>
    <comment ref="J13" authorId="1" shapeId="0" xr:uid="{8D05B6D4-0A7A-4DE2-AA2F-A830C2FDBE1B}">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13" authorId="1" shapeId="0" xr:uid="{8D764E27-6B70-4225-AC6B-AEA112C3B9DA}">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13" authorId="1" shapeId="0" xr:uid="{2BAE5725-D497-45D0-9FB0-3206D73436C9}">
      <text>
        <r>
          <rPr>
            <sz val="8"/>
            <color indexed="81"/>
            <rFont val="Tahoma"/>
            <family val="2"/>
          </rPr>
          <t>The Control Side options are;
For Cord Lock &amp; Chain;
Left
Right
For Cordless &amp; Motorised;
N/A</t>
        </r>
      </text>
    </comment>
    <comment ref="M13" authorId="1" shapeId="0" xr:uid="{986FF8FC-E6A9-403E-890E-E658B1A0F765}">
      <text>
        <r>
          <rPr>
            <sz val="8"/>
            <color indexed="81"/>
            <rFont val="Tahoma"/>
            <family val="2"/>
          </rPr>
          <t>The Tilt options are;
For Cord Lock;
Left
Right
For Chain, Cordless &amp; Motorised;
N/A</t>
        </r>
      </text>
    </comment>
    <comment ref="O13" authorId="1" shapeId="0" xr:uid="{145326A9-218C-4530-9913-839877A940E9}">
      <text>
        <r>
          <rPr>
            <sz val="8"/>
            <color indexed="81"/>
            <rFont val="Tahoma"/>
            <family val="2"/>
          </rPr>
          <t>The Motor Remote options are;
Single Remote
Multi Remote</t>
        </r>
      </text>
    </comment>
    <comment ref="Q13" authorId="1" shapeId="0" xr:uid="{FE33216E-62F1-438A-8B3A-28E74B881FF8}">
      <text>
        <r>
          <rPr>
            <sz val="8"/>
            <color indexed="81"/>
            <rFont val="Tahoma"/>
            <family val="2"/>
          </rPr>
          <t>When left blank, 
no Cut Out applies.</t>
        </r>
      </text>
    </comment>
    <comment ref="D14" authorId="0" shapeId="0" xr:uid="{EF94E4C8-1F7E-401F-8B84-9929F4BABDBF}">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14" authorId="1" shapeId="0" xr:uid="{AE808F17-CF97-439D-9631-7312714DA5BB}">
      <text>
        <r>
          <rPr>
            <sz val="8"/>
            <color indexed="81"/>
            <rFont val="Tahoma"/>
            <family val="2"/>
          </rPr>
          <t xml:space="preserve">The Colour options are 
dependent on the Product.
</t>
        </r>
        <r>
          <rPr>
            <i/>
            <sz val="8"/>
            <color indexed="81"/>
            <rFont val="Tahoma"/>
            <family val="2"/>
          </rPr>
          <t xml:space="preserve">
Please refer to the Swatches.</t>
        </r>
      </text>
    </comment>
    <comment ref="F14" authorId="1" shapeId="0" xr:uid="{35454FC6-6C2E-4D30-821A-179E0330AE47}">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4" authorId="1" shapeId="0" xr:uid="{4C8B98CE-163A-4B8F-88DD-B9E7B4775E2C}">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4" authorId="1" shapeId="0" xr:uid="{38A206BC-0942-48A0-A336-99BAEE4B2055}">
      <text>
        <r>
          <rPr>
            <sz val="8"/>
            <color indexed="81"/>
            <rFont val="Tahoma"/>
            <family val="2"/>
          </rPr>
          <t>When selecting a
Corner or Bay 
Window Type, 
the CMB Corner WS 
or the 
CMB Bay WS 
must be completed please.</t>
        </r>
      </text>
    </comment>
    <comment ref="I14" authorId="1" shapeId="0" xr:uid="{80A6E4DF-69CB-4877-BFB0-C79C596790C7}">
      <text>
        <r>
          <rPr>
            <sz val="8"/>
            <color indexed="81"/>
            <rFont val="Tahoma"/>
            <family val="2"/>
          </rPr>
          <t>The Fitting options are 
Face Fit
Recess Fit</t>
        </r>
      </text>
    </comment>
    <comment ref="J14" authorId="1" shapeId="0" xr:uid="{F08F62F7-4C23-4DC8-A557-96886BBCAFC5}">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14" authorId="1" shapeId="0" xr:uid="{0BA8214A-5ABE-4943-8C1D-3E44F8CB1523}">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14" authorId="1" shapeId="0" xr:uid="{ABD7FFCB-97BD-4F3B-97C7-482185A79DBA}">
      <text>
        <r>
          <rPr>
            <sz val="8"/>
            <color indexed="81"/>
            <rFont val="Tahoma"/>
            <family val="2"/>
          </rPr>
          <t>The Control Side options are;
For Cord Lock &amp; Chain;
Left
Right
For Cordless &amp; Motorised;
N/A</t>
        </r>
      </text>
    </comment>
    <comment ref="M14" authorId="1" shapeId="0" xr:uid="{5EB4A9AA-58D3-4C4D-938E-0071D9DD9741}">
      <text>
        <r>
          <rPr>
            <sz val="8"/>
            <color indexed="81"/>
            <rFont val="Tahoma"/>
            <family val="2"/>
          </rPr>
          <t>The Tilt options are;
For Cord Lock;
Left
Right
For Chain, Cordless &amp; Motorised;
N/A</t>
        </r>
      </text>
    </comment>
    <comment ref="O14" authorId="1" shapeId="0" xr:uid="{E4D5DFD9-640E-417B-99A5-7B82243D70EB}">
      <text>
        <r>
          <rPr>
            <sz val="8"/>
            <color indexed="81"/>
            <rFont val="Tahoma"/>
            <family val="2"/>
          </rPr>
          <t>The Motor Remote options are;
Single Remote
Multi Remote</t>
        </r>
      </text>
    </comment>
    <comment ref="Q14" authorId="1" shapeId="0" xr:uid="{B6971384-87C7-48EC-92D4-3F56BF4586CF}">
      <text>
        <r>
          <rPr>
            <sz val="8"/>
            <color indexed="81"/>
            <rFont val="Tahoma"/>
            <family val="2"/>
          </rPr>
          <t>When left blank, 
no Cut Out applies.</t>
        </r>
      </text>
    </comment>
    <comment ref="D15" authorId="0" shapeId="0" xr:uid="{4265118D-AC2D-48AE-BD89-7E9B91F1A4B2}">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15" authorId="1" shapeId="0" xr:uid="{02EAFDB4-CDB6-41AE-B02D-F570A7A9F849}">
      <text>
        <r>
          <rPr>
            <sz val="8"/>
            <color indexed="81"/>
            <rFont val="Tahoma"/>
            <family val="2"/>
          </rPr>
          <t xml:space="preserve">The Colour options are 
dependent on the Product.
</t>
        </r>
        <r>
          <rPr>
            <i/>
            <sz val="8"/>
            <color indexed="81"/>
            <rFont val="Tahoma"/>
            <family val="2"/>
          </rPr>
          <t xml:space="preserve">
Please refer to the Swatches.</t>
        </r>
      </text>
    </comment>
    <comment ref="F15" authorId="1" shapeId="0" xr:uid="{AE97F3EA-25DB-4030-85B6-1C25CD505EE1}">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5" authorId="1" shapeId="0" xr:uid="{6529B5B9-5ADA-4904-91A8-2B4402822275}">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5" authorId="1" shapeId="0" xr:uid="{C854AF73-9922-486D-846A-B2CBB6471434}">
      <text>
        <r>
          <rPr>
            <sz val="8"/>
            <color indexed="81"/>
            <rFont val="Tahoma"/>
            <family val="2"/>
          </rPr>
          <t>When selecting a
Corner or Bay 
Window Type, 
the CMB Corner WS 
or the 
CMB Bay WS 
must be completed please.</t>
        </r>
      </text>
    </comment>
    <comment ref="I15" authorId="1" shapeId="0" xr:uid="{0453CB50-501A-4FDC-BE60-EB8CFC821188}">
      <text>
        <r>
          <rPr>
            <sz val="8"/>
            <color indexed="81"/>
            <rFont val="Tahoma"/>
            <family val="2"/>
          </rPr>
          <t>The Fitting options are 
Face Fit
Recess Fit</t>
        </r>
      </text>
    </comment>
    <comment ref="J15" authorId="1" shapeId="0" xr:uid="{66DF5D12-745F-405F-9658-C76DFC976009}">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15" authorId="1" shapeId="0" xr:uid="{BC318415-B282-4A21-8EAF-C6442FEF2DD2}">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15" authorId="1" shapeId="0" xr:uid="{3DE18EAC-94AB-4314-9CF6-413D64EDFBED}">
      <text>
        <r>
          <rPr>
            <sz val="8"/>
            <color indexed="81"/>
            <rFont val="Tahoma"/>
            <family val="2"/>
          </rPr>
          <t>The Control Side options are;
For Cord Lock &amp; Chain;
Left
Right
For Cordless &amp; Motorised;
N/A</t>
        </r>
      </text>
    </comment>
    <comment ref="M15" authorId="1" shapeId="0" xr:uid="{69D2241D-F52E-4119-8A2D-759008ADD3C9}">
      <text>
        <r>
          <rPr>
            <sz val="8"/>
            <color indexed="81"/>
            <rFont val="Tahoma"/>
            <family val="2"/>
          </rPr>
          <t>The Tilt options are;
For Cord Lock;
Left
Right
For Chain, Cordless &amp; Motorised;
N/A</t>
        </r>
      </text>
    </comment>
    <comment ref="O15" authorId="1" shapeId="0" xr:uid="{24587704-982D-4AF3-8271-ECF28C3ED6B6}">
      <text>
        <r>
          <rPr>
            <sz val="8"/>
            <color indexed="81"/>
            <rFont val="Tahoma"/>
            <family val="2"/>
          </rPr>
          <t>The Motor Remote options are;
Single Remote
Multi Remote</t>
        </r>
      </text>
    </comment>
    <comment ref="Q15" authorId="1" shapeId="0" xr:uid="{BDED0942-8873-41C5-91AE-7B83EEAE6865}">
      <text>
        <r>
          <rPr>
            <sz val="8"/>
            <color indexed="81"/>
            <rFont val="Tahoma"/>
            <family val="2"/>
          </rPr>
          <t>When left blank, 
no Cut Out applies.</t>
        </r>
      </text>
    </comment>
    <comment ref="D16" authorId="0" shapeId="0" xr:uid="{28F76AFE-9F9C-4C86-B1D6-66D482CA1D24}">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16" authorId="1" shapeId="0" xr:uid="{EACF6FC6-5214-4889-BAB2-98851A89FE1B}">
      <text>
        <r>
          <rPr>
            <sz val="8"/>
            <color indexed="81"/>
            <rFont val="Tahoma"/>
            <family val="2"/>
          </rPr>
          <t xml:space="preserve">The Colour options are 
dependent on the Product.
</t>
        </r>
        <r>
          <rPr>
            <i/>
            <sz val="8"/>
            <color indexed="81"/>
            <rFont val="Tahoma"/>
            <family val="2"/>
          </rPr>
          <t xml:space="preserve">
Please refer to the Swatches.</t>
        </r>
      </text>
    </comment>
    <comment ref="F16" authorId="1" shapeId="0" xr:uid="{0E5D1300-6C64-4D46-B313-09B25A24BCD8}">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6" authorId="1" shapeId="0" xr:uid="{F90F0FC4-20ED-403C-81FB-A9493C37D30F}">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6" authorId="1" shapeId="0" xr:uid="{593C5B7E-491D-4EA4-A124-98D61B9E883F}">
      <text>
        <r>
          <rPr>
            <sz val="8"/>
            <color indexed="81"/>
            <rFont val="Tahoma"/>
            <family val="2"/>
          </rPr>
          <t>When selecting a
Corner or Bay 
Window Type, 
the CMB Corner WS 
or the 
CMB Bay WS 
must be completed please.</t>
        </r>
      </text>
    </comment>
    <comment ref="I16" authorId="1" shapeId="0" xr:uid="{2A71C2C5-98D2-46C1-BF4D-A240F9FB9F3D}">
      <text>
        <r>
          <rPr>
            <sz val="8"/>
            <color indexed="81"/>
            <rFont val="Tahoma"/>
            <family val="2"/>
          </rPr>
          <t>The Fitting options are 
Face Fit
Recess Fit</t>
        </r>
      </text>
    </comment>
    <comment ref="J16" authorId="1" shapeId="0" xr:uid="{33703648-E8CF-4913-BCE9-71D8DA8612A4}">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16" authorId="1" shapeId="0" xr:uid="{507C4364-2F2D-4CBF-84DF-664BECC8A9F0}">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16" authorId="1" shapeId="0" xr:uid="{B2943506-D05D-4D5A-A3FD-4EE8E49D31A3}">
      <text>
        <r>
          <rPr>
            <sz val="8"/>
            <color indexed="81"/>
            <rFont val="Tahoma"/>
            <family val="2"/>
          </rPr>
          <t>The Control Side options are;
For Cord Lock &amp; Chain;
Left
Right
For Cordless &amp; Motorised;
N/A</t>
        </r>
      </text>
    </comment>
    <comment ref="M16" authorId="1" shapeId="0" xr:uid="{9DA5BEE6-54D0-480D-84A3-145543BE17E9}">
      <text>
        <r>
          <rPr>
            <sz val="8"/>
            <color indexed="81"/>
            <rFont val="Tahoma"/>
            <family val="2"/>
          </rPr>
          <t>The Tilt options are;
For Cord Lock;
Left
Right
For Chain, Cordless &amp; Motorised;
N/A</t>
        </r>
      </text>
    </comment>
    <comment ref="O16" authorId="1" shapeId="0" xr:uid="{C8492A3D-3AFE-4575-B78F-FF17852AAA0E}">
      <text>
        <r>
          <rPr>
            <sz val="8"/>
            <color indexed="81"/>
            <rFont val="Tahoma"/>
            <family val="2"/>
          </rPr>
          <t>The Motor Remote options are;
Single Remote
Multi Remote</t>
        </r>
      </text>
    </comment>
    <comment ref="Q16" authorId="1" shapeId="0" xr:uid="{B0A6EDCB-C83E-42AE-9570-E8E11804103C}">
      <text>
        <r>
          <rPr>
            <sz val="8"/>
            <color indexed="81"/>
            <rFont val="Tahoma"/>
            <family val="2"/>
          </rPr>
          <t>When left blank, 
no Cut Out applies.</t>
        </r>
      </text>
    </comment>
    <comment ref="D17" authorId="0" shapeId="0" xr:uid="{C1610CC0-1AF4-4E85-AF5C-E20585201F95}">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17" authorId="1" shapeId="0" xr:uid="{09FC3C4B-5887-478A-9F6E-9AB092B1265C}">
      <text>
        <r>
          <rPr>
            <sz val="8"/>
            <color indexed="81"/>
            <rFont val="Tahoma"/>
            <family val="2"/>
          </rPr>
          <t xml:space="preserve">The Colour options are 
dependent on the Product.
</t>
        </r>
        <r>
          <rPr>
            <i/>
            <sz val="8"/>
            <color indexed="81"/>
            <rFont val="Tahoma"/>
            <family val="2"/>
          </rPr>
          <t xml:space="preserve">
Please refer to the Swatches.</t>
        </r>
      </text>
    </comment>
    <comment ref="F17" authorId="1" shapeId="0" xr:uid="{1487E692-872B-486D-B082-063CF0D7740F}">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7" authorId="1" shapeId="0" xr:uid="{0B6C8B06-103A-40D4-BF71-6F9F8EA83E3F}">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7" authorId="1" shapeId="0" xr:uid="{C1AE7B04-0883-4649-92E1-2E3D1C12E73D}">
      <text>
        <r>
          <rPr>
            <sz val="8"/>
            <color indexed="81"/>
            <rFont val="Tahoma"/>
            <family val="2"/>
          </rPr>
          <t>When selecting a
Corner or Bay 
Window Type, 
the CMB Corner WS 
or the 
CMB Bay WS 
must be completed please.</t>
        </r>
      </text>
    </comment>
    <comment ref="I17" authorId="1" shapeId="0" xr:uid="{66A45CE0-2D72-491B-8A6C-015C43F7959E}">
      <text>
        <r>
          <rPr>
            <sz val="8"/>
            <color indexed="81"/>
            <rFont val="Tahoma"/>
            <family val="2"/>
          </rPr>
          <t>The Fitting options are 
Face Fit
Recess Fit</t>
        </r>
      </text>
    </comment>
    <comment ref="J17" authorId="1" shapeId="0" xr:uid="{EE73F2A6-72EE-44F8-81B0-DA505BDF7144}">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17" authorId="1" shapeId="0" xr:uid="{342B56AB-15C1-4CF2-B43B-1A818996E6D7}">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17" authorId="1" shapeId="0" xr:uid="{0F4C4592-0D51-4ABA-9936-E9F88814FC16}">
      <text>
        <r>
          <rPr>
            <sz val="8"/>
            <color indexed="81"/>
            <rFont val="Tahoma"/>
            <family val="2"/>
          </rPr>
          <t>The Control Side options are;
For Cord Lock &amp; Chain;
Left
Right
For Cordless &amp; Motorised;
N/A</t>
        </r>
      </text>
    </comment>
    <comment ref="M17" authorId="1" shapeId="0" xr:uid="{CFB1A9AC-A959-48BC-9C29-33C396642EFC}">
      <text>
        <r>
          <rPr>
            <sz val="8"/>
            <color indexed="81"/>
            <rFont val="Tahoma"/>
            <family val="2"/>
          </rPr>
          <t>The Tilt options are;
For Cord Lock;
Left
Right
For Chain, Cordless &amp; Motorised;
N/A</t>
        </r>
      </text>
    </comment>
    <comment ref="O17" authorId="1" shapeId="0" xr:uid="{742AC717-8345-49B8-971C-0A4C2AFEE073}">
      <text>
        <r>
          <rPr>
            <sz val="8"/>
            <color indexed="81"/>
            <rFont val="Tahoma"/>
            <family val="2"/>
          </rPr>
          <t>The Motor Remote options are;
Single Remote
Multi Remote</t>
        </r>
      </text>
    </comment>
    <comment ref="Q17" authorId="1" shapeId="0" xr:uid="{78ABC81F-2DB2-49F3-99DB-E70032C650F0}">
      <text>
        <r>
          <rPr>
            <sz val="8"/>
            <color indexed="81"/>
            <rFont val="Tahoma"/>
            <family val="2"/>
          </rPr>
          <t>When left blank, 
no Cut Out applies.</t>
        </r>
      </text>
    </comment>
    <comment ref="D18" authorId="0" shapeId="0" xr:uid="{86E019F7-7147-410C-8AA3-85E793801617}">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18" authorId="1" shapeId="0" xr:uid="{5437C489-9370-415C-9D8F-5211A19FE7B2}">
      <text>
        <r>
          <rPr>
            <sz val="8"/>
            <color indexed="81"/>
            <rFont val="Tahoma"/>
            <family val="2"/>
          </rPr>
          <t xml:space="preserve">The Colour options are 
dependent on the Product.
</t>
        </r>
        <r>
          <rPr>
            <i/>
            <sz val="8"/>
            <color indexed="81"/>
            <rFont val="Tahoma"/>
            <family val="2"/>
          </rPr>
          <t xml:space="preserve">
Please refer to the Swatches.</t>
        </r>
      </text>
    </comment>
    <comment ref="F18" authorId="1" shapeId="0" xr:uid="{7FDE6746-C494-41F8-A0C1-BCFE4BA7B476}">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8" authorId="1" shapeId="0" xr:uid="{4EE8FF05-1AED-4180-8CD2-3CBB86372A84}">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8" authorId="1" shapeId="0" xr:uid="{E4700A1F-CC23-42B2-BB31-32AE0840A33B}">
      <text>
        <r>
          <rPr>
            <sz val="8"/>
            <color indexed="81"/>
            <rFont val="Tahoma"/>
            <family val="2"/>
          </rPr>
          <t>When selecting a
Corner or Bay 
Window Type, 
the CMB Corner WS 
or the 
CMB Bay WS 
must be completed please.</t>
        </r>
      </text>
    </comment>
    <comment ref="I18" authorId="1" shapeId="0" xr:uid="{580423AB-2416-4929-8CE1-CAF34787FB13}">
      <text>
        <r>
          <rPr>
            <sz val="8"/>
            <color indexed="81"/>
            <rFont val="Tahoma"/>
            <family val="2"/>
          </rPr>
          <t>The Fitting options are 
Face Fit
Recess Fit</t>
        </r>
      </text>
    </comment>
    <comment ref="J18" authorId="1" shapeId="0" xr:uid="{460751B5-0EB6-44B5-ABFB-3A1E43767003}">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18" authorId="1" shapeId="0" xr:uid="{3DA58B47-401B-41AE-A658-3066900B41F8}">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18" authorId="1" shapeId="0" xr:uid="{5969BCFD-4223-4224-9E92-8A7F4AD4597E}">
      <text>
        <r>
          <rPr>
            <sz val="8"/>
            <color indexed="81"/>
            <rFont val="Tahoma"/>
            <family val="2"/>
          </rPr>
          <t>The Control Side options are;
For Cord Lock &amp; Chain;
Left
Right
For Cordless &amp; Motorised;
N/A</t>
        </r>
      </text>
    </comment>
    <comment ref="M18" authorId="1" shapeId="0" xr:uid="{44990FF2-28F7-4283-BD2C-D9506C675A66}">
      <text>
        <r>
          <rPr>
            <sz val="8"/>
            <color indexed="81"/>
            <rFont val="Tahoma"/>
            <family val="2"/>
          </rPr>
          <t>The Tilt options are;
For Cord Lock;
Left
Right
For Chain, Cordless &amp; Motorised;
N/A</t>
        </r>
      </text>
    </comment>
    <comment ref="O18" authorId="1" shapeId="0" xr:uid="{CC70096D-939E-4FB1-8E68-89244548B263}">
      <text>
        <r>
          <rPr>
            <sz val="8"/>
            <color indexed="81"/>
            <rFont val="Tahoma"/>
            <family val="2"/>
          </rPr>
          <t>The Motor Remote options are;
Single Remote
Multi Remote</t>
        </r>
      </text>
    </comment>
    <comment ref="Q18" authorId="1" shapeId="0" xr:uid="{89A46BE9-A8C3-421D-93AD-2D1C4A5598D0}">
      <text>
        <r>
          <rPr>
            <sz val="8"/>
            <color indexed="81"/>
            <rFont val="Tahoma"/>
            <family val="2"/>
          </rPr>
          <t>When left blank, 
no Cut Out applies.</t>
        </r>
      </text>
    </comment>
    <comment ref="D19" authorId="0" shapeId="0" xr:uid="{FF430AE0-7659-49EC-85BD-59C7A04EF44B}">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19" authorId="1" shapeId="0" xr:uid="{3CEA59E9-95C5-47E6-9219-0C948DA8B2EE}">
      <text>
        <r>
          <rPr>
            <sz val="8"/>
            <color indexed="81"/>
            <rFont val="Tahoma"/>
            <family val="2"/>
          </rPr>
          <t xml:space="preserve">The Colour options are 
dependent on the Product.
</t>
        </r>
        <r>
          <rPr>
            <i/>
            <sz val="8"/>
            <color indexed="81"/>
            <rFont val="Tahoma"/>
            <family val="2"/>
          </rPr>
          <t xml:space="preserve">
Please refer to the Swatches.</t>
        </r>
      </text>
    </comment>
    <comment ref="F19" authorId="1" shapeId="0" xr:uid="{765B7FA5-01D2-4E5B-A1FC-DFEE0AF151E2}">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9" authorId="1" shapeId="0" xr:uid="{3E5A5318-637F-4D29-A4D7-CD8917258037}">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9" authorId="1" shapeId="0" xr:uid="{EC411685-A80A-447B-B696-C0F160BE745D}">
      <text>
        <r>
          <rPr>
            <sz val="8"/>
            <color indexed="81"/>
            <rFont val="Tahoma"/>
            <family val="2"/>
          </rPr>
          <t>When selecting a
Corner or Bay 
Window Type, 
the CMB Corner WS 
or the 
CMB Bay WS 
must be completed please.</t>
        </r>
      </text>
    </comment>
    <comment ref="I19" authorId="1" shapeId="0" xr:uid="{28DA7E1E-D76D-49A9-9467-4C729D1A6F7A}">
      <text>
        <r>
          <rPr>
            <sz val="8"/>
            <color indexed="81"/>
            <rFont val="Tahoma"/>
            <family val="2"/>
          </rPr>
          <t>The Fitting options are 
Face Fit
Recess Fit</t>
        </r>
      </text>
    </comment>
    <comment ref="J19" authorId="1" shapeId="0" xr:uid="{463AF809-BE74-4A69-B1DE-AC76F2AD8192}">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19" authorId="1" shapeId="0" xr:uid="{968FDCE7-8D11-4B89-A2F0-8963DB438766}">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19" authorId="1" shapeId="0" xr:uid="{42D80C98-A342-449B-ABE5-9DAB999A6BE6}">
      <text>
        <r>
          <rPr>
            <sz val="8"/>
            <color indexed="81"/>
            <rFont val="Tahoma"/>
            <family val="2"/>
          </rPr>
          <t>The Control Side options are;
For Cord Lock &amp; Chain;
Left
Right
For Cordless &amp; Motorised;
N/A</t>
        </r>
      </text>
    </comment>
    <comment ref="M19" authorId="1" shapeId="0" xr:uid="{0E4E19E9-9B97-4036-A1A7-11FCD9171FE0}">
      <text>
        <r>
          <rPr>
            <sz val="8"/>
            <color indexed="81"/>
            <rFont val="Tahoma"/>
            <family val="2"/>
          </rPr>
          <t>The Tilt options are;
For Cord Lock;
Left
Right
For Chain, Cordless &amp; Motorised;
N/A</t>
        </r>
      </text>
    </comment>
    <comment ref="O19" authorId="1" shapeId="0" xr:uid="{081A1978-4235-417C-9EAE-9A04FF3BE8B6}">
      <text>
        <r>
          <rPr>
            <sz val="8"/>
            <color indexed="81"/>
            <rFont val="Tahoma"/>
            <family val="2"/>
          </rPr>
          <t>The Motor Remote options are;
Single Remote
Multi Remote</t>
        </r>
      </text>
    </comment>
    <comment ref="Q19" authorId="1" shapeId="0" xr:uid="{7434DD38-DC6C-4E27-B018-9743DA6274CC}">
      <text>
        <r>
          <rPr>
            <sz val="8"/>
            <color indexed="81"/>
            <rFont val="Tahoma"/>
            <family val="2"/>
          </rPr>
          <t>When left blank, 
no Cut Out applies.</t>
        </r>
      </text>
    </comment>
    <comment ref="D20" authorId="0" shapeId="0" xr:uid="{E95D42E2-D684-4F37-9596-2C75FB068B60}">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20" authorId="1" shapeId="0" xr:uid="{12FEF88D-186B-4E8D-A193-F54F7292B351}">
      <text>
        <r>
          <rPr>
            <sz val="8"/>
            <color indexed="81"/>
            <rFont val="Tahoma"/>
            <family val="2"/>
          </rPr>
          <t xml:space="preserve">The Colour options are 
dependent on the Product.
</t>
        </r>
        <r>
          <rPr>
            <i/>
            <sz val="8"/>
            <color indexed="81"/>
            <rFont val="Tahoma"/>
            <family val="2"/>
          </rPr>
          <t xml:space="preserve">
Please refer to the Swatches.</t>
        </r>
      </text>
    </comment>
    <comment ref="F20" authorId="1" shapeId="0" xr:uid="{ADBEA684-6226-420C-A8DC-B9A7F93FD037}">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0" authorId="1" shapeId="0" xr:uid="{76A346B4-1616-4D1A-BD51-F47C4E99369F}">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0" authorId="1" shapeId="0" xr:uid="{F05A4508-C728-42CB-B158-04B9543DD797}">
      <text>
        <r>
          <rPr>
            <sz val="8"/>
            <color indexed="81"/>
            <rFont val="Tahoma"/>
            <family val="2"/>
          </rPr>
          <t>When selecting a
Corner or Bay 
Window Type, 
the CMB Corner WS 
or the 
CMB Bay WS 
must be completed please.</t>
        </r>
      </text>
    </comment>
    <comment ref="I20" authorId="1" shapeId="0" xr:uid="{769C8D83-46B6-4E74-805C-A9CD1A30E40E}">
      <text>
        <r>
          <rPr>
            <sz val="8"/>
            <color indexed="81"/>
            <rFont val="Tahoma"/>
            <family val="2"/>
          </rPr>
          <t>The Fitting options are 
Face Fit
Recess Fit</t>
        </r>
      </text>
    </comment>
    <comment ref="J20" authorId="1" shapeId="0" xr:uid="{FA11B792-21CF-42D8-BDE1-09BB81F2824F}">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20" authorId="1" shapeId="0" xr:uid="{0C57C302-5F22-409C-93BE-71CACA5F1523}">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20" authorId="1" shapeId="0" xr:uid="{21523BF8-C9E7-4886-8D24-6D17CF3172DD}">
      <text>
        <r>
          <rPr>
            <sz val="8"/>
            <color indexed="81"/>
            <rFont val="Tahoma"/>
            <family val="2"/>
          </rPr>
          <t>The Control Side options are;
For Cord Lock &amp; Chain;
Left
Right
For Cordless &amp; Motorised;
N/A</t>
        </r>
      </text>
    </comment>
    <comment ref="M20" authorId="1" shapeId="0" xr:uid="{CD9E420C-305E-489D-BB80-D15A7B2C513C}">
      <text>
        <r>
          <rPr>
            <sz val="8"/>
            <color indexed="81"/>
            <rFont val="Tahoma"/>
            <family val="2"/>
          </rPr>
          <t>The Tilt options are;
For Cord Lock;
Left
Right
For Chain, Cordless &amp; Motorised;
N/A</t>
        </r>
      </text>
    </comment>
    <comment ref="O20" authorId="1" shapeId="0" xr:uid="{96A145CC-44AD-4323-A551-73E58BB61BFC}">
      <text>
        <r>
          <rPr>
            <sz val="8"/>
            <color indexed="81"/>
            <rFont val="Tahoma"/>
            <family val="2"/>
          </rPr>
          <t>The Motor Remote options are;
Single Remote
Multi Remote</t>
        </r>
      </text>
    </comment>
    <comment ref="Q20" authorId="1" shapeId="0" xr:uid="{471B589B-D986-4245-A3AF-34818BA0D8EF}">
      <text>
        <r>
          <rPr>
            <sz val="8"/>
            <color indexed="81"/>
            <rFont val="Tahoma"/>
            <family val="2"/>
          </rPr>
          <t>When left blank, 
no Cut Out applies.</t>
        </r>
      </text>
    </comment>
    <comment ref="D21" authorId="0" shapeId="0" xr:uid="{0AAB3B61-CA2D-4F75-8970-67422E5B7322}">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21" authorId="1" shapeId="0" xr:uid="{8651DDC0-2628-4375-AED7-3A0D3085095C}">
      <text>
        <r>
          <rPr>
            <sz val="8"/>
            <color indexed="81"/>
            <rFont val="Tahoma"/>
            <family val="2"/>
          </rPr>
          <t xml:space="preserve">The Colour options are 
dependent on the Product.
</t>
        </r>
        <r>
          <rPr>
            <i/>
            <sz val="8"/>
            <color indexed="81"/>
            <rFont val="Tahoma"/>
            <family val="2"/>
          </rPr>
          <t xml:space="preserve">
Please refer to the Swatches.</t>
        </r>
      </text>
    </comment>
    <comment ref="F21" authorId="1" shapeId="0" xr:uid="{461AA3F3-113D-4DA9-8ED0-E2CB2C4A40BA}">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1" authorId="1" shapeId="0" xr:uid="{C87B93C6-BEA2-4372-A330-8C34B3595E8C}">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1" authorId="1" shapeId="0" xr:uid="{6E2BC187-FCD2-4127-BAD1-CD64FA3E6FE6}">
      <text>
        <r>
          <rPr>
            <sz val="8"/>
            <color indexed="81"/>
            <rFont val="Tahoma"/>
            <family val="2"/>
          </rPr>
          <t>When selecting a
Corner or Bay 
Window Type, 
the CMB Corner WS 
or the 
CMB Bay WS 
must be completed please.</t>
        </r>
      </text>
    </comment>
    <comment ref="I21" authorId="1" shapeId="0" xr:uid="{3D9FD4A6-5E41-41D7-83AA-4E074CA5C23D}">
      <text>
        <r>
          <rPr>
            <sz val="8"/>
            <color indexed="81"/>
            <rFont val="Tahoma"/>
            <family val="2"/>
          </rPr>
          <t>The Fitting options are 
Face Fit
Recess Fit</t>
        </r>
      </text>
    </comment>
    <comment ref="J21" authorId="1" shapeId="0" xr:uid="{56156354-3905-4C75-9504-9651729908A9}">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21" authorId="1" shapeId="0" xr:uid="{8C832BCF-B012-4D95-B375-A0C3BE34166E}">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21" authorId="1" shapeId="0" xr:uid="{CF8F5176-7F90-490F-BDEE-E4E6D97E408E}">
      <text>
        <r>
          <rPr>
            <sz val="8"/>
            <color indexed="81"/>
            <rFont val="Tahoma"/>
            <family val="2"/>
          </rPr>
          <t>The Control Side options are;
For Cord Lock &amp; Chain;
Left
Right
For Cordless &amp; Motorised;
N/A</t>
        </r>
      </text>
    </comment>
    <comment ref="M21" authorId="1" shapeId="0" xr:uid="{44B1797D-C160-4378-A78A-EF2FF9B53EFB}">
      <text>
        <r>
          <rPr>
            <sz val="8"/>
            <color indexed="81"/>
            <rFont val="Tahoma"/>
            <family val="2"/>
          </rPr>
          <t>The Tilt options are;
For Cord Lock;
Left
Right
For Chain, Cordless &amp; Motorised;
N/A</t>
        </r>
      </text>
    </comment>
    <comment ref="O21" authorId="1" shapeId="0" xr:uid="{29AF6AF4-F3B0-4C4A-A701-C1B931CECA3D}">
      <text>
        <r>
          <rPr>
            <sz val="8"/>
            <color indexed="81"/>
            <rFont val="Tahoma"/>
            <family val="2"/>
          </rPr>
          <t>The Motor Remote options are;
Single Remote
Multi Remote</t>
        </r>
      </text>
    </comment>
    <comment ref="Q21" authorId="1" shapeId="0" xr:uid="{D77B3C02-8B44-4F1E-A04B-61B657007DEB}">
      <text>
        <r>
          <rPr>
            <sz val="8"/>
            <color indexed="81"/>
            <rFont val="Tahoma"/>
            <family val="2"/>
          </rPr>
          <t>When left blank, 
no Cut Out applies.</t>
        </r>
      </text>
    </comment>
    <comment ref="D22" authorId="0" shapeId="0" xr:uid="{042BC50F-9166-4D49-AFE4-8A5634979CE9}">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22" authorId="1" shapeId="0" xr:uid="{DC7309A6-383C-4D2A-9665-E21DFA515007}">
      <text>
        <r>
          <rPr>
            <sz val="8"/>
            <color indexed="81"/>
            <rFont val="Tahoma"/>
            <family val="2"/>
          </rPr>
          <t xml:space="preserve">The Colour options are 
dependent on the Product.
</t>
        </r>
        <r>
          <rPr>
            <i/>
            <sz val="8"/>
            <color indexed="81"/>
            <rFont val="Tahoma"/>
            <family val="2"/>
          </rPr>
          <t xml:space="preserve">
Please refer to the Swatches.</t>
        </r>
      </text>
    </comment>
    <comment ref="F22" authorId="1" shapeId="0" xr:uid="{BFABD83B-4F5C-4715-8091-0D4C17D56063}">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2" authorId="1" shapeId="0" xr:uid="{F178078C-F67C-4DC3-93B2-FA65F810A9A9}">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2" authorId="1" shapeId="0" xr:uid="{68A296D0-2BD9-435E-97C8-E4F961AB911B}">
      <text>
        <r>
          <rPr>
            <sz val="8"/>
            <color indexed="81"/>
            <rFont val="Tahoma"/>
            <family val="2"/>
          </rPr>
          <t>When selecting a
Corner or Bay 
Window Type, 
the CMB Corner WS 
or the 
CMB Bay WS 
must be completed please.</t>
        </r>
      </text>
    </comment>
    <comment ref="I22" authorId="1" shapeId="0" xr:uid="{645500CF-EF19-49AB-AC6D-08467407D959}">
      <text>
        <r>
          <rPr>
            <sz val="8"/>
            <color indexed="81"/>
            <rFont val="Tahoma"/>
            <family val="2"/>
          </rPr>
          <t>The Fitting options are 
Face Fit
Recess Fit</t>
        </r>
      </text>
    </comment>
    <comment ref="J22" authorId="1" shapeId="0" xr:uid="{9E685534-F7C1-4CD7-AD7D-1EC696BA29BC}">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22" authorId="1" shapeId="0" xr:uid="{B9B51E74-32DD-4019-843C-AE4947FF0053}">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22" authorId="1" shapeId="0" xr:uid="{EAF0097E-FD07-4702-A6BE-3EDA311692DC}">
      <text>
        <r>
          <rPr>
            <sz val="8"/>
            <color indexed="81"/>
            <rFont val="Tahoma"/>
            <family val="2"/>
          </rPr>
          <t>The Control Side options are;
For Cord Lock &amp; Chain;
Left
Right
For Cordless &amp; Motorised;
N/A</t>
        </r>
      </text>
    </comment>
    <comment ref="M22" authorId="1" shapeId="0" xr:uid="{93985016-D167-4BEB-9E4B-10F99486FDD5}">
      <text>
        <r>
          <rPr>
            <sz val="8"/>
            <color indexed="81"/>
            <rFont val="Tahoma"/>
            <family val="2"/>
          </rPr>
          <t>The Tilt options are;
For Cord Lock;
Left
Right
For Chain, Cordless &amp; Motorised;
N/A</t>
        </r>
      </text>
    </comment>
    <comment ref="O22" authorId="1" shapeId="0" xr:uid="{38D4D402-8418-463F-918E-523EC83CBB11}">
      <text>
        <r>
          <rPr>
            <sz val="8"/>
            <color indexed="81"/>
            <rFont val="Tahoma"/>
            <family val="2"/>
          </rPr>
          <t>The Motor Remote options are;
Single Remote
Multi Remote</t>
        </r>
      </text>
    </comment>
    <comment ref="Q22" authorId="1" shapeId="0" xr:uid="{2DDA7934-1216-4FFC-96CF-E7D63E6C334A}">
      <text>
        <r>
          <rPr>
            <sz val="8"/>
            <color indexed="81"/>
            <rFont val="Tahoma"/>
            <family val="2"/>
          </rPr>
          <t>When left blank, 
no Cut Out applies.</t>
        </r>
      </text>
    </comment>
    <comment ref="D23" authorId="0" shapeId="0" xr:uid="{01CC14A2-280F-4B6F-A840-B8DCD034BE64}">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23" authorId="1" shapeId="0" xr:uid="{D4B3ED20-D34B-442F-A059-B6839368B12B}">
      <text>
        <r>
          <rPr>
            <sz val="8"/>
            <color indexed="81"/>
            <rFont val="Tahoma"/>
            <family val="2"/>
          </rPr>
          <t xml:space="preserve">The Colour options are 
dependent on the Product.
</t>
        </r>
        <r>
          <rPr>
            <i/>
            <sz val="8"/>
            <color indexed="81"/>
            <rFont val="Tahoma"/>
            <family val="2"/>
          </rPr>
          <t xml:space="preserve">
Please refer to the Swatches.</t>
        </r>
      </text>
    </comment>
    <comment ref="F23" authorId="1" shapeId="0" xr:uid="{4473C1FB-8B4F-4923-9D11-AF1A566ED6E3}">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3" authorId="1" shapeId="0" xr:uid="{C9308DDB-7A46-45AA-B5C2-7FE8D7FC5819}">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3" authorId="1" shapeId="0" xr:uid="{8A667B55-D09C-4B16-A982-1AB3AAB0D017}">
      <text>
        <r>
          <rPr>
            <sz val="8"/>
            <color indexed="81"/>
            <rFont val="Tahoma"/>
            <family val="2"/>
          </rPr>
          <t>When selecting a
Corner or Bay 
Window Type, 
the CMB Corner WS 
or the 
CMB Bay WS 
must be completed please.</t>
        </r>
      </text>
    </comment>
    <comment ref="I23" authorId="1" shapeId="0" xr:uid="{4B6B370C-6196-4BA8-8346-A8638AB52ED5}">
      <text>
        <r>
          <rPr>
            <sz val="8"/>
            <color indexed="81"/>
            <rFont val="Tahoma"/>
            <family val="2"/>
          </rPr>
          <t>The Fitting options are 
Face Fit
Recess Fit</t>
        </r>
      </text>
    </comment>
    <comment ref="J23" authorId="1" shapeId="0" xr:uid="{3083A8BA-570E-4358-9303-E0F978209483}">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23" authorId="1" shapeId="0" xr:uid="{CA57A02C-DF5D-4F40-B8CE-F4997537B4B3}">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23" authorId="1" shapeId="0" xr:uid="{8BCE3619-C223-4FEF-8122-19A8851AE0DD}">
      <text>
        <r>
          <rPr>
            <sz val="8"/>
            <color indexed="81"/>
            <rFont val="Tahoma"/>
            <family val="2"/>
          </rPr>
          <t>The Control Side options are;
For Cord Lock &amp; Chain;
Left
Right
For Cordless &amp; Motorised;
N/A</t>
        </r>
      </text>
    </comment>
    <comment ref="M23" authorId="1" shapeId="0" xr:uid="{CB6B8A2B-A5DD-4097-BF4B-70B5ED5C7475}">
      <text>
        <r>
          <rPr>
            <sz val="8"/>
            <color indexed="81"/>
            <rFont val="Tahoma"/>
            <family val="2"/>
          </rPr>
          <t>The Tilt options are;
For Cord Lock;
Left
Right
For Chain, Cordless &amp; Motorised;
N/A</t>
        </r>
      </text>
    </comment>
    <comment ref="O23" authorId="1" shapeId="0" xr:uid="{D8B2D338-5D57-429B-8D4E-38B74A05CDC3}">
      <text>
        <r>
          <rPr>
            <sz val="8"/>
            <color indexed="81"/>
            <rFont val="Tahoma"/>
            <family val="2"/>
          </rPr>
          <t>The Motor Remote options are;
Single Remote
Multi Remote</t>
        </r>
      </text>
    </comment>
    <comment ref="Q23" authorId="1" shapeId="0" xr:uid="{81AF9B52-6E66-417C-BB46-8CE6C5A0F097}">
      <text>
        <r>
          <rPr>
            <sz val="8"/>
            <color indexed="81"/>
            <rFont val="Tahoma"/>
            <family val="2"/>
          </rPr>
          <t>When left blank, 
no Cut Out applies.</t>
        </r>
      </text>
    </comment>
    <comment ref="D24" authorId="0" shapeId="0" xr:uid="{8D3AAAD9-045C-4E31-9621-FFDDAE03469E}">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24" authorId="1" shapeId="0" xr:uid="{D98476BC-8F37-4D4F-ACE6-69EF807C5A83}">
      <text>
        <r>
          <rPr>
            <sz val="8"/>
            <color indexed="81"/>
            <rFont val="Tahoma"/>
            <family val="2"/>
          </rPr>
          <t xml:space="preserve">The Colour options are 
dependent on the Product.
</t>
        </r>
        <r>
          <rPr>
            <i/>
            <sz val="8"/>
            <color indexed="81"/>
            <rFont val="Tahoma"/>
            <family val="2"/>
          </rPr>
          <t xml:space="preserve">
Please refer to the Swatches.</t>
        </r>
      </text>
    </comment>
    <comment ref="F24" authorId="1" shapeId="0" xr:uid="{90AEF9EE-84E3-4296-AD9D-FA7F14BE7B6B}">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4" authorId="1" shapeId="0" xr:uid="{37A2173B-33A2-44DA-B027-B45B899F8AC2}">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4" authorId="1" shapeId="0" xr:uid="{7DF87B5B-8037-4EB1-88BE-981AD7FA4785}">
      <text>
        <r>
          <rPr>
            <sz val="8"/>
            <color indexed="81"/>
            <rFont val="Tahoma"/>
            <family val="2"/>
          </rPr>
          <t>When selecting a
Corner or Bay 
Window Type, 
the CMB Corner WS 
or the 
CMB Bay WS 
must be completed please.</t>
        </r>
      </text>
    </comment>
    <comment ref="I24" authorId="1" shapeId="0" xr:uid="{053BA6BE-F3BF-4CC0-9E1B-7BA136E1CD88}">
      <text>
        <r>
          <rPr>
            <sz val="8"/>
            <color indexed="81"/>
            <rFont val="Tahoma"/>
            <family val="2"/>
          </rPr>
          <t>The Fitting options are 
Face Fit
Recess Fit</t>
        </r>
      </text>
    </comment>
    <comment ref="J24" authorId="1" shapeId="0" xr:uid="{B915F577-79C5-47C7-BADD-49CA6FF5280B}">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24" authorId="1" shapeId="0" xr:uid="{79BE2902-FFA5-4194-89DB-1F1CC5587B15}">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24" authorId="1" shapeId="0" xr:uid="{726E27F6-D249-4019-9017-DFB5315319DB}">
      <text>
        <r>
          <rPr>
            <sz val="8"/>
            <color indexed="81"/>
            <rFont val="Tahoma"/>
            <family val="2"/>
          </rPr>
          <t>The Control Side options are;
For Cord Lock &amp; Chain;
Left
Right
For Cordless &amp; Motorised;
N/A</t>
        </r>
      </text>
    </comment>
    <comment ref="M24" authorId="1" shapeId="0" xr:uid="{A9AB3E68-288F-4105-8A36-DE2D2E45A584}">
      <text>
        <r>
          <rPr>
            <sz val="8"/>
            <color indexed="81"/>
            <rFont val="Tahoma"/>
            <family val="2"/>
          </rPr>
          <t>The Tilt options are;
For Cord Lock;
Left
Right
For Chain, Cordless &amp; Motorised;
N/A</t>
        </r>
      </text>
    </comment>
    <comment ref="O24" authorId="1" shapeId="0" xr:uid="{B1EA3827-8A30-413A-AD7B-FFF9CD9855D3}">
      <text>
        <r>
          <rPr>
            <sz val="8"/>
            <color indexed="81"/>
            <rFont val="Tahoma"/>
            <family val="2"/>
          </rPr>
          <t>The Motor Remote options are;
Single Remote
Multi Remote</t>
        </r>
      </text>
    </comment>
    <comment ref="Q24" authorId="1" shapeId="0" xr:uid="{A10A9C37-6BCE-48D3-B5F9-DEA1BCDAB929}">
      <text>
        <r>
          <rPr>
            <sz val="8"/>
            <color indexed="81"/>
            <rFont val="Tahoma"/>
            <family val="2"/>
          </rPr>
          <t>When left blank, 
no Cut Out applies.</t>
        </r>
      </text>
    </comment>
    <comment ref="D25" authorId="0" shapeId="0" xr:uid="{B193E57B-5A16-46D2-8ECB-96D591ED9C5D}">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25" authorId="1" shapeId="0" xr:uid="{D50983DE-EFAB-4DD0-81EB-86FA42F1EAC0}">
      <text>
        <r>
          <rPr>
            <sz val="8"/>
            <color indexed="81"/>
            <rFont val="Tahoma"/>
            <family val="2"/>
          </rPr>
          <t xml:space="preserve">The Colour options are 
dependent on the Product.
</t>
        </r>
        <r>
          <rPr>
            <i/>
            <sz val="8"/>
            <color indexed="81"/>
            <rFont val="Tahoma"/>
            <family val="2"/>
          </rPr>
          <t xml:space="preserve">
Please refer to the Swatches.</t>
        </r>
      </text>
    </comment>
    <comment ref="F25" authorId="1" shapeId="0" xr:uid="{25BEF5FD-D631-4B9B-B61B-40E45FAB35A6}">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5" authorId="1" shapeId="0" xr:uid="{6313CC5C-C043-46F0-A4DD-FD3ABD710C98}">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5" authorId="1" shapeId="0" xr:uid="{04E828AA-DAC8-46AD-B9BB-5AF53CCE2FBC}">
      <text>
        <r>
          <rPr>
            <sz val="8"/>
            <color indexed="81"/>
            <rFont val="Tahoma"/>
            <family val="2"/>
          </rPr>
          <t>When selecting a
Corner or Bay 
Window Type, 
the CMB Corner WS 
or the 
CMB Bay WS 
must be completed please.</t>
        </r>
      </text>
    </comment>
    <comment ref="I25" authorId="1" shapeId="0" xr:uid="{04B4F2C7-4114-4A6D-B4A7-CC5B584410D9}">
      <text>
        <r>
          <rPr>
            <sz val="8"/>
            <color indexed="81"/>
            <rFont val="Tahoma"/>
            <family val="2"/>
          </rPr>
          <t>The Fitting options are 
Face Fit
Recess Fit</t>
        </r>
      </text>
    </comment>
    <comment ref="J25" authorId="1" shapeId="0" xr:uid="{0C760515-08F0-47EC-B965-131D9BE288D7}">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25" authorId="1" shapeId="0" xr:uid="{1F1AEB17-32CF-4927-9D20-BC20722CE220}">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25" authorId="1" shapeId="0" xr:uid="{46725C0D-65D8-4676-82C7-7AC5C750F84C}">
      <text>
        <r>
          <rPr>
            <sz val="8"/>
            <color indexed="81"/>
            <rFont val="Tahoma"/>
            <family val="2"/>
          </rPr>
          <t>The Control Side options are;
For Cord Lock &amp; Chain;
Left
Right
For Cordless &amp; Motorised;
N/A</t>
        </r>
      </text>
    </comment>
    <comment ref="M25" authorId="1" shapeId="0" xr:uid="{409557EE-B211-4FE7-8438-1BEF99043B5E}">
      <text>
        <r>
          <rPr>
            <sz val="8"/>
            <color indexed="81"/>
            <rFont val="Tahoma"/>
            <family val="2"/>
          </rPr>
          <t>The Tilt options are;
For Cord Lock;
Left
Right
For Chain, Cordless &amp; Motorised;
N/A</t>
        </r>
      </text>
    </comment>
    <comment ref="O25" authorId="1" shapeId="0" xr:uid="{AB6FA715-9C32-499D-A988-8FC974CDA2C5}">
      <text>
        <r>
          <rPr>
            <sz val="8"/>
            <color indexed="81"/>
            <rFont val="Tahoma"/>
            <family val="2"/>
          </rPr>
          <t>The Motor Remote options are;
Single Remote
Multi Remote</t>
        </r>
      </text>
    </comment>
    <comment ref="Q25" authorId="1" shapeId="0" xr:uid="{52623FE7-1A98-4C34-BDA9-BE408CD1CD93}">
      <text>
        <r>
          <rPr>
            <sz val="8"/>
            <color indexed="81"/>
            <rFont val="Tahoma"/>
            <family val="2"/>
          </rPr>
          <t>When left blank, 
no Cut Out applies.</t>
        </r>
      </text>
    </comment>
    <comment ref="D26" authorId="0" shapeId="0" xr:uid="{86C5ACDE-FD30-494E-ADA4-93A161163D78}">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26" authorId="1" shapeId="0" xr:uid="{DCC69855-DB1A-43BE-8ABA-8C1749D11882}">
      <text>
        <r>
          <rPr>
            <sz val="8"/>
            <color indexed="81"/>
            <rFont val="Tahoma"/>
            <family val="2"/>
          </rPr>
          <t xml:space="preserve">The Colour options are 
dependent on the Product.
</t>
        </r>
        <r>
          <rPr>
            <i/>
            <sz val="8"/>
            <color indexed="81"/>
            <rFont val="Tahoma"/>
            <family val="2"/>
          </rPr>
          <t xml:space="preserve">
Please refer to the Swatches.</t>
        </r>
      </text>
    </comment>
    <comment ref="F26" authorId="1" shapeId="0" xr:uid="{F1920FA8-7ED7-4A4D-9634-F3B8C58291DE}">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6" authorId="1" shapeId="0" xr:uid="{6C2A3B9E-5704-4C86-8B3F-769A422346C7}">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6" authorId="1" shapeId="0" xr:uid="{1F430921-04CD-4FD6-8C42-0ACF36173B48}">
      <text>
        <r>
          <rPr>
            <sz val="8"/>
            <color indexed="81"/>
            <rFont val="Tahoma"/>
            <family val="2"/>
          </rPr>
          <t>When selecting a
Corner or Bay 
Window Type, 
the CMB Corner WS 
or the 
CMB Bay WS 
must be completed please.</t>
        </r>
      </text>
    </comment>
    <comment ref="I26" authorId="1" shapeId="0" xr:uid="{72FC1FAB-F235-4824-B9B0-13045EE36EBB}">
      <text>
        <r>
          <rPr>
            <sz val="8"/>
            <color indexed="81"/>
            <rFont val="Tahoma"/>
            <family val="2"/>
          </rPr>
          <t>The Fitting options are 
Face Fit
Recess Fit</t>
        </r>
      </text>
    </comment>
    <comment ref="J26" authorId="1" shapeId="0" xr:uid="{3C3B0E35-4D31-4019-A9EF-A80749768B32}">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26" authorId="1" shapeId="0" xr:uid="{86816D85-2C68-4177-8C12-FEB01326AB17}">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26" authorId="1" shapeId="0" xr:uid="{6CA2C7B3-1AB8-4A94-8AD1-8BBB861007CF}">
      <text>
        <r>
          <rPr>
            <sz val="8"/>
            <color indexed="81"/>
            <rFont val="Tahoma"/>
            <family val="2"/>
          </rPr>
          <t>The Control Side options are;
For Cord Lock &amp; Chain;
Left
Right
For Cordless &amp; Motorised;
N/A</t>
        </r>
      </text>
    </comment>
    <comment ref="M26" authorId="1" shapeId="0" xr:uid="{BDAAA675-0DF4-43E5-94CA-9055E29DB165}">
      <text>
        <r>
          <rPr>
            <sz val="8"/>
            <color indexed="81"/>
            <rFont val="Tahoma"/>
            <family val="2"/>
          </rPr>
          <t>The Tilt options are;
For Cord Lock;
Left
Right
For Chain, Cordless &amp; Motorised;
N/A</t>
        </r>
      </text>
    </comment>
    <comment ref="O26" authorId="1" shapeId="0" xr:uid="{AEDEB751-9843-41D6-A3CB-ED6A00742D2B}">
      <text>
        <r>
          <rPr>
            <sz val="8"/>
            <color indexed="81"/>
            <rFont val="Tahoma"/>
            <family val="2"/>
          </rPr>
          <t>The Motor Remote options are;
Single Remote
Multi Remote</t>
        </r>
      </text>
    </comment>
    <comment ref="Q26" authorId="1" shapeId="0" xr:uid="{EB68088B-4882-4F87-9CE1-D31CCAD2E32B}">
      <text>
        <r>
          <rPr>
            <sz val="8"/>
            <color indexed="81"/>
            <rFont val="Tahoma"/>
            <family val="2"/>
          </rPr>
          <t>When left blank, 
no Cut Out applies.</t>
        </r>
      </text>
    </comment>
    <comment ref="D27" authorId="0" shapeId="0" xr:uid="{72FCFC1A-728C-4FCB-AC68-6174454CE671}">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27" authorId="1" shapeId="0" xr:uid="{1B41F0E8-AE56-46DE-9E31-1D57B7E5B9A3}">
      <text>
        <r>
          <rPr>
            <sz val="8"/>
            <color indexed="81"/>
            <rFont val="Tahoma"/>
            <family val="2"/>
          </rPr>
          <t xml:space="preserve">The Colour options are 
dependent on the Product.
</t>
        </r>
        <r>
          <rPr>
            <i/>
            <sz val="8"/>
            <color indexed="81"/>
            <rFont val="Tahoma"/>
            <family val="2"/>
          </rPr>
          <t xml:space="preserve">
Please refer to the Swatches.</t>
        </r>
      </text>
    </comment>
    <comment ref="F27" authorId="1" shapeId="0" xr:uid="{B804A8F5-90AB-443E-814E-D4E8E0B175B0}">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7" authorId="1" shapeId="0" xr:uid="{58A9D4DF-5BA0-4164-B8C2-FA38AD3A90DF}">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7" authorId="1" shapeId="0" xr:uid="{42FB6D34-F2CF-4DE5-BE9F-8D9DD6F23994}">
      <text>
        <r>
          <rPr>
            <sz val="8"/>
            <color indexed="81"/>
            <rFont val="Tahoma"/>
            <family val="2"/>
          </rPr>
          <t>When selecting a
Corner or Bay 
Window Type, 
the CMB Corner WS 
or the 
CMB Bay WS 
must be completed please.</t>
        </r>
      </text>
    </comment>
    <comment ref="I27" authorId="1" shapeId="0" xr:uid="{E0A470D8-6381-4D9D-AEF4-BB234784860F}">
      <text>
        <r>
          <rPr>
            <sz val="8"/>
            <color indexed="81"/>
            <rFont val="Tahoma"/>
            <family val="2"/>
          </rPr>
          <t>The Fitting options are 
Face Fit
Recess Fit</t>
        </r>
      </text>
    </comment>
    <comment ref="J27" authorId="1" shapeId="0" xr:uid="{12BB026F-C06E-48EC-BDB7-ACC8812B9F9D}">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27" authorId="1" shapeId="0" xr:uid="{3DF6A503-0A03-41CC-878A-7A103472E949}">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27" authorId="1" shapeId="0" xr:uid="{3F3B8FAF-F4E0-4418-9C19-440F54D743C0}">
      <text>
        <r>
          <rPr>
            <sz val="8"/>
            <color indexed="81"/>
            <rFont val="Tahoma"/>
            <family val="2"/>
          </rPr>
          <t>The Control Side options are;
For Cord Lock &amp; Chain;
Left
Right
For Cordless &amp; Motorised;
N/A</t>
        </r>
      </text>
    </comment>
    <comment ref="M27" authorId="1" shapeId="0" xr:uid="{1A426359-6D21-4D9F-9C3B-FE0057E51E7E}">
      <text>
        <r>
          <rPr>
            <sz val="8"/>
            <color indexed="81"/>
            <rFont val="Tahoma"/>
            <family val="2"/>
          </rPr>
          <t>The Tilt options are;
For Cord Lock;
Left
Right
For Chain, Cordless &amp; Motorised;
N/A</t>
        </r>
      </text>
    </comment>
    <comment ref="O27" authorId="1" shapeId="0" xr:uid="{263FF8D7-10F3-4AA2-8A54-2478DCF25400}">
      <text>
        <r>
          <rPr>
            <sz val="8"/>
            <color indexed="81"/>
            <rFont val="Tahoma"/>
            <family val="2"/>
          </rPr>
          <t>The Motor Remote options are;
Single Remote
Multi Remote</t>
        </r>
      </text>
    </comment>
    <comment ref="Q27" authorId="1" shapeId="0" xr:uid="{3A30FA18-9D1C-4C75-975A-3C1129A4689C}">
      <text>
        <r>
          <rPr>
            <sz val="8"/>
            <color indexed="81"/>
            <rFont val="Tahoma"/>
            <family val="2"/>
          </rPr>
          <t>When left blank, 
no Cut Out applies.</t>
        </r>
      </text>
    </comment>
    <comment ref="D28" authorId="0" shapeId="0" xr:uid="{72D88AF5-CBD9-49E8-9747-8276742991B2}">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28" authorId="1" shapeId="0" xr:uid="{E7A9E112-5C87-4DDB-A2A5-FE0EFB1A54A4}">
      <text>
        <r>
          <rPr>
            <sz val="8"/>
            <color indexed="81"/>
            <rFont val="Tahoma"/>
            <family val="2"/>
          </rPr>
          <t xml:space="preserve">The Colour options are 
dependent on the Product.
</t>
        </r>
        <r>
          <rPr>
            <i/>
            <sz val="8"/>
            <color indexed="81"/>
            <rFont val="Tahoma"/>
            <family val="2"/>
          </rPr>
          <t xml:space="preserve">
Please refer to the Swatches.</t>
        </r>
      </text>
    </comment>
    <comment ref="F28" authorId="1" shapeId="0" xr:uid="{5F4E893F-B2DA-4980-A6CE-1D5F05CC15DF}">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8" authorId="1" shapeId="0" xr:uid="{D199BAC4-9FFE-4A6F-9D36-DC97F19DEAEA}">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8" authorId="1" shapeId="0" xr:uid="{CA605E03-3534-4F53-B927-C38DE3B021FB}">
      <text>
        <r>
          <rPr>
            <sz val="8"/>
            <color indexed="81"/>
            <rFont val="Tahoma"/>
            <family val="2"/>
          </rPr>
          <t>When selecting a
Corner or Bay 
Window Type, 
the CMB Corner WS 
or the 
CMB Bay WS 
must be completed please.</t>
        </r>
      </text>
    </comment>
    <comment ref="I28" authorId="1" shapeId="0" xr:uid="{56935957-00DB-48F8-B945-30FA9C557489}">
      <text>
        <r>
          <rPr>
            <sz val="8"/>
            <color indexed="81"/>
            <rFont val="Tahoma"/>
            <family val="2"/>
          </rPr>
          <t>The Fitting options are 
Face Fit
Recess Fit</t>
        </r>
      </text>
    </comment>
    <comment ref="J28" authorId="1" shapeId="0" xr:uid="{AC79BE69-43FA-4133-919B-39098BFDB783}">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28" authorId="1" shapeId="0" xr:uid="{F44DD996-6522-4277-BB9D-6B19C96DBC5B}">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28" authorId="1" shapeId="0" xr:uid="{3C9F8BE9-9924-4F1B-8A2E-EEFC291411D0}">
      <text>
        <r>
          <rPr>
            <sz val="8"/>
            <color indexed="81"/>
            <rFont val="Tahoma"/>
            <family val="2"/>
          </rPr>
          <t>The Control Side options are;
For Cord Lock &amp; Chain;
Left
Right
For Cordless &amp; Motorised;
N/A</t>
        </r>
      </text>
    </comment>
    <comment ref="M28" authorId="1" shapeId="0" xr:uid="{DF34F4E0-AA1C-433E-9947-A1A2D80D5243}">
      <text>
        <r>
          <rPr>
            <sz val="8"/>
            <color indexed="81"/>
            <rFont val="Tahoma"/>
            <family val="2"/>
          </rPr>
          <t>The Tilt options are;
For Cord Lock;
Left
Right
For Chain, Cordless &amp; Motorised;
N/A</t>
        </r>
      </text>
    </comment>
    <comment ref="O28" authorId="1" shapeId="0" xr:uid="{81275F3B-8C3A-4583-998C-FDD8B99A52B1}">
      <text>
        <r>
          <rPr>
            <sz val="8"/>
            <color indexed="81"/>
            <rFont val="Tahoma"/>
            <family val="2"/>
          </rPr>
          <t>The Motor Remote options are;
Single Remote
Multi Remote</t>
        </r>
      </text>
    </comment>
    <comment ref="Q28" authorId="1" shapeId="0" xr:uid="{33692C26-E539-4991-BC6C-0F3604B49FB7}">
      <text>
        <r>
          <rPr>
            <sz val="8"/>
            <color indexed="81"/>
            <rFont val="Tahoma"/>
            <family val="2"/>
          </rPr>
          <t>When left blank, 
no Cut Out applies.</t>
        </r>
      </text>
    </comment>
    <comment ref="D29" authorId="0" shapeId="0" xr:uid="{326C4D96-D831-476A-BB39-F2821480CE01}">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29" authorId="1" shapeId="0" xr:uid="{DEE8F872-8AB0-44E1-9831-7D38710D3D42}">
      <text>
        <r>
          <rPr>
            <sz val="8"/>
            <color indexed="81"/>
            <rFont val="Tahoma"/>
            <family val="2"/>
          </rPr>
          <t xml:space="preserve">The Colour options are 
dependent on the Product.
</t>
        </r>
        <r>
          <rPr>
            <i/>
            <sz val="8"/>
            <color indexed="81"/>
            <rFont val="Tahoma"/>
            <family val="2"/>
          </rPr>
          <t xml:space="preserve">
Please refer to the Swatches.</t>
        </r>
      </text>
    </comment>
    <comment ref="F29" authorId="1" shapeId="0" xr:uid="{3D46BDE9-0C68-47E7-85F3-83AA3CEF9D28}">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9" authorId="1" shapeId="0" xr:uid="{F754D141-5E26-4E74-825A-ED935E112EB4}">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9" authorId="1" shapeId="0" xr:uid="{E45D14B5-6670-411B-A994-9FC74707C5C2}">
      <text>
        <r>
          <rPr>
            <sz val="8"/>
            <color indexed="81"/>
            <rFont val="Tahoma"/>
            <family val="2"/>
          </rPr>
          <t>When selecting a
Corner or Bay 
Window Type, 
the CMB Corner WS 
or the 
CMB Bay WS 
must be completed please.</t>
        </r>
      </text>
    </comment>
    <comment ref="I29" authorId="1" shapeId="0" xr:uid="{71DD52C0-B70D-4A18-A6D1-B4AEEDD3B8AA}">
      <text>
        <r>
          <rPr>
            <sz val="8"/>
            <color indexed="81"/>
            <rFont val="Tahoma"/>
            <family val="2"/>
          </rPr>
          <t>The Fitting options are 
Face Fit
Recess Fit</t>
        </r>
      </text>
    </comment>
    <comment ref="J29" authorId="1" shapeId="0" xr:uid="{7672449F-1FC2-4770-A829-BEC3A21ED3EE}">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29" authorId="1" shapeId="0" xr:uid="{599D7954-4136-4146-802E-E721B250E835}">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29" authorId="1" shapeId="0" xr:uid="{FA82C0B0-79F2-4244-9ED4-B0CF4B6FA774}">
      <text>
        <r>
          <rPr>
            <sz val="8"/>
            <color indexed="81"/>
            <rFont val="Tahoma"/>
            <family val="2"/>
          </rPr>
          <t>The Control Side options are;
For Cord Lock &amp; Chain;
Left
Right
For Cordless &amp; Motorised;
N/A</t>
        </r>
      </text>
    </comment>
    <comment ref="M29" authorId="1" shapeId="0" xr:uid="{76A82491-40E8-4102-B283-B5ADD86E08D9}">
      <text>
        <r>
          <rPr>
            <sz val="8"/>
            <color indexed="81"/>
            <rFont val="Tahoma"/>
            <family val="2"/>
          </rPr>
          <t>The Tilt options are;
For Cord Lock;
Left
Right
For Chain, Cordless &amp; Motorised;
N/A</t>
        </r>
      </text>
    </comment>
    <comment ref="O29" authorId="1" shapeId="0" xr:uid="{5D23E71C-2F77-4A96-8FA0-DD6E5C86252A}">
      <text>
        <r>
          <rPr>
            <sz val="8"/>
            <color indexed="81"/>
            <rFont val="Tahoma"/>
            <family val="2"/>
          </rPr>
          <t>The Motor Remote options are;
Single Remote
Multi Remote</t>
        </r>
      </text>
    </comment>
    <comment ref="Q29" authorId="1" shapeId="0" xr:uid="{5E6F2B68-7F94-4052-87C3-EF7FBD8894AD}">
      <text>
        <r>
          <rPr>
            <sz val="8"/>
            <color indexed="81"/>
            <rFont val="Tahoma"/>
            <family val="2"/>
          </rPr>
          <t>When left blank, 
no Cut Out applies.</t>
        </r>
      </text>
    </comment>
    <comment ref="D30" authorId="0" shapeId="0" xr:uid="{A7A62A60-CD06-4BB4-9501-1A562DD1D50E}">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30" authorId="1" shapeId="0" xr:uid="{B3AF1D4D-C0D0-4D0E-9909-1F5BB6A633CD}">
      <text>
        <r>
          <rPr>
            <sz val="8"/>
            <color indexed="81"/>
            <rFont val="Tahoma"/>
            <family val="2"/>
          </rPr>
          <t xml:space="preserve">The Colour options are 
dependent on the Product.
</t>
        </r>
        <r>
          <rPr>
            <i/>
            <sz val="8"/>
            <color indexed="81"/>
            <rFont val="Tahoma"/>
            <family val="2"/>
          </rPr>
          <t xml:space="preserve">
Please refer to the Swatches.</t>
        </r>
      </text>
    </comment>
    <comment ref="F30" authorId="1" shapeId="0" xr:uid="{EEBA02AD-E61A-47E8-9DE4-846987C4C763}">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0" authorId="1" shapeId="0" xr:uid="{2DEB6CB5-5D3E-48F4-99E7-B4E9ED1DB35E}">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0" authorId="1" shapeId="0" xr:uid="{5D93DE9A-A3A4-4DE3-A08E-6CDDB981D243}">
      <text>
        <r>
          <rPr>
            <sz val="8"/>
            <color indexed="81"/>
            <rFont val="Tahoma"/>
            <family val="2"/>
          </rPr>
          <t>When selecting a
Corner or Bay 
Window Type, 
the CMB Corner WS 
or the 
CMB Bay WS 
must be completed please.</t>
        </r>
      </text>
    </comment>
    <comment ref="I30" authorId="1" shapeId="0" xr:uid="{8A4C4F0D-1503-4300-8404-53D4DA4C7744}">
      <text>
        <r>
          <rPr>
            <sz val="8"/>
            <color indexed="81"/>
            <rFont val="Tahoma"/>
            <family val="2"/>
          </rPr>
          <t>The Fitting options are 
Face Fit
Recess Fit</t>
        </r>
      </text>
    </comment>
    <comment ref="J30" authorId="1" shapeId="0" xr:uid="{E427CA0B-751C-47CD-8226-73BA36D0D1B2}">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30" authorId="1" shapeId="0" xr:uid="{3826919F-C120-4118-BCA9-E300E77DAD36}">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30" authorId="1" shapeId="0" xr:uid="{ED97A764-15FA-4398-B7CA-99C5535B1381}">
      <text>
        <r>
          <rPr>
            <sz val="8"/>
            <color indexed="81"/>
            <rFont val="Tahoma"/>
            <family val="2"/>
          </rPr>
          <t>The Control Side options are;
For Cord Lock &amp; Chain;
Left
Right
For Cordless &amp; Motorised;
N/A</t>
        </r>
      </text>
    </comment>
    <comment ref="M30" authorId="1" shapeId="0" xr:uid="{51100739-B29D-478C-84E9-117BB138A0FB}">
      <text>
        <r>
          <rPr>
            <sz val="8"/>
            <color indexed="81"/>
            <rFont val="Tahoma"/>
            <family val="2"/>
          </rPr>
          <t>The Tilt options are;
For Cord Lock;
Left
Right
For Chain, Cordless &amp; Motorised;
N/A</t>
        </r>
      </text>
    </comment>
    <comment ref="O30" authorId="1" shapeId="0" xr:uid="{8F7127C8-352B-47E5-A0F0-AC3E40D02889}">
      <text>
        <r>
          <rPr>
            <sz val="8"/>
            <color indexed="81"/>
            <rFont val="Tahoma"/>
            <family val="2"/>
          </rPr>
          <t>The Motor Remote options are;
Single Remote
Multi Remote</t>
        </r>
      </text>
    </comment>
    <comment ref="Q30" authorId="1" shapeId="0" xr:uid="{F21E499E-A79F-49F2-AC94-0F7F143B5E4D}">
      <text>
        <r>
          <rPr>
            <sz val="8"/>
            <color indexed="81"/>
            <rFont val="Tahoma"/>
            <family val="2"/>
          </rPr>
          <t>When left blank, 
no Cut Out applies.</t>
        </r>
      </text>
    </comment>
    <comment ref="D31" authorId="0" shapeId="0" xr:uid="{38E4B409-B78C-418E-BE63-CE5E058DB621}">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31" authorId="1" shapeId="0" xr:uid="{6667BE33-ED19-479C-9F05-8C38244C9A77}">
      <text>
        <r>
          <rPr>
            <sz val="8"/>
            <color indexed="81"/>
            <rFont val="Tahoma"/>
            <family val="2"/>
          </rPr>
          <t xml:space="preserve">The Colour options are 
dependent on the Product.
</t>
        </r>
        <r>
          <rPr>
            <i/>
            <sz val="8"/>
            <color indexed="81"/>
            <rFont val="Tahoma"/>
            <family val="2"/>
          </rPr>
          <t xml:space="preserve">
Please refer to the Swatches.</t>
        </r>
      </text>
    </comment>
    <comment ref="F31" authorId="1" shapeId="0" xr:uid="{0B0D9EF4-E1A4-4084-8D07-6A581932E173}">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1" authorId="1" shapeId="0" xr:uid="{C8F767B6-AA63-47B8-8FA2-6A8B9EC880EB}">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1" authorId="1" shapeId="0" xr:uid="{CAC71217-F3A2-453B-AAD6-22B2987A2986}">
      <text>
        <r>
          <rPr>
            <sz val="8"/>
            <color indexed="81"/>
            <rFont val="Tahoma"/>
            <family val="2"/>
          </rPr>
          <t>When selecting a
Corner or Bay 
Window Type, 
the CMB Corner WS 
or the 
CMB Bay WS 
must be completed please.</t>
        </r>
      </text>
    </comment>
    <comment ref="I31" authorId="1" shapeId="0" xr:uid="{1AA76F86-8ECF-45F8-8824-B55998BE64EC}">
      <text>
        <r>
          <rPr>
            <sz val="8"/>
            <color indexed="81"/>
            <rFont val="Tahoma"/>
            <family val="2"/>
          </rPr>
          <t>The Fitting options are 
Face Fit
Recess Fit</t>
        </r>
      </text>
    </comment>
    <comment ref="J31" authorId="1" shapeId="0" xr:uid="{07725709-FCBC-4284-846C-7610D4CF502A}">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31" authorId="1" shapeId="0" xr:uid="{758131D2-3D0F-47B5-A5AC-D7DE1E7396A1}">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31" authorId="1" shapeId="0" xr:uid="{1AE70663-44C4-448D-8D02-BBCF4C5B8610}">
      <text>
        <r>
          <rPr>
            <sz val="8"/>
            <color indexed="81"/>
            <rFont val="Tahoma"/>
            <family val="2"/>
          </rPr>
          <t>The Control Side options are;
For Cord Lock &amp; Chain;
Left
Right
For Cordless &amp; Motorised;
N/A</t>
        </r>
      </text>
    </comment>
    <comment ref="M31" authorId="1" shapeId="0" xr:uid="{6B0508CA-3EA9-42A7-A650-9A40ED3E9C9F}">
      <text>
        <r>
          <rPr>
            <sz val="8"/>
            <color indexed="81"/>
            <rFont val="Tahoma"/>
            <family val="2"/>
          </rPr>
          <t>The Tilt options are;
For Cord Lock;
Left
Right
For Chain, Cordless &amp; Motorised;
N/A</t>
        </r>
      </text>
    </comment>
    <comment ref="O31" authorId="1" shapeId="0" xr:uid="{4F6D65A1-0408-463E-B490-D36338B5F8FC}">
      <text>
        <r>
          <rPr>
            <sz val="8"/>
            <color indexed="81"/>
            <rFont val="Tahoma"/>
            <family val="2"/>
          </rPr>
          <t>The Motor Remote options are;
Single Remote
Multi Remote</t>
        </r>
      </text>
    </comment>
    <comment ref="Q31" authorId="1" shapeId="0" xr:uid="{60AB4582-E3FF-4276-8DE1-480F2124D19F}">
      <text>
        <r>
          <rPr>
            <sz val="8"/>
            <color indexed="81"/>
            <rFont val="Tahoma"/>
            <family val="2"/>
          </rPr>
          <t>When left blank, 
no Cut Out applies.</t>
        </r>
      </text>
    </comment>
    <comment ref="D32" authorId="0" shapeId="0" xr:uid="{DCA04158-B888-48B7-86BE-656F11486CF7}">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32" authorId="1" shapeId="0" xr:uid="{81235356-73C3-4285-9384-A7FBC1488306}">
      <text>
        <r>
          <rPr>
            <sz val="8"/>
            <color indexed="81"/>
            <rFont val="Tahoma"/>
            <family val="2"/>
          </rPr>
          <t xml:space="preserve">The Colour options are 
dependent on the Product.
</t>
        </r>
        <r>
          <rPr>
            <i/>
            <sz val="8"/>
            <color indexed="81"/>
            <rFont val="Tahoma"/>
            <family val="2"/>
          </rPr>
          <t xml:space="preserve">
Please refer to the Swatches.</t>
        </r>
      </text>
    </comment>
    <comment ref="F32" authorId="1" shapeId="0" xr:uid="{B99DE830-1F6C-45A6-89B1-B97B4B6C7B69}">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2" authorId="1" shapeId="0" xr:uid="{54FCA42C-DAB9-49C9-9CF4-817F2FCEE749}">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2" authorId="1" shapeId="0" xr:uid="{F9E02E6E-3701-49BC-A05E-2DCA36E6E051}">
      <text>
        <r>
          <rPr>
            <sz val="8"/>
            <color indexed="81"/>
            <rFont val="Tahoma"/>
            <family val="2"/>
          </rPr>
          <t>When selecting a
Corner or Bay 
Window Type, 
the CMB Corner WS 
or the 
CMB Bay WS 
must be completed please.</t>
        </r>
      </text>
    </comment>
    <comment ref="I32" authorId="1" shapeId="0" xr:uid="{80BD8A8E-0866-455C-9925-4A6E9CE63449}">
      <text>
        <r>
          <rPr>
            <sz val="8"/>
            <color indexed="81"/>
            <rFont val="Tahoma"/>
            <family val="2"/>
          </rPr>
          <t>The Fitting options are 
Face Fit
Recess Fit</t>
        </r>
      </text>
    </comment>
    <comment ref="J32" authorId="1" shapeId="0" xr:uid="{3FF0AB61-6DCB-41BC-8FFC-B8C46A7DBFA3}">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32" authorId="1" shapeId="0" xr:uid="{06394AD2-8D86-42B5-B0DB-B310DB916F99}">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32" authorId="1" shapeId="0" xr:uid="{3C28532A-0020-4964-B3D9-1E5467E66681}">
      <text>
        <r>
          <rPr>
            <sz val="8"/>
            <color indexed="81"/>
            <rFont val="Tahoma"/>
            <family val="2"/>
          </rPr>
          <t>The Control Side options are;
For Cord Lock &amp; Chain;
Left
Right
For Cordless &amp; Motorised;
N/A</t>
        </r>
      </text>
    </comment>
    <comment ref="M32" authorId="1" shapeId="0" xr:uid="{7D9B62F4-1CD0-4E96-BDE9-0FEDB30A77E0}">
      <text>
        <r>
          <rPr>
            <sz val="8"/>
            <color indexed="81"/>
            <rFont val="Tahoma"/>
            <family val="2"/>
          </rPr>
          <t>The Tilt options are;
For Cord Lock;
Left
Right
For Chain, Cordless &amp; Motorised;
N/A</t>
        </r>
      </text>
    </comment>
    <comment ref="O32" authorId="1" shapeId="0" xr:uid="{8FA7CB44-F44B-431E-8B3A-AE7A9BDD59AD}">
      <text>
        <r>
          <rPr>
            <sz val="8"/>
            <color indexed="81"/>
            <rFont val="Tahoma"/>
            <family val="2"/>
          </rPr>
          <t>The Motor Remote options are;
Single Remote
Multi Remote</t>
        </r>
      </text>
    </comment>
    <comment ref="Q32" authorId="1" shapeId="0" xr:uid="{D23B790B-8769-4AEB-8CC8-8A214B1AF654}">
      <text>
        <r>
          <rPr>
            <sz val="8"/>
            <color indexed="81"/>
            <rFont val="Tahoma"/>
            <family val="2"/>
          </rPr>
          <t>When left blank, 
no Cut Out applies.</t>
        </r>
      </text>
    </comment>
    <comment ref="D33" authorId="0" shapeId="0" xr:uid="{CFF2EE4E-2B6E-4CA6-B7C4-C46157ADF2E9}">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33" authorId="1" shapeId="0" xr:uid="{407B7D64-4B53-4D0B-AC7C-CA3FE034CFB1}">
      <text>
        <r>
          <rPr>
            <sz val="8"/>
            <color indexed="81"/>
            <rFont val="Tahoma"/>
            <family val="2"/>
          </rPr>
          <t xml:space="preserve">The Colour options are 
dependent on the Product.
</t>
        </r>
        <r>
          <rPr>
            <i/>
            <sz val="8"/>
            <color indexed="81"/>
            <rFont val="Tahoma"/>
            <family val="2"/>
          </rPr>
          <t xml:space="preserve">
Please refer to the Swatches.</t>
        </r>
      </text>
    </comment>
    <comment ref="F33" authorId="1" shapeId="0" xr:uid="{CF6A9590-F230-4522-8794-110297BD3DA7}">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3" authorId="1" shapeId="0" xr:uid="{AC659A64-40A7-45A8-B958-9036ED55DBE7}">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3" authorId="1" shapeId="0" xr:uid="{49A3AC47-EC41-4431-8A58-661041DBBF09}">
      <text>
        <r>
          <rPr>
            <sz val="8"/>
            <color indexed="81"/>
            <rFont val="Tahoma"/>
            <family val="2"/>
          </rPr>
          <t>When selecting a
Corner or Bay 
Window Type, 
the CMB Corner WS 
or the 
CMB Bay WS 
must be completed please.</t>
        </r>
      </text>
    </comment>
    <comment ref="I33" authorId="1" shapeId="0" xr:uid="{1184DFD3-D818-4FFB-8B4B-77A8648FFE0E}">
      <text>
        <r>
          <rPr>
            <sz val="8"/>
            <color indexed="81"/>
            <rFont val="Tahoma"/>
            <family val="2"/>
          </rPr>
          <t>The Fitting options are 
Face Fit
Recess Fit</t>
        </r>
      </text>
    </comment>
    <comment ref="J33" authorId="1" shapeId="0" xr:uid="{877CC135-B9D9-45A2-A5D4-2BD10DE8491A}">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33" authorId="1" shapeId="0" xr:uid="{CE5D35E6-DC10-4A91-B2B0-C6D528EB668C}">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33" authorId="1" shapeId="0" xr:uid="{EBA114B6-EEC1-4D95-BC51-B33937E6F1DE}">
      <text>
        <r>
          <rPr>
            <sz val="8"/>
            <color indexed="81"/>
            <rFont val="Tahoma"/>
            <family val="2"/>
          </rPr>
          <t>The Control Side options are;
For Cord Lock &amp; Chain;
Left
Right
For Cordless &amp; Motorised;
N/A</t>
        </r>
      </text>
    </comment>
    <comment ref="M33" authorId="1" shapeId="0" xr:uid="{D1E3BD4B-E9A3-4903-910C-A6699312ACFE}">
      <text>
        <r>
          <rPr>
            <sz val="8"/>
            <color indexed="81"/>
            <rFont val="Tahoma"/>
            <family val="2"/>
          </rPr>
          <t>The Tilt options are;
For Cord Lock;
Left
Right
For Chain, Cordless &amp; Motorised;
N/A</t>
        </r>
      </text>
    </comment>
    <comment ref="O33" authorId="1" shapeId="0" xr:uid="{AECB849B-2C45-4CF0-A4C4-4705D6282CFE}">
      <text>
        <r>
          <rPr>
            <sz val="8"/>
            <color indexed="81"/>
            <rFont val="Tahoma"/>
            <family val="2"/>
          </rPr>
          <t>The Motor Remote options are;
Single Remote
Multi Remote</t>
        </r>
      </text>
    </comment>
    <comment ref="Q33" authorId="1" shapeId="0" xr:uid="{98B6A745-9AF5-4FC0-A30D-615BC5F9AEDF}">
      <text>
        <r>
          <rPr>
            <sz val="8"/>
            <color indexed="81"/>
            <rFont val="Tahoma"/>
            <family val="2"/>
          </rPr>
          <t>When left blank, 
no Cut Out applies.</t>
        </r>
      </text>
    </comment>
    <comment ref="D34" authorId="0" shapeId="0" xr:uid="{AA73FE2E-147F-40EA-B380-2F105875E74F}">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34" authorId="1" shapeId="0" xr:uid="{8063CA28-5B18-4D73-87A9-A511F65706A7}">
      <text>
        <r>
          <rPr>
            <sz val="8"/>
            <color indexed="81"/>
            <rFont val="Tahoma"/>
            <family val="2"/>
          </rPr>
          <t xml:space="preserve">The Colour options are 
dependent on the Product.
</t>
        </r>
        <r>
          <rPr>
            <i/>
            <sz val="8"/>
            <color indexed="81"/>
            <rFont val="Tahoma"/>
            <family val="2"/>
          </rPr>
          <t xml:space="preserve">
Please refer to the Swatches.</t>
        </r>
      </text>
    </comment>
    <comment ref="F34" authorId="1" shapeId="0" xr:uid="{F5E24DC4-7B13-4757-9FBE-5C5DC78A10E7}">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4" authorId="1" shapeId="0" xr:uid="{F5420499-3C48-48E2-AABC-05AA6BBEBE96}">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4" authorId="1" shapeId="0" xr:uid="{9C584ADF-BD2F-40BA-8CF0-6BBBC1C5080D}">
      <text>
        <r>
          <rPr>
            <sz val="8"/>
            <color indexed="81"/>
            <rFont val="Tahoma"/>
            <family val="2"/>
          </rPr>
          <t>When selecting a
Corner or Bay 
Window Type, 
the CMB Corner WS 
or the 
CMB Bay WS 
must be completed please.</t>
        </r>
      </text>
    </comment>
    <comment ref="I34" authorId="1" shapeId="0" xr:uid="{A69E0235-F818-4D7C-843E-57DC4D893E82}">
      <text>
        <r>
          <rPr>
            <sz val="8"/>
            <color indexed="81"/>
            <rFont val="Tahoma"/>
            <family val="2"/>
          </rPr>
          <t>The Fitting options are 
Face Fit
Recess Fit</t>
        </r>
      </text>
    </comment>
    <comment ref="J34" authorId="1" shapeId="0" xr:uid="{A143CE52-E372-4C7F-B4AF-9789F5AC1083}">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34" authorId="1" shapeId="0" xr:uid="{9868F92D-E4B9-46E6-B11B-F8E27F69B635}">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34" authorId="1" shapeId="0" xr:uid="{180D4AC9-16C6-4F73-8D1B-730CF82B856A}">
      <text>
        <r>
          <rPr>
            <sz val="8"/>
            <color indexed="81"/>
            <rFont val="Tahoma"/>
            <family val="2"/>
          </rPr>
          <t>The Control Side options are;
For Cord Lock &amp; Chain;
Left
Right
For Cordless &amp; Motorised;
N/A</t>
        </r>
      </text>
    </comment>
    <comment ref="M34" authorId="1" shapeId="0" xr:uid="{719D246B-DC13-487F-A873-A3071EB45AC9}">
      <text>
        <r>
          <rPr>
            <sz val="8"/>
            <color indexed="81"/>
            <rFont val="Tahoma"/>
            <family val="2"/>
          </rPr>
          <t>The Tilt options are;
For Cord Lock;
Left
Right
For Chain, Cordless &amp; Motorised;
N/A</t>
        </r>
      </text>
    </comment>
    <comment ref="O34" authorId="1" shapeId="0" xr:uid="{F95A2D5B-C8E4-4DB2-A26A-E1D400A2E90E}">
      <text>
        <r>
          <rPr>
            <sz val="8"/>
            <color indexed="81"/>
            <rFont val="Tahoma"/>
            <family val="2"/>
          </rPr>
          <t>The Motor Remote options are;
Single Remote
Multi Remote</t>
        </r>
      </text>
    </comment>
    <comment ref="Q34" authorId="1" shapeId="0" xr:uid="{90CCF967-50F6-435D-B65C-73393BC1EB69}">
      <text>
        <r>
          <rPr>
            <sz val="8"/>
            <color indexed="81"/>
            <rFont val="Tahoma"/>
            <family val="2"/>
          </rPr>
          <t>When left blank, 
no Cut Out applies.</t>
        </r>
      </text>
    </comment>
    <comment ref="D35" authorId="0" shapeId="0" xr:uid="{FC8A47CA-932F-4DA0-8202-770FCC9F0A6D}">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35" authorId="1" shapeId="0" xr:uid="{6CD75136-B0A6-455A-849C-0A30219EA0BC}">
      <text>
        <r>
          <rPr>
            <sz val="8"/>
            <color indexed="81"/>
            <rFont val="Tahoma"/>
            <family val="2"/>
          </rPr>
          <t xml:space="preserve">The Colour options are 
dependent on the Product.
</t>
        </r>
        <r>
          <rPr>
            <i/>
            <sz val="8"/>
            <color indexed="81"/>
            <rFont val="Tahoma"/>
            <family val="2"/>
          </rPr>
          <t xml:space="preserve">
Please refer to the Swatches.</t>
        </r>
      </text>
    </comment>
    <comment ref="F35" authorId="1" shapeId="0" xr:uid="{35C1E0B5-32BF-4E95-A761-76BAD2A5CE74}">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5" authorId="1" shapeId="0" xr:uid="{29D60AA2-8F0D-418C-B2AC-48EDCB70D888}">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5" authorId="1" shapeId="0" xr:uid="{8FA6F7F2-816F-44E8-90E7-38AB3BC14EB6}">
      <text>
        <r>
          <rPr>
            <sz val="8"/>
            <color indexed="81"/>
            <rFont val="Tahoma"/>
            <family val="2"/>
          </rPr>
          <t>When selecting a
Corner or Bay 
Window Type, 
the CMB Corner WS 
or the 
CMB Bay WS 
must be completed please.</t>
        </r>
      </text>
    </comment>
    <comment ref="I35" authorId="1" shapeId="0" xr:uid="{0B36B05D-59A6-4DFC-896A-445D237E42E1}">
      <text>
        <r>
          <rPr>
            <sz val="8"/>
            <color indexed="81"/>
            <rFont val="Tahoma"/>
            <family val="2"/>
          </rPr>
          <t>The Fitting options are 
Face Fit
Recess Fit</t>
        </r>
      </text>
    </comment>
    <comment ref="J35" authorId="1" shapeId="0" xr:uid="{69B39F93-35DA-4569-8938-C884346C3A2E}">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35" authorId="1" shapeId="0" xr:uid="{DD3B4AE8-4EE3-4180-AE85-EEB1346A2CEA}">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35" authorId="1" shapeId="0" xr:uid="{A98C4B01-E13B-44AA-9554-650A8A87F825}">
      <text>
        <r>
          <rPr>
            <sz val="8"/>
            <color indexed="81"/>
            <rFont val="Tahoma"/>
            <family val="2"/>
          </rPr>
          <t>The Control Side options are;
For Cord Lock &amp; Chain;
Left
Right
For Cordless &amp; Motorised;
N/A</t>
        </r>
      </text>
    </comment>
    <comment ref="M35" authorId="1" shapeId="0" xr:uid="{C75E9F69-A739-486A-88C8-FF32D3F034A6}">
      <text>
        <r>
          <rPr>
            <sz val="8"/>
            <color indexed="81"/>
            <rFont val="Tahoma"/>
            <family val="2"/>
          </rPr>
          <t>The Tilt options are;
For Cord Lock;
Left
Right
For Chain, Cordless &amp; Motorised;
N/A</t>
        </r>
      </text>
    </comment>
    <comment ref="O35" authorId="1" shapeId="0" xr:uid="{1556A421-1F82-406E-99BE-D273934EDD12}">
      <text>
        <r>
          <rPr>
            <sz val="8"/>
            <color indexed="81"/>
            <rFont val="Tahoma"/>
            <family val="2"/>
          </rPr>
          <t>The Motor Remote options are;
Single Remote
Multi Remote</t>
        </r>
      </text>
    </comment>
    <comment ref="Q35" authorId="1" shapeId="0" xr:uid="{A6DB3A01-F247-47F4-8A79-4814A4B75AC9}">
      <text>
        <r>
          <rPr>
            <sz val="8"/>
            <color indexed="81"/>
            <rFont val="Tahoma"/>
            <family val="2"/>
          </rPr>
          <t>When left blank, 
no Cut Out applies.</t>
        </r>
      </text>
    </comment>
    <comment ref="D36" authorId="0" shapeId="0" xr:uid="{9569EFBD-9AB7-4DDA-9A78-CC0E770B129B}">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36" authorId="1" shapeId="0" xr:uid="{21926ACC-F641-4BE8-8ED2-8C4F4CC84277}">
      <text>
        <r>
          <rPr>
            <sz val="8"/>
            <color indexed="81"/>
            <rFont val="Tahoma"/>
            <family val="2"/>
          </rPr>
          <t xml:space="preserve">The Colour options are 
dependent on the Product.
</t>
        </r>
        <r>
          <rPr>
            <i/>
            <sz val="8"/>
            <color indexed="81"/>
            <rFont val="Tahoma"/>
            <family val="2"/>
          </rPr>
          <t xml:space="preserve">
Please refer to the Swatches.</t>
        </r>
      </text>
    </comment>
    <comment ref="F36" authorId="1" shapeId="0" xr:uid="{C23B273B-08E2-445E-8012-2BD798483B1B}">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6" authorId="1" shapeId="0" xr:uid="{F9EC18DD-CFC5-463A-87E5-B97DF6E7A57D}">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6" authorId="1" shapeId="0" xr:uid="{ADEEF168-602C-4638-8B5A-5366E7CFF8BD}">
      <text>
        <r>
          <rPr>
            <sz val="8"/>
            <color indexed="81"/>
            <rFont val="Tahoma"/>
            <family val="2"/>
          </rPr>
          <t>When selecting a
Corner or Bay 
Window Type, 
the CMB Corner WS 
or the 
CMB Bay WS 
must be completed please.</t>
        </r>
      </text>
    </comment>
    <comment ref="I36" authorId="1" shapeId="0" xr:uid="{EC428437-43CB-4CC4-95D4-44F85E217EFF}">
      <text>
        <r>
          <rPr>
            <sz val="8"/>
            <color indexed="81"/>
            <rFont val="Tahoma"/>
            <family val="2"/>
          </rPr>
          <t>The Fitting options are 
Face Fit
Recess Fit</t>
        </r>
      </text>
    </comment>
    <comment ref="J36" authorId="1" shapeId="0" xr:uid="{11258598-0B71-4CFD-ABD9-C8E892A8D68B}">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36" authorId="1" shapeId="0" xr:uid="{2D9D747E-8F7A-4AE9-8811-E0999D519760}">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36" authorId="1" shapeId="0" xr:uid="{0C56787D-29F1-44BE-80AF-C697175B1E51}">
      <text>
        <r>
          <rPr>
            <sz val="8"/>
            <color indexed="81"/>
            <rFont val="Tahoma"/>
            <family val="2"/>
          </rPr>
          <t>The Control Side options are;
For Cord Lock &amp; Chain;
Left
Right
For Cordless &amp; Motorised;
N/A</t>
        </r>
      </text>
    </comment>
    <comment ref="M36" authorId="1" shapeId="0" xr:uid="{7E2E7F04-A586-4AC7-8D75-EFDC55EAEA8C}">
      <text>
        <r>
          <rPr>
            <sz val="8"/>
            <color indexed="81"/>
            <rFont val="Tahoma"/>
            <family val="2"/>
          </rPr>
          <t>The Tilt options are;
For Cord Lock;
Left
Right
For Chain, Cordless &amp; Motorised;
N/A</t>
        </r>
      </text>
    </comment>
    <comment ref="O36" authorId="1" shapeId="0" xr:uid="{4F90F439-E500-41CD-8182-7AFC2F6BEB7D}">
      <text>
        <r>
          <rPr>
            <sz val="8"/>
            <color indexed="81"/>
            <rFont val="Tahoma"/>
            <family val="2"/>
          </rPr>
          <t>The Motor Remote options are;
Single Remote
Multi Remote</t>
        </r>
      </text>
    </comment>
    <comment ref="Q36" authorId="1" shapeId="0" xr:uid="{C8601EF2-DAD3-43FD-8AF6-4866DA1CEE93}">
      <text>
        <r>
          <rPr>
            <sz val="8"/>
            <color indexed="81"/>
            <rFont val="Tahoma"/>
            <family val="2"/>
          </rPr>
          <t>When left blank, 
no Cut Out applies.</t>
        </r>
      </text>
    </comment>
    <comment ref="D37" authorId="0" shapeId="0" xr:uid="{6345FAD8-777D-4995-A44C-C30D686EA434}">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37" authorId="1" shapeId="0" xr:uid="{8E52D2B7-485F-42B1-9F8F-D3B8307D56CF}">
      <text>
        <r>
          <rPr>
            <sz val="8"/>
            <color indexed="81"/>
            <rFont val="Tahoma"/>
            <family val="2"/>
          </rPr>
          <t xml:space="preserve">The Colour options are 
dependent on the Product.
</t>
        </r>
        <r>
          <rPr>
            <i/>
            <sz val="8"/>
            <color indexed="81"/>
            <rFont val="Tahoma"/>
            <family val="2"/>
          </rPr>
          <t xml:space="preserve">
Please refer to the Swatches.</t>
        </r>
      </text>
    </comment>
    <comment ref="F37" authorId="1" shapeId="0" xr:uid="{D99F3BE9-3F93-49C7-81E3-1AF942569750}">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7" authorId="1" shapeId="0" xr:uid="{76B1356A-BC5F-4377-90AE-10EA4B1BDDB7}">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7" authorId="1" shapeId="0" xr:uid="{8B0797DF-F980-4927-AD80-05DAF69D56AE}">
      <text>
        <r>
          <rPr>
            <sz val="8"/>
            <color indexed="81"/>
            <rFont val="Tahoma"/>
            <family val="2"/>
          </rPr>
          <t>When selecting a
Corner or Bay 
Window Type, 
the CMB Corner WS 
or the 
CMB Bay WS 
must be completed please.</t>
        </r>
      </text>
    </comment>
    <comment ref="I37" authorId="1" shapeId="0" xr:uid="{06891E1A-FF34-4B8D-8C8A-94BD9CB6A71F}">
      <text>
        <r>
          <rPr>
            <sz val="8"/>
            <color indexed="81"/>
            <rFont val="Tahoma"/>
            <family val="2"/>
          </rPr>
          <t>The Fitting options are 
Face Fit
Recess Fit</t>
        </r>
      </text>
    </comment>
    <comment ref="J37" authorId="1" shapeId="0" xr:uid="{0AAB5B2F-FB6E-4E4D-B88B-D7455E7C55F6}">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37" authorId="1" shapeId="0" xr:uid="{966D339A-1D27-4E41-AC4B-A4F381DEF1F2}">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37" authorId="1" shapeId="0" xr:uid="{9A720110-8B99-43A5-AB8A-A1B5DAFA0041}">
      <text>
        <r>
          <rPr>
            <sz val="8"/>
            <color indexed="81"/>
            <rFont val="Tahoma"/>
            <family val="2"/>
          </rPr>
          <t>The Control Side options are;
For Cord Lock &amp; Chain;
Left
Right
For Cordless &amp; Motorised;
N/A</t>
        </r>
      </text>
    </comment>
    <comment ref="M37" authorId="1" shapeId="0" xr:uid="{80999277-7F4A-46EF-AEEE-765995A32784}">
      <text>
        <r>
          <rPr>
            <sz val="8"/>
            <color indexed="81"/>
            <rFont val="Tahoma"/>
            <family val="2"/>
          </rPr>
          <t>The Tilt options are;
For Cord Lock;
Left
Right
For Chain, Cordless &amp; Motorised;
N/A</t>
        </r>
      </text>
    </comment>
    <comment ref="O37" authorId="1" shapeId="0" xr:uid="{83DF70A3-A009-45FC-BACC-154A8DE81754}">
      <text>
        <r>
          <rPr>
            <sz val="8"/>
            <color indexed="81"/>
            <rFont val="Tahoma"/>
            <family val="2"/>
          </rPr>
          <t>The Motor Remote options are;
Single Remote
Multi Remote</t>
        </r>
      </text>
    </comment>
    <comment ref="Q37" authorId="1" shapeId="0" xr:uid="{C89BCD12-037E-4018-B345-F4182206006E}">
      <text>
        <r>
          <rPr>
            <sz val="8"/>
            <color indexed="81"/>
            <rFont val="Tahoma"/>
            <family val="2"/>
          </rPr>
          <t>When left blank, 
no Cut Out applies.</t>
        </r>
      </text>
    </comment>
    <comment ref="D38" authorId="0" shapeId="0" xr:uid="{A6331CD8-598B-408A-B3FE-4888CA98937D}">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38" authorId="1" shapeId="0" xr:uid="{2B36CDBA-7026-4CE7-8657-154C88F12EFC}">
      <text>
        <r>
          <rPr>
            <sz val="8"/>
            <color indexed="81"/>
            <rFont val="Tahoma"/>
            <family val="2"/>
          </rPr>
          <t xml:space="preserve">The Colour options are 
dependent on the Product.
</t>
        </r>
        <r>
          <rPr>
            <i/>
            <sz val="8"/>
            <color indexed="81"/>
            <rFont val="Tahoma"/>
            <family val="2"/>
          </rPr>
          <t xml:space="preserve">
Please refer to the Swatches.</t>
        </r>
      </text>
    </comment>
    <comment ref="F38" authorId="1" shapeId="0" xr:uid="{D2230491-AB89-480A-A6E2-1B40D95ECD7F}">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8" authorId="1" shapeId="0" xr:uid="{0AD0015C-CB0A-4675-B18C-DB3E781A5E26}">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8" authorId="1" shapeId="0" xr:uid="{31774C8E-FB49-4F12-9B59-2C94EEC12503}">
      <text>
        <r>
          <rPr>
            <sz val="8"/>
            <color indexed="81"/>
            <rFont val="Tahoma"/>
            <family val="2"/>
          </rPr>
          <t>When selecting a
Corner or Bay 
Window Type, 
the CMB Corner WS 
or the 
CMB Bay WS 
must be completed please.</t>
        </r>
      </text>
    </comment>
    <comment ref="I38" authorId="1" shapeId="0" xr:uid="{81BBA0FB-758F-43D1-8924-AE310BDDA36F}">
      <text>
        <r>
          <rPr>
            <sz val="8"/>
            <color indexed="81"/>
            <rFont val="Tahoma"/>
            <family val="2"/>
          </rPr>
          <t>The Fitting options are 
Face Fit
Recess Fit</t>
        </r>
      </text>
    </comment>
    <comment ref="J38" authorId="1" shapeId="0" xr:uid="{7D508988-1068-4E2B-9E70-69CC9C146532}">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38" authorId="1" shapeId="0" xr:uid="{A33C9A5C-34F1-4DE6-A848-017B2E67B6E3}">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38" authorId="1" shapeId="0" xr:uid="{1183DAF6-3ADB-41B0-8605-EACDE033838E}">
      <text>
        <r>
          <rPr>
            <sz val="8"/>
            <color indexed="81"/>
            <rFont val="Tahoma"/>
            <family val="2"/>
          </rPr>
          <t>The Control Side options are;
For Cord Lock &amp; Chain;
Left
Right
For Cordless &amp; Motorised;
N/A</t>
        </r>
      </text>
    </comment>
    <comment ref="M38" authorId="1" shapeId="0" xr:uid="{D0843F8B-4B88-4591-B14E-FEB6129DA770}">
      <text>
        <r>
          <rPr>
            <sz val="8"/>
            <color indexed="81"/>
            <rFont val="Tahoma"/>
            <family val="2"/>
          </rPr>
          <t>The Tilt options are;
For Cord Lock;
Left
Right
For Chain, Cordless &amp; Motorised;
N/A</t>
        </r>
      </text>
    </comment>
    <comment ref="O38" authorId="1" shapeId="0" xr:uid="{545D6F20-5EDD-4C09-A250-643E678854B3}">
      <text>
        <r>
          <rPr>
            <sz val="8"/>
            <color indexed="81"/>
            <rFont val="Tahoma"/>
            <family val="2"/>
          </rPr>
          <t>The Motor Remote options are;
Single Remote
Multi Remote</t>
        </r>
      </text>
    </comment>
    <comment ref="Q38" authorId="1" shapeId="0" xr:uid="{3CE48682-D28E-42FE-8476-1176DF59F7BE}">
      <text>
        <r>
          <rPr>
            <sz val="8"/>
            <color indexed="81"/>
            <rFont val="Tahoma"/>
            <family val="2"/>
          </rPr>
          <t>When left blank, 
no Cut Out applies.</t>
        </r>
      </text>
    </comment>
    <comment ref="D39" authorId="0" shapeId="0" xr:uid="{389D174E-5B20-42B8-BB4A-5CDEC075DC70}">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39" authorId="1" shapeId="0" xr:uid="{CC703277-AC32-4D77-ACA8-CF73C23159DD}">
      <text>
        <r>
          <rPr>
            <sz val="8"/>
            <color indexed="81"/>
            <rFont val="Tahoma"/>
            <family val="2"/>
          </rPr>
          <t xml:space="preserve">The Colour options are 
dependent on the Product.
</t>
        </r>
        <r>
          <rPr>
            <i/>
            <sz val="8"/>
            <color indexed="81"/>
            <rFont val="Tahoma"/>
            <family val="2"/>
          </rPr>
          <t xml:space="preserve">
Please refer to the Swatches.</t>
        </r>
      </text>
    </comment>
    <comment ref="F39" authorId="1" shapeId="0" xr:uid="{BD630212-16E4-413B-B50F-7B3772D9CAE7}">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9" authorId="1" shapeId="0" xr:uid="{775C00EB-984D-4632-8224-5D513ACD9253}">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9" authorId="1" shapeId="0" xr:uid="{EA5150A4-719D-472F-8E21-B56560553803}">
      <text>
        <r>
          <rPr>
            <sz val="8"/>
            <color indexed="81"/>
            <rFont val="Tahoma"/>
            <family val="2"/>
          </rPr>
          <t>When selecting a
Corner or Bay 
Window Type, 
the CMB Corner WS 
or the 
CMB Bay WS 
must be completed please.</t>
        </r>
      </text>
    </comment>
    <comment ref="I39" authorId="1" shapeId="0" xr:uid="{09AFAA95-A19C-4642-8A62-80257E143983}">
      <text>
        <r>
          <rPr>
            <sz val="8"/>
            <color indexed="81"/>
            <rFont val="Tahoma"/>
            <family val="2"/>
          </rPr>
          <t>The Fitting options are 
Face Fit
Recess Fit</t>
        </r>
      </text>
    </comment>
    <comment ref="J39" authorId="1" shapeId="0" xr:uid="{AEBA384E-9DC4-4F66-9D4D-179809CB20CB}">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39" authorId="1" shapeId="0" xr:uid="{C10830C2-AF12-41FB-922D-FFB47EFF5334}">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39" authorId="1" shapeId="0" xr:uid="{17603616-4BCD-47B7-9656-6AEB679BD716}">
      <text>
        <r>
          <rPr>
            <sz val="8"/>
            <color indexed="81"/>
            <rFont val="Tahoma"/>
            <family val="2"/>
          </rPr>
          <t>The Control Side options are;
For Cord Lock &amp; Chain;
Left
Right
For Cordless &amp; Motorised;
N/A</t>
        </r>
      </text>
    </comment>
    <comment ref="M39" authorId="1" shapeId="0" xr:uid="{3A4C225A-5D71-4025-BA58-F53B4F8E317C}">
      <text>
        <r>
          <rPr>
            <sz val="8"/>
            <color indexed="81"/>
            <rFont val="Tahoma"/>
            <family val="2"/>
          </rPr>
          <t>The Tilt options are;
For Cord Lock;
Left
Right
For Chain, Cordless &amp; Motorised;
N/A</t>
        </r>
      </text>
    </comment>
    <comment ref="O39" authorId="1" shapeId="0" xr:uid="{5DFE2AB6-782B-42D4-A0A5-DA839DD36E42}">
      <text>
        <r>
          <rPr>
            <sz val="8"/>
            <color indexed="81"/>
            <rFont val="Tahoma"/>
            <family val="2"/>
          </rPr>
          <t>The Motor Remote options are;
Single Remote
Multi Remote</t>
        </r>
      </text>
    </comment>
    <comment ref="Q39" authorId="1" shapeId="0" xr:uid="{401DDE98-D077-491B-B844-6D4E0611845C}">
      <text>
        <r>
          <rPr>
            <sz val="8"/>
            <color indexed="81"/>
            <rFont val="Tahoma"/>
            <family val="2"/>
          </rPr>
          <t>When left blank, 
no Cut Out applies.</t>
        </r>
      </text>
    </comment>
    <comment ref="D40" authorId="0" shapeId="0" xr:uid="{F9A8F6F3-AA86-4056-8F87-E8D5008FB57B}">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40" authorId="1" shapeId="0" xr:uid="{EBFA41E3-9361-4C7E-A75A-D5EC811B1718}">
      <text>
        <r>
          <rPr>
            <sz val="8"/>
            <color indexed="81"/>
            <rFont val="Tahoma"/>
            <family val="2"/>
          </rPr>
          <t xml:space="preserve">The Colour options are 
dependent on the Product.
</t>
        </r>
        <r>
          <rPr>
            <i/>
            <sz val="8"/>
            <color indexed="81"/>
            <rFont val="Tahoma"/>
            <family val="2"/>
          </rPr>
          <t xml:space="preserve">
Please refer to the Swatches.</t>
        </r>
      </text>
    </comment>
    <comment ref="F40" authorId="1" shapeId="0" xr:uid="{EBC1C549-F79B-4C04-9E2C-790F7706FF70}">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0" authorId="1" shapeId="0" xr:uid="{EEA2241E-0EEC-436C-B7FE-6D18B4CD180D}">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0" authorId="1" shapeId="0" xr:uid="{81FA8DDB-CD75-4BBE-8293-C5286B69E402}">
      <text>
        <r>
          <rPr>
            <sz val="8"/>
            <color indexed="81"/>
            <rFont val="Tahoma"/>
            <family val="2"/>
          </rPr>
          <t>When selecting a
Corner or Bay 
Window Type, 
the CMB Corner WS 
or the 
CMB Bay WS 
must be completed please.</t>
        </r>
      </text>
    </comment>
    <comment ref="I40" authorId="1" shapeId="0" xr:uid="{63BF9594-ACFA-4098-A59F-3E5A620794C8}">
      <text>
        <r>
          <rPr>
            <sz val="8"/>
            <color indexed="81"/>
            <rFont val="Tahoma"/>
            <family val="2"/>
          </rPr>
          <t>The Fitting options are 
Face Fit
Recess Fit</t>
        </r>
      </text>
    </comment>
    <comment ref="J40" authorId="1" shapeId="0" xr:uid="{BD3AEEF3-2C9A-4C9F-A8EF-465015C59FEC}">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40" authorId="1" shapeId="0" xr:uid="{F9251136-812A-4977-AF68-291022218992}">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40" authorId="1" shapeId="0" xr:uid="{C5BFEA4E-976A-46EF-9747-2E7B21F46550}">
      <text>
        <r>
          <rPr>
            <sz val="8"/>
            <color indexed="81"/>
            <rFont val="Tahoma"/>
            <family val="2"/>
          </rPr>
          <t>The Control Side options are;
For Cord Lock &amp; Chain;
Left
Right
For Cordless &amp; Motorised;
N/A</t>
        </r>
      </text>
    </comment>
    <comment ref="M40" authorId="1" shapeId="0" xr:uid="{348DFC6A-0D3D-434E-9EE6-249A7BD02D7A}">
      <text>
        <r>
          <rPr>
            <sz val="8"/>
            <color indexed="81"/>
            <rFont val="Tahoma"/>
            <family val="2"/>
          </rPr>
          <t>The Tilt options are;
For Cord Lock;
Left
Right
For Chain, Cordless &amp; Motorised;
N/A</t>
        </r>
      </text>
    </comment>
    <comment ref="O40" authorId="1" shapeId="0" xr:uid="{27D52979-EE1B-4941-B2DC-CE28254D9BC5}">
      <text>
        <r>
          <rPr>
            <sz val="8"/>
            <color indexed="81"/>
            <rFont val="Tahoma"/>
            <family val="2"/>
          </rPr>
          <t>The Motor Remote options are;
Single Remote
Multi Remote</t>
        </r>
      </text>
    </comment>
    <comment ref="Q40" authorId="1" shapeId="0" xr:uid="{D74FD4C0-28C3-4180-8746-EADCFF68BD05}">
      <text>
        <r>
          <rPr>
            <sz val="8"/>
            <color indexed="81"/>
            <rFont val="Tahoma"/>
            <family val="2"/>
          </rPr>
          <t>When left blank, 
no Cut Out applies.</t>
        </r>
      </text>
    </comment>
    <comment ref="D41" authorId="0" shapeId="0" xr:uid="{3473A8A9-6BDE-4A06-8945-248765B926FB}">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41" authorId="1" shapeId="0" xr:uid="{3B8A3FF5-B1BE-4E04-9588-282DD369F2F3}">
      <text>
        <r>
          <rPr>
            <sz val="8"/>
            <color indexed="81"/>
            <rFont val="Tahoma"/>
            <family val="2"/>
          </rPr>
          <t xml:space="preserve">The Colour options are 
dependent on the Product.
</t>
        </r>
        <r>
          <rPr>
            <i/>
            <sz val="8"/>
            <color indexed="81"/>
            <rFont val="Tahoma"/>
            <family val="2"/>
          </rPr>
          <t xml:space="preserve">
Please refer to the Swatches.</t>
        </r>
      </text>
    </comment>
    <comment ref="F41" authorId="1" shapeId="0" xr:uid="{9BED81C7-713B-41F2-8AB1-32796669FA85}">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1" authorId="1" shapeId="0" xr:uid="{479EB39C-4A41-48CA-8409-EBED86340C51}">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1" authorId="1" shapeId="0" xr:uid="{0590096B-0C1E-4860-9BAB-61FE335D8963}">
      <text>
        <r>
          <rPr>
            <sz val="8"/>
            <color indexed="81"/>
            <rFont val="Tahoma"/>
            <family val="2"/>
          </rPr>
          <t>When selecting a
Corner or Bay 
Window Type, 
the CMB Corner WS 
or the 
CMB Bay WS 
must be completed please.</t>
        </r>
      </text>
    </comment>
    <comment ref="I41" authorId="1" shapeId="0" xr:uid="{F144A64D-889A-4FD0-90CA-47F4B4A7370E}">
      <text>
        <r>
          <rPr>
            <sz val="8"/>
            <color indexed="81"/>
            <rFont val="Tahoma"/>
            <family val="2"/>
          </rPr>
          <t>The Fitting options are 
Face Fit
Recess Fit</t>
        </r>
      </text>
    </comment>
    <comment ref="J41" authorId="1" shapeId="0" xr:uid="{BA8F7B6D-FC7D-4DED-9672-DC7729CF2AF4}">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41" authorId="1" shapeId="0" xr:uid="{3D58153C-0894-41E5-9870-F9069AD334A0}">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41" authorId="1" shapeId="0" xr:uid="{CE798F4F-1AC1-4FEE-864F-7193F982D5D9}">
      <text>
        <r>
          <rPr>
            <sz val="8"/>
            <color indexed="81"/>
            <rFont val="Tahoma"/>
            <family val="2"/>
          </rPr>
          <t>The Control Side options are;
For Cord Lock &amp; Chain;
Left
Right
For Cordless &amp; Motorised;
N/A</t>
        </r>
      </text>
    </comment>
    <comment ref="M41" authorId="1" shapeId="0" xr:uid="{E0382E03-B2F0-4FF4-B654-8A6A085AF39B}">
      <text>
        <r>
          <rPr>
            <sz val="8"/>
            <color indexed="81"/>
            <rFont val="Tahoma"/>
            <family val="2"/>
          </rPr>
          <t>The Tilt options are;
For Cord Lock;
Left
Right
For Chain, Cordless &amp; Motorised;
N/A</t>
        </r>
      </text>
    </comment>
    <comment ref="O41" authorId="1" shapeId="0" xr:uid="{AF9E2517-FE61-4AD6-9908-731B39C18226}">
      <text>
        <r>
          <rPr>
            <sz val="8"/>
            <color indexed="81"/>
            <rFont val="Tahoma"/>
            <family val="2"/>
          </rPr>
          <t>The Motor Remote options are;
Single Remote
Multi Remote</t>
        </r>
      </text>
    </comment>
    <comment ref="Q41" authorId="1" shapeId="0" xr:uid="{D66CBA6C-A4A8-4594-AB75-C21FBDC0EDFE}">
      <text>
        <r>
          <rPr>
            <sz val="8"/>
            <color indexed="81"/>
            <rFont val="Tahoma"/>
            <family val="2"/>
          </rPr>
          <t>When left blank, 
no Cut Out applies.</t>
        </r>
      </text>
    </comment>
    <comment ref="D42" authorId="0" shapeId="0" xr:uid="{A408F09E-E18A-48D7-A75E-A41F665F21FE}">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42" authorId="1" shapeId="0" xr:uid="{6B351C40-3A0A-4D6B-9949-511F71BD3190}">
      <text>
        <r>
          <rPr>
            <sz val="8"/>
            <color indexed="81"/>
            <rFont val="Tahoma"/>
            <family val="2"/>
          </rPr>
          <t xml:space="preserve">The Colour options are 
dependent on the Product.
</t>
        </r>
        <r>
          <rPr>
            <i/>
            <sz val="8"/>
            <color indexed="81"/>
            <rFont val="Tahoma"/>
            <family val="2"/>
          </rPr>
          <t xml:space="preserve">
Please refer to the Swatches.</t>
        </r>
      </text>
    </comment>
    <comment ref="F42" authorId="1" shapeId="0" xr:uid="{370C2554-962F-49E8-B65A-B7BE4C667AC8}">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2" authorId="1" shapeId="0" xr:uid="{3E37B530-303C-4BE8-9E72-09C063EA3BFE}">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2" authorId="1" shapeId="0" xr:uid="{9AB77BBD-F3E8-4715-BDEA-76FCE63C2D43}">
      <text>
        <r>
          <rPr>
            <sz val="8"/>
            <color indexed="81"/>
            <rFont val="Tahoma"/>
            <family val="2"/>
          </rPr>
          <t>When selecting a
Corner or Bay 
Window Type, 
the CMB Corner WS 
or the 
CMB Bay WS 
must be completed please.</t>
        </r>
      </text>
    </comment>
    <comment ref="I42" authorId="1" shapeId="0" xr:uid="{32C09719-3D8D-4EF1-8C38-C901AF1B3582}">
      <text>
        <r>
          <rPr>
            <sz val="8"/>
            <color indexed="81"/>
            <rFont val="Tahoma"/>
            <family val="2"/>
          </rPr>
          <t>The Fitting options are 
Face Fit
Recess Fit</t>
        </r>
      </text>
    </comment>
    <comment ref="J42" authorId="1" shapeId="0" xr:uid="{6EA7E869-A007-48D0-A832-9AAD45C2BEA6}">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42" authorId="1" shapeId="0" xr:uid="{51AA290D-0FF9-4C7F-9F06-A51EBA8D96A2}">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42" authorId="1" shapeId="0" xr:uid="{EDAE0205-5008-4D66-90CB-E62ACD861AC4}">
      <text>
        <r>
          <rPr>
            <sz val="8"/>
            <color indexed="81"/>
            <rFont val="Tahoma"/>
            <family val="2"/>
          </rPr>
          <t>The Control Side options are;
For Cord Lock &amp; Chain;
Left
Right
For Cordless &amp; Motorised;
N/A</t>
        </r>
      </text>
    </comment>
    <comment ref="M42" authorId="1" shapeId="0" xr:uid="{2FF03C79-34EA-4C10-927C-EAF94EF9DB11}">
      <text>
        <r>
          <rPr>
            <sz val="8"/>
            <color indexed="81"/>
            <rFont val="Tahoma"/>
            <family val="2"/>
          </rPr>
          <t>The Tilt options are;
For Cord Lock;
Left
Right
For Chain, Cordless &amp; Motorised;
N/A</t>
        </r>
      </text>
    </comment>
    <comment ref="O42" authorId="1" shapeId="0" xr:uid="{CD78EC83-7346-4965-B7B4-B0333BBA48B9}">
      <text>
        <r>
          <rPr>
            <sz val="8"/>
            <color indexed="81"/>
            <rFont val="Tahoma"/>
            <family val="2"/>
          </rPr>
          <t>The Motor Remote options are;
Single Remote
Multi Remote</t>
        </r>
      </text>
    </comment>
    <comment ref="Q42" authorId="1" shapeId="0" xr:uid="{CA1314ED-524D-4531-AF13-4E6E4423F625}">
      <text>
        <r>
          <rPr>
            <sz val="8"/>
            <color indexed="81"/>
            <rFont val="Tahoma"/>
            <family val="2"/>
          </rPr>
          <t>When left blank, 
no Cut Out applies.</t>
        </r>
      </text>
    </comment>
    <comment ref="D43" authorId="0" shapeId="0" xr:uid="{716BF89E-CCE7-450E-974B-38C40EFD2986}">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43" authorId="1" shapeId="0" xr:uid="{D23B0B0B-6DE5-422D-9942-A7DAE1093A89}">
      <text>
        <r>
          <rPr>
            <sz val="8"/>
            <color indexed="81"/>
            <rFont val="Tahoma"/>
            <family val="2"/>
          </rPr>
          <t xml:space="preserve">The Colour options are 
dependent on the Product.
</t>
        </r>
        <r>
          <rPr>
            <i/>
            <sz val="8"/>
            <color indexed="81"/>
            <rFont val="Tahoma"/>
            <family val="2"/>
          </rPr>
          <t xml:space="preserve">
Please refer to the Swatches.</t>
        </r>
      </text>
    </comment>
    <comment ref="F43" authorId="1" shapeId="0" xr:uid="{94C0937F-1187-451E-B340-61A565E127EC}">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3" authorId="1" shapeId="0" xr:uid="{87250BFF-1E5F-48E6-A478-148A847DC504}">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3" authorId="1" shapeId="0" xr:uid="{7FE321E8-3BFB-4F49-9E8C-AB4AD30DCD06}">
      <text>
        <r>
          <rPr>
            <sz val="8"/>
            <color indexed="81"/>
            <rFont val="Tahoma"/>
            <family val="2"/>
          </rPr>
          <t>When selecting a
Corner or Bay 
Window Type, 
the CMB Corner WS 
or the 
CMB Bay WS 
must be completed please.</t>
        </r>
      </text>
    </comment>
    <comment ref="I43" authorId="1" shapeId="0" xr:uid="{80A385CD-0254-4DC0-A04D-17371D111EF2}">
      <text>
        <r>
          <rPr>
            <sz val="8"/>
            <color indexed="81"/>
            <rFont val="Tahoma"/>
            <family val="2"/>
          </rPr>
          <t>The Fitting options are 
Face Fit
Recess Fit</t>
        </r>
      </text>
    </comment>
    <comment ref="J43" authorId="1" shapeId="0" xr:uid="{1BFD1910-1E0F-4676-ACA9-C24BFDE72799}">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43" authorId="1" shapeId="0" xr:uid="{978D9DF9-3438-4A82-B30E-4EF1FF50A6BD}">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43" authorId="1" shapeId="0" xr:uid="{5E73155B-43E4-4AF1-A652-2D799D52C5C1}">
      <text>
        <r>
          <rPr>
            <sz val="8"/>
            <color indexed="81"/>
            <rFont val="Tahoma"/>
            <family val="2"/>
          </rPr>
          <t>The Control Side options are;
For Cord Lock &amp; Chain;
Left
Right
For Cordless &amp; Motorised;
N/A</t>
        </r>
      </text>
    </comment>
    <comment ref="M43" authorId="1" shapeId="0" xr:uid="{72B5966D-94D6-4BB2-938D-E196CED03439}">
      <text>
        <r>
          <rPr>
            <sz val="8"/>
            <color indexed="81"/>
            <rFont val="Tahoma"/>
            <family val="2"/>
          </rPr>
          <t>The Tilt options are;
For Cord Lock;
Left
Right
For Chain, Cordless &amp; Motorised;
N/A</t>
        </r>
      </text>
    </comment>
    <comment ref="O43" authorId="1" shapeId="0" xr:uid="{302A629B-AECD-43CE-85A2-6213FA0DA626}">
      <text>
        <r>
          <rPr>
            <sz val="8"/>
            <color indexed="81"/>
            <rFont val="Tahoma"/>
            <family val="2"/>
          </rPr>
          <t>The Motor Remote options are;
Single Remote
Multi Remote</t>
        </r>
      </text>
    </comment>
    <comment ref="Q43" authorId="1" shapeId="0" xr:uid="{DDBBB95F-0686-4FA0-BA74-422B9C1CF6B7}">
      <text>
        <r>
          <rPr>
            <sz val="8"/>
            <color indexed="81"/>
            <rFont val="Tahoma"/>
            <family val="2"/>
          </rPr>
          <t>When left blank, 
no Cut Out applies.</t>
        </r>
      </text>
    </comment>
    <comment ref="D44" authorId="0" shapeId="0" xr:uid="{0C841CB4-D301-4DD2-84EC-BBB89751D346}">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44" authorId="1" shapeId="0" xr:uid="{8B2B205F-DF51-48F6-AFD6-939D8C80E5D8}">
      <text>
        <r>
          <rPr>
            <sz val="8"/>
            <color indexed="81"/>
            <rFont val="Tahoma"/>
            <family val="2"/>
          </rPr>
          <t xml:space="preserve">The Colour options are 
dependent on the Product.
</t>
        </r>
        <r>
          <rPr>
            <i/>
            <sz val="8"/>
            <color indexed="81"/>
            <rFont val="Tahoma"/>
            <family val="2"/>
          </rPr>
          <t xml:space="preserve">
Please refer to the Swatches.</t>
        </r>
      </text>
    </comment>
    <comment ref="F44" authorId="1" shapeId="0" xr:uid="{C8A008F5-CA75-486A-BBDC-843A5B4018ED}">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4" authorId="1" shapeId="0" xr:uid="{67CF138B-5507-41FE-97EB-85AB9A3EEC39}">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4" authorId="1" shapeId="0" xr:uid="{7FE6F4A5-E52E-4D86-8011-0B640B904551}">
      <text>
        <r>
          <rPr>
            <sz val="8"/>
            <color indexed="81"/>
            <rFont val="Tahoma"/>
            <family val="2"/>
          </rPr>
          <t>When selecting a
Corner or Bay 
Window Type, 
the CMB Corner WS 
or the 
CMB Bay WS 
must be completed please.</t>
        </r>
      </text>
    </comment>
    <comment ref="I44" authorId="1" shapeId="0" xr:uid="{D76DF355-F5D2-487C-AB42-CEE8D6271476}">
      <text>
        <r>
          <rPr>
            <sz val="8"/>
            <color indexed="81"/>
            <rFont val="Tahoma"/>
            <family val="2"/>
          </rPr>
          <t>The Fitting options are 
Face Fit
Recess Fit</t>
        </r>
      </text>
    </comment>
    <comment ref="J44" authorId="1" shapeId="0" xr:uid="{94B50B68-11C0-44F2-BD64-A7091FD3332E}">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44" authorId="1" shapeId="0" xr:uid="{67106248-8366-4312-9D29-450A5D2F03F3}">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44" authorId="1" shapeId="0" xr:uid="{ABCBE7EB-F427-4BF8-9E92-90D209878567}">
      <text>
        <r>
          <rPr>
            <sz val="8"/>
            <color indexed="81"/>
            <rFont val="Tahoma"/>
            <family val="2"/>
          </rPr>
          <t>The Control Side options are;
For Cord Lock &amp; Chain;
Left
Right
For Cordless &amp; Motorised;
N/A</t>
        </r>
      </text>
    </comment>
    <comment ref="M44" authorId="1" shapeId="0" xr:uid="{4ED03E4E-4D3E-448A-9740-AC07046C1835}">
      <text>
        <r>
          <rPr>
            <sz val="8"/>
            <color indexed="81"/>
            <rFont val="Tahoma"/>
            <family val="2"/>
          </rPr>
          <t>The Tilt options are;
For Cord Lock;
Left
Right
For Chain, Cordless &amp; Motorised;
N/A</t>
        </r>
      </text>
    </comment>
    <comment ref="O44" authorId="1" shapeId="0" xr:uid="{A4AEE41A-9243-400F-8125-664C255E603C}">
      <text>
        <r>
          <rPr>
            <sz val="8"/>
            <color indexed="81"/>
            <rFont val="Tahoma"/>
            <family val="2"/>
          </rPr>
          <t>The Motor Remote options are;
Single Remote
Multi Remote</t>
        </r>
      </text>
    </comment>
    <comment ref="Q44" authorId="1" shapeId="0" xr:uid="{D3DD6A78-E501-4664-9E46-030F97E3D5D7}">
      <text>
        <r>
          <rPr>
            <sz val="8"/>
            <color indexed="81"/>
            <rFont val="Tahoma"/>
            <family val="2"/>
          </rPr>
          <t>When left blank, 
no Cut Out applies.</t>
        </r>
      </text>
    </comment>
    <comment ref="D45" authorId="0" shapeId="0" xr:uid="{C3441CB4-11DD-4D6E-B8F6-88A6605A1B46}">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45" authorId="1" shapeId="0" xr:uid="{23E6490B-4F9D-4C85-AD79-41DD21987B80}">
      <text>
        <r>
          <rPr>
            <sz val="8"/>
            <color indexed="81"/>
            <rFont val="Tahoma"/>
            <family val="2"/>
          </rPr>
          <t xml:space="preserve">The Colour options are 
dependent on the Product.
</t>
        </r>
        <r>
          <rPr>
            <i/>
            <sz val="8"/>
            <color indexed="81"/>
            <rFont val="Tahoma"/>
            <family val="2"/>
          </rPr>
          <t xml:space="preserve">
Please refer to the Swatches.</t>
        </r>
      </text>
    </comment>
    <comment ref="F45" authorId="1" shapeId="0" xr:uid="{ED36D20C-7095-417C-8068-3BE11DD9CB80}">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5" authorId="1" shapeId="0" xr:uid="{D41EAC5B-9829-4B52-8629-4F98856A1373}">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5" authorId="1" shapeId="0" xr:uid="{9B4B3352-A5E3-4408-8CF6-C665CF3DB655}">
      <text>
        <r>
          <rPr>
            <sz val="8"/>
            <color indexed="81"/>
            <rFont val="Tahoma"/>
            <family val="2"/>
          </rPr>
          <t>When selecting a
Corner or Bay 
Window Type, 
the CMB Corner WS 
or the 
CMB Bay WS 
must be completed please.</t>
        </r>
      </text>
    </comment>
    <comment ref="I45" authorId="1" shapeId="0" xr:uid="{501F8D64-A4C6-4332-9125-279527320A54}">
      <text>
        <r>
          <rPr>
            <sz val="8"/>
            <color indexed="81"/>
            <rFont val="Tahoma"/>
            <family val="2"/>
          </rPr>
          <t>The Fitting options are 
Face Fit
Recess Fit</t>
        </r>
      </text>
    </comment>
    <comment ref="J45" authorId="1" shapeId="0" xr:uid="{97CDE95B-FAA6-4CFB-BCC0-5B2A829B7DC6}">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45" authorId="1" shapeId="0" xr:uid="{C4732FBB-9480-4059-A299-9D5B4EF7A23D}">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45" authorId="1" shapeId="0" xr:uid="{69A2436E-7B6A-40D7-82C7-56D2CF8CE61D}">
      <text>
        <r>
          <rPr>
            <sz val="8"/>
            <color indexed="81"/>
            <rFont val="Tahoma"/>
            <family val="2"/>
          </rPr>
          <t>The Control Side options are;
For Cord Lock &amp; Chain;
Left
Right
For Cordless &amp; Motorised;
N/A</t>
        </r>
      </text>
    </comment>
    <comment ref="M45" authorId="1" shapeId="0" xr:uid="{F8F39234-A8B4-4815-BD08-B2B53BD61DE1}">
      <text>
        <r>
          <rPr>
            <sz val="8"/>
            <color indexed="81"/>
            <rFont val="Tahoma"/>
            <family val="2"/>
          </rPr>
          <t>The Tilt options are;
For Cord Lock;
Left
Right
For Chain, Cordless &amp; Motorised;
N/A</t>
        </r>
      </text>
    </comment>
    <comment ref="O45" authorId="1" shapeId="0" xr:uid="{E34A08E9-5D66-4479-A5E1-00A79A9F7748}">
      <text>
        <r>
          <rPr>
            <sz val="8"/>
            <color indexed="81"/>
            <rFont val="Tahoma"/>
            <family val="2"/>
          </rPr>
          <t>The Motor Remote options are;
Single Remote
Multi Remote</t>
        </r>
      </text>
    </comment>
    <comment ref="Q45" authorId="1" shapeId="0" xr:uid="{BE61C027-BAEA-4979-80E7-DBE89E22BD6F}">
      <text>
        <r>
          <rPr>
            <sz val="8"/>
            <color indexed="81"/>
            <rFont val="Tahoma"/>
            <family val="2"/>
          </rPr>
          <t>When left blank, 
no Cut Out applies.</t>
        </r>
      </text>
    </comment>
    <comment ref="D46" authorId="0" shapeId="0" xr:uid="{73F169C7-DF86-45B7-96B8-346571008BEE}">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46" authorId="1" shapeId="0" xr:uid="{F1F6B8C6-4845-4DE3-AF12-4FFB7E45D7E8}">
      <text>
        <r>
          <rPr>
            <sz val="8"/>
            <color indexed="81"/>
            <rFont val="Tahoma"/>
            <family val="2"/>
          </rPr>
          <t xml:space="preserve">The Colour options are 
dependent on the Product.
</t>
        </r>
        <r>
          <rPr>
            <i/>
            <sz val="8"/>
            <color indexed="81"/>
            <rFont val="Tahoma"/>
            <family val="2"/>
          </rPr>
          <t xml:space="preserve">
Please refer to the Swatches.</t>
        </r>
      </text>
    </comment>
    <comment ref="F46" authorId="1" shapeId="0" xr:uid="{8428058F-FEE7-4AB4-BE02-8075F597C1D8}">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6" authorId="1" shapeId="0" xr:uid="{3874DD42-BE0C-4688-8168-4A43B336661E}">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6" authorId="1" shapeId="0" xr:uid="{D8AA47FE-4671-4880-9687-B0E8EE822F08}">
      <text>
        <r>
          <rPr>
            <sz val="8"/>
            <color indexed="81"/>
            <rFont val="Tahoma"/>
            <family val="2"/>
          </rPr>
          <t>When selecting a
Corner or Bay 
Window Type, 
the CMB Corner WS 
or the 
CMB Bay WS 
must be completed please.</t>
        </r>
      </text>
    </comment>
    <comment ref="I46" authorId="1" shapeId="0" xr:uid="{9B4DA9A5-59D4-4690-973E-E0DEA27009EE}">
      <text>
        <r>
          <rPr>
            <sz val="8"/>
            <color indexed="81"/>
            <rFont val="Tahoma"/>
            <family val="2"/>
          </rPr>
          <t>The Fitting options are 
Face Fit
Recess Fit</t>
        </r>
      </text>
    </comment>
    <comment ref="J46" authorId="1" shapeId="0" xr:uid="{655BA0A1-920B-4905-80C3-7CC7CECF322C}">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46" authorId="1" shapeId="0" xr:uid="{5399B4DA-4406-4E40-86CD-78ABF85C7915}">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46" authorId="1" shapeId="0" xr:uid="{69DECF13-FC53-44E2-9888-F1A914AC3456}">
      <text>
        <r>
          <rPr>
            <sz val="8"/>
            <color indexed="81"/>
            <rFont val="Tahoma"/>
            <family val="2"/>
          </rPr>
          <t>The Control Side options are;
For Cord Lock &amp; Chain;
Left
Right
For Cordless &amp; Motorised;
N/A</t>
        </r>
      </text>
    </comment>
    <comment ref="M46" authorId="1" shapeId="0" xr:uid="{75F3FF60-B171-402B-91C5-23BC8FE50E01}">
      <text>
        <r>
          <rPr>
            <sz val="8"/>
            <color indexed="81"/>
            <rFont val="Tahoma"/>
            <family val="2"/>
          </rPr>
          <t>The Tilt options are;
For Cord Lock;
Left
Right
For Chain, Cordless &amp; Motorised;
N/A</t>
        </r>
      </text>
    </comment>
    <comment ref="O46" authorId="1" shapeId="0" xr:uid="{0F6A5700-5F6C-4140-BCBD-89C4544955D1}">
      <text>
        <r>
          <rPr>
            <sz val="8"/>
            <color indexed="81"/>
            <rFont val="Tahoma"/>
            <family val="2"/>
          </rPr>
          <t>The Motor Remote options are;
Single Remote
Multi Remote</t>
        </r>
      </text>
    </comment>
    <comment ref="Q46" authorId="1" shapeId="0" xr:uid="{9479CD4E-810C-405F-8C8B-AA01F88A9799}">
      <text>
        <r>
          <rPr>
            <sz val="8"/>
            <color indexed="81"/>
            <rFont val="Tahoma"/>
            <family val="2"/>
          </rPr>
          <t>When left blank, 
no Cut Out applies.</t>
        </r>
      </text>
    </comment>
    <comment ref="D47" authorId="0" shapeId="0" xr:uid="{25BBBFFF-9F64-4E7C-A274-9F722F426EDD}">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47" authorId="1" shapeId="0" xr:uid="{048E393D-F67D-4424-AE23-52BE8E2F2D22}">
      <text>
        <r>
          <rPr>
            <sz val="8"/>
            <color indexed="81"/>
            <rFont val="Tahoma"/>
            <family val="2"/>
          </rPr>
          <t xml:space="preserve">The Colour options are 
dependent on the Product.
</t>
        </r>
        <r>
          <rPr>
            <i/>
            <sz val="8"/>
            <color indexed="81"/>
            <rFont val="Tahoma"/>
            <family val="2"/>
          </rPr>
          <t xml:space="preserve">
Please refer to the Swatches.</t>
        </r>
      </text>
    </comment>
    <comment ref="F47" authorId="1" shapeId="0" xr:uid="{4CBDADD2-9656-44AB-81D0-339D4E381970}">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7" authorId="1" shapeId="0" xr:uid="{B3812D6F-804C-43E5-AE56-B7BD7A957B2E}">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7" authorId="1" shapeId="0" xr:uid="{1410BB1D-6A26-4E24-B9C2-F9A3AA89C924}">
      <text>
        <r>
          <rPr>
            <sz val="8"/>
            <color indexed="81"/>
            <rFont val="Tahoma"/>
            <family val="2"/>
          </rPr>
          <t>When selecting a
Corner or Bay 
Window Type, 
the CMB Corner WS 
or the 
CMB Bay WS 
must be completed please.</t>
        </r>
      </text>
    </comment>
    <comment ref="I47" authorId="1" shapeId="0" xr:uid="{91BFC441-43EC-4E26-ACED-397BC6F1B7C6}">
      <text>
        <r>
          <rPr>
            <sz val="8"/>
            <color indexed="81"/>
            <rFont val="Tahoma"/>
            <family val="2"/>
          </rPr>
          <t>The Fitting options are 
Face Fit
Recess Fit</t>
        </r>
      </text>
    </comment>
    <comment ref="J47" authorId="1" shapeId="0" xr:uid="{800BA82E-7A7A-4C8F-BE71-D0073E4EEFAE}">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47" authorId="1" shapeId="0" xr:uid="{099450D9-F730-4F58-A1CE-88021455DEF4}">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47" authorId="1" shapeId="0" xr:uid="{AA4FFEE4-F3F0-46E6-8AAA-85E5C6FFA84F}">
      <text>
        <r>
          <rPr>
            <sz val="8"/>
            <color indexed="81"/>
            <rFont val="Tahoma"/>
            <family val="2"/>
          </rPr>
          <t>The Control Side options are;
For Cord Lock &amp; Chain;
Left
Right
For Cordless &amp; Motorised;
N/A</t>
        </r>
      </text>
    </comment>
    <comment ref="M47" authorId="1" shapeId="0" xr:uid="{3D80370B-3DC0-4E61-AC09-96F7721D2C6C}">
      <text>
        <r>
          <rPr>
            <sz val="8"/>
            <color indexed="81"/>
            <rFont val="Tahoma"/>
            <family val="2"/>
          </rPr>
          <t>The Tilt options are;
For Cord Lock;
Left
Right
For Chain, Cordless &amp; Motorised;
N/A</t>
        </r>
      </text>
    </comment>
    <comment ref="O47" authorId="1" shapeId="0" xr:uid="{7E0B0E2A-B622-442F-8A51-6AD280311F9A}">
      <text>
        <r>
          <rPr>
            <sz val="8"/>
            <color indexed="81"/>
            <rFont val="Tahoma"/>
            <family val="2"/>
          </rPr>
          <t>The Motor Remote options are;
Single Remote
Multi Remote</t>
        </r>
      </text>
    </comment>
    <comment ref="Q47" authorId="1" shapeId="0" xr:uid="{F0821BC6-025B-48E2-9497-E56544A8FBE4}">
      <text>
        <r>
          <rPr>
            <sz val="8"/>
            <color indexed="81"/>
            <rFont val="Tahoma"/>
            <family val="2"/>
          </rPr>
          <t>When left blank, 
no Cut Out applies.</t>
        </r>
      </text>
    </comment>
    <comment ref="D48" authorId="0" shapeId="0" xr:uid="{10D0B8CB-5234-42CE-AEE1-37A803C0BD77}">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48" authorId="1" shapeId="0" xr:uid="{AEDF9856-CF25-4E4F-B7D0-3294A8DDA948}">
      <text>
        <r>
          <rPr>
            <sz val="8"/>
            <color indexed="81"/>
            <rFont val="Tahoma"/>
            <family val="2"/>
          </rPr>
          <t xml:space="preserve">The Colour options are 
dependent on the Product.
</t>
        </r>
        <r>
          <rPr>
            <i/>
            <sz val="8"/>
            <color indexed="81"/>
            <rFont val="Tahoma"/>
            <family val="2"/>
          </rPr>
          <t xml:space="preserve">
Please refer to the Swatches.</t>
        </r>
      </text>
    </comment>
    <comment ref="F48" authorId="1" shapeId="0" xr:uid="{81E692BD-F4EB-4033-AB51-8EC1825BADE6}">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8" authorId="1" shapeId="0" xr:uid="{6DC0BC87-F2BB-4A0E-8C3A-2DF1AC04B268}">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8" authorId="1" shapeId="0" xr:uid="{B9E74A09-0D50-4C46-954E-4B460DEE89B9}">
      <text>
        <r>
          <rPr>
            <sz val="8"/>
            <color indexed="81"/>
            <rFont val="Tahoma"/>
            <family val="2"/>
          </rPr>
          <t>When selecting a
Corner or Bay 
Window Type, 
the CMB Corner WS 
or the 
CMB Bay WS 
must be completed please.</t>
        </r>
      </text>
    </comment>
    <comment ref="I48" authorId="1" shapeId="0" xr:uid="{84B7B77C-0070-4BA9-8EF7-D6143C8DE2E2}">
      <text>
        <r>
          <rPr>
            <sz val="8"/>
            <color indexed="81"/>
            <rFont val="Tahoma"/>
            <family val="2"/>
          </rPr>
          <t>The Fitting options are 
Face Fit
Recess Fit</t>
        </r>
      </text>
    </comment>
    <comment ref="J48" authorId="1" shapeId="0" xr:uid="{8B1C76DD-84B6-4F60-A2ED-6FFC6E869354}">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48" authorId="1" shapeId="0" xr:uid="{54A20A0F-A63E-48FE-8212-1D9161405682}">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48" authorId="1" shapeId="0" xr:uid="{996FE878-0B56-4D38-BA18-974C965528D8}">
      <text>
        <r>
          <rPr>
            <sz val="8"/>
            <color indexed="81"/>
            <rFont val="Tahoma"/>
            <family val="2"/>
          </rPr>
          <t>The Control Side options are;
For Cord Lock &amp; Chain;
Left
Right
For Cordless &amp; Motorised;
N/A</t>
        </r>
      </text>
    </comment>
    <comment ref="M48" authorId="1" shapeId="0" xr:uid="{84893599-40BE-4E5A-B8B7-223AEFA346E0}">
      <text>
        <r>
          <rPr>
            <sz val="8"/>
            <color indexed="81"/>
            <rFont val="Tahoma"/>
            <family val="2"/>
          </rPr>
          <t>The Tilt options are;
For Cord Lock;
Left
Right
For Chain, Cordless &amp; Motorised;
N/A</t>
        </r>
      </text>
    </comment>
    <comment ref="O48" authorId="1" shapeId="0" xr:uid="{C76F302B-6223-4F8F-ACF8-144146ADBCFC}">
      <text>
        <r>
          <rPr>
            <sz val="8"/>
            <color indexed="81"/>
            <rFont val="Tahoma"/>
            <family val="2"/>
          </rPr>
          <t>The Motor Remote options are;
Single Remote
Multi Remote</t>
        </r>
      </text>
    </comment>
    <comment ref="Q48" authorId="1" shapeId="0" xr:uid="{63F72E4F-7B13-422D-A187-122FBF9045AD}">
      <text>
        <r>
          <rPr>
            <sz val="8"/>
            <color indexed="81"/>
            <rFont val="Tahoma"/>
            <family val="2"/>
          </rPr>
          <t>When left blank, 
no Cut Out applies.</t>
        </r>
      </text>
    </comment>
    <comment ref="D49" authorId="0" shapeId="0" xr:uid="{2C8F3638-33B9-4BDE-8E89-FA4214382F6F}">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49" authorId="1" shapeId="0" xr:uid="{94E27809-B468-436D-B7CB-89CD7CDE19FF}">
      <text>
        <r>
          <rPr>
            <sz val="8"/>
            <color indexed="81"/>
            <rFont val="Tahoma"/>
            <family val="2"/>
          </rPr>
          <t xml:space="preserve">The Colour options are 
dependent on the Product.
</t>
        </r>
        <r>
          <rPr>
            <i/>
            <sz val="8"/>
            <color indexed="81"/>
            <rFont val="Tahoma"/>
            <family val="2"/>
          </rPr>
          <t xml:space="preserve">
Please refer to the Swatches.</t>
        </r>
      </text>
    </comment>
    <comment ref="F49" authorId="1" shapeId="0" xr:uid="{4E0C781B-D0A2-4916-B3FF-3711B6ECA45C}">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9" authorId="1" shapeId="0" xr:uid="{B5D0C733-444A-4610-89B9-F51AE15F02F1}">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9" authorId="1" shapeId="0" xr:uid="{C1310771-14DC-46CA-A247-C2B332BCA8F0}">
      <text>
        <r>
          <rPr>
            <sz val="8"/>
            <color indexed="81"/>
            <rFont val="Tahoma"/>
            <family val="2"/>
          </rPr>
          <t>When selecting a
Corner or Bay 
Window Type, 
the CMB Corner WS 
or the 
CMB Bay WS 
must be completed please.</t>
        </r>
      </text>
    </comment>
    <comment ref="I49" authorId="1" shapeId="0" xr:uid="{82970B2E-E76A-4AC5-ABC3-0596DCAE7D71}">
      <text>
        <r>
          <rPr>
            <sz val="8"/>
            <color indexed="81"/>
            <rFont val="Tahoma"/>
            <family val="2"/>
          </rPr>
          <t>The Fitting options are 
Face Fit
Recess Fit</t>
        </r>
      </text>
    </comment>
    <comment ref="J49" authorId="1" shapeId="0" xr:uid="{5631EF92-2139-410F-9EAF-ECC9BEC618CE}">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49" authorId="1" shapeId="0" xr:uid="{EF492165-51B7-4C83-989A-6F04FA2B945C}">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49" authorId="1" shapeId="0" xr:uid="{353EB239-C8A1-480B-AF54-521C575C8CCA}">
      <text>
        <r>
          <rPr>
            <sz val="8"/>
            <color indexed="81"/>
            <rFont val="Tahoma"/>
            <family val="2"/>
          </rPr>
          <t>The Control Side options are;
For Cord Lock &amp; Chain;
Left
Right
For Cordless &amp; Motorised;
N/A</t>
        </r>
      </text>
    </comment>
    <comment ref="M49" authorId="1" shapeId="0" xr:uid="{17F1DA53-DB88-4D72-A19F-25A53447ECC1}">
      <text>
        <r>
          <rPr>
            <sz val="8"/>
            <color indexed="81"/>
            <rFont val="Tahoma"/>
            <family val="2"/>
          </rPr>
          <t>The Tilt options are;
For Cord Lock;
Left
Right
For Chain, Cordless &amp; Motorised;
N/A</t>
        </r>
      </text>
    </comment>
    <comment ref="O49" authorId="1" shapeId="0" xr:uid="{287FC559-6096-43B3-B228-820039E148C4}">
      <text>
        <r>
          <rPr>
            <sz val="8"/>
            <color indexed="81"/>
            <rFont val="Tahoma"/>
            <family val="2"/>
          </rPr>
          <t>The Motor Remote options are;
Single Remote
Multi Remote</t>
        </r>
      </text>
    </comment>
    <comment ref="Q49" authorId="1" shapeId="0" xr:uid="{B679B4A2-1E24-40E6-B9D1-8512246022C7}">
      <text>
        <r>
          <rPr>
            <sz val="8"/>
            <color indexed="81"/>
            <rFont val="Tahoma"/>
            <family val="2"/>
          </rPr>
          <t>When left blank, 
no Cut Out applies.</t>
        </r>
      </text>
    </comment>
    <comment ref="D50" authorId="0" shapeId="0" xr:uid="{057C8A59-5FA1-4885-A202-68E14D390AEE}">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50" authorId="1" shapeId="0" xr:uid="{357AEF91-C1CB-4908-9303-309249D7EEA4}">
      <text>
        <r>
          <rPr>
            <sz val="8"/>
            <color indexed="81"/>
            <rFont val="Tahoma"/>
            <family val="2"/>
          </rPr>
          <t xml:space="preserve">The Colour options are 
dependent on the Product.
</t>
        </r>
        <r>
          <rPr>
            <i/>
            <sz val="8"/>
            <color indexed="81"/>
            <rFont val="Tahoma"/>
            <family val="2"/>
          </rPr>
          <t xml:space="preserve">
Please refer to the Swatches.</t>
        </r>
      </text>
    </comment>
    <comment ref="F50" authorId="1" shapeId="0" xr:uid="{1F835FA4-5A3C-4437-B75A-69E008D95702}">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0" authorId="1" shapeId="0" xr:uid="{7351AEB6-876C-4859-BB18-22760DCA59DA}">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0" authorId="1" shapeId="0" xr:uid="{9015E2DE-5A53-40E5-9A1F-1C8985A27FB6}">
      <text>
        <r>
          <rPr>
            <sz val="8"/>
            <color indexed="81"/>
            <rFont val="Tahoma"/>
            <family val="2"/>
          </rPr>
          <t>When selecting a
Corner or Bay 
Window Type, 
the CMB Corner WS 
or the 
CMB Bay WS 
must be completed please.</t>
        </r>
      </text>
    </comment>
    <comment ref="I50" authorId="1" shapeId="0" xr:uid="{9444DE92-0F9A-4EAA-BD8B-0D319378EDB7}">
      <text>
        <r>
          <rPr>
            <sz val="8"/>
            <color indexed="81"/>
            <rFont val="Tahoma"/>
            <family val="2"/>
          </rPr>
          <t>The Fitting options are 
Face Fit
Recess Fit</t>
        </r>
      </text>
    </comment>
    <comment ref="J50" authorId="1" shapeId="0" xr:uid="{EF78DEDE-9C09-4661-92EF-3C2F269EFB3D}">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50" authorId="1" shapeId="0" xr:uid="{E0152431-0CA0-4C26-8FCD-67AB82F39F54}">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50" authorId="1" shapeId="0" xr:uid="{58877AE1-B49A-4205-9306-933B6726DA49}">
      <text>
        <r>
          <rPr>
            <sz val="8"/>
            <color indexed="81"/>
            <rFont val="Tahoma"/>
            <family val="2"/>
          </rPr>
          <t>The Control Side options are;
For Cord Lock &amp; Chain;
Left
Right
For Cordless &amp; Motorised;
N/A</t>
        </r>
      </text>
    </comment>
    <comment ref="M50" authorId="1" shapeId="0" xr:uid="{6A6B1780-DA82-4C1D-B409-0D98D605B192}">
      <text>
        <r>
          <rPr>
            <sz val="8"/>
            <color indexed="81"/>
            <rFont val="Tahoma"/>
            <family val="2"/>
          </rPr>
          <t>The Tilt options are;
For Cord Lock;
Left
Right
For Chain, Cordless &amp; Motorised;
N/A</t>
        </r>
      </text>
    </comment>
    <comment ref="O50" authorId="1" shapeId="0" xr:uid="{32B29796-666D-4E5F-8C80-F01AEB39DD65}">
      <text>
        <r>
          <rPr>
            <sz val="8"/>
            <color indexed="81"/>
            <rFont val="Tahoma"/>
            <family val="2"/>
          </rPr>
          <t>The Motor Remote options are;
Single Remote
Multi Remote</t>
        </r>
      </text>
    </comment>
    <comment ref="Q50" authorId="1" shapeId="0" xr:uid="{7169DF29-025E-45A9-8226-3381C5FCDEED}">
      <text>
        <r>
          <rPr>
            <sz val="8"/>
            <color indexed="81"/>
            <rFont val="Tahoma"/>
            <family val="2"/>
          </rPr>
          <t>When left blank, 
no Cut Out applies.</t>
        </r>
      </text>
    </comment>
    <comment ref="D51" authorId="0" shapeId="0" xr:uid="{CACB4BAD-AC60-4BB9-9DF9-08D64F3A7056}">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51" authorId="1" shapeId="0" xr:uid="{5E08F105-A17C-42DB-8834-6412B9E4C109}">
      <text>
        <r>
          <rPr>
            <sz val="8"/>
            <color indexed="81"/>
            <rFont val="Tahoma"/>
            <family val="2"/>
          </rPr>
          <t xml:space="preserve">The Colour options are 
dependent on the Product.
</t>
        </r>
        <r>
          <rPr>
            <i/>
            <sz val="8"/>
            <color indexed="81"/>
            <rFont val="Tahoma"/>
            <family val="2"/>
          </rPr>
          <t xml:space="preserve">
Please refer to the Swatches.</t>
        </r>
      </text>
    </comment>
    <comment ref="F51" authorId="1" shapeId="0" xr:uid="{5027F2FE-04C7-4D43-8276-A94EECF00270}">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1" authorId="1" shapeId="0" xr:uid="{7D6A4930-D3E4-46EB-8860-7C6C504C751A}">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1" authorId="1" shapeId="0" xr:uid="{A6E0B708-9A71-4E3E-9D38-7CBCB4038C55}">
      <text>
        <r>
          <rPr>
            <sz val="8"/>
            <color indexed="81"/>
            <rFont val="Tahoma"/>
            <family val="2"/>
          </rPr>
          <t>When selecting a
Corner or Bay 
Window Type, 
the CMB Corner WS 
or the 
CMB Bay WS 
must be completed please.</t>
        </r>
      </text>
    </comment>
    <comment ref="I51" authorId="1" shapeId="0" xr:uid="{1F2843BF-4625-4A8A-AB0C-037C39D68238}">
      <text>
        <r>
          <rPr>
            <sz val="8"/>
            <color indexed="81"/>
            <rFont val="Tahoma"/>
            <family val="2"/>
          </rPr>
          <t>The Fitting options are 
Face Fit
Recess Fit</t>
        </r>
      </text>
    </comment>
    <comment ref="J51" authorId="1" shapeId="0" xr:uid="{D646D530-4544-4171-BA40-FCE6AD117419}">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51" authorId="1" shapeId="0" xr:uid="{1B602597-8D6B-4226-AD4F-73BEFDDC75A7}">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51" authorId="1" shapeId="0" xr:uid="{76AEE75B-0149-4C0A-9279-F7C3C472B059}">
      <text>
        <r>
          <rPr>
            <sz val="8"/>
            <color indexed="81"/>
            <rFont val="Tahoma"/>
            <family val="2"/>
          </rPr>
          <t>The Control Side options are;
For Cord Lock &amp; Chain;
Left
Right
For Cordless &amp; Motorised;
N/A</t>
        </r>
      </text>
    </comment>
    <comment ref="M51" authorId="1" shapeId="0" xr:uid="{BAE3FDC6-6DD1-434B-8A94-A94D3587F662}">
      <text>
        <r>
          <rPr>
            <sz val="8"/>
            <color indexed="81"/>
            <rFont val="Tahoma"/>
            <family val="2"/>
          </rPr>
          <t>The Tilt options are;
For Cord Lock;
Left
Right
For Chain, Cordless &amp; Motorised;
N/A</t>
        </r>
      </text>
    </comment>
    <comment ref="O51" authorId="1" shapeId="0" xr:uid="{BF37F06F-0465-4B08-B6A8-63F648B4CDC0}">
      <text>
        <r>
          <rPr>
            <sz val="8"/>
            <color indexed="81"/>
            <rFont val="Tahoma"/>
            <family val="2"/>
          </rPr>
          <t>The Motor Remote options are;
Single Remote
Multi Remote</t>
        </r>
      </text>
    </comment>
    <comment ref="Q51" authorId="1" shapeId="0" xr:uid="{95B08D50-9CF1-4481-B68E-1EB6AA64526E}">
      <text>
        <r>
          <rPr>
            <sz val="8"/>
            <color indexed="81"/>
            <rFont val="Tahoma"/>
            <family val="2"/>
          </rPr>
          <t>When left blank, 
no Cut Out applies.</t>
        </r>
      </text>
    </comment>
    <comment ref="D52" authorId="0" shapeId="0" xr:uid="{63A74C88-8E61-4CBE-A49B-A10F38262E11}">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52" authorId="1" shapeId="0" xr:uid="{5035EDC3-20E5-49CC-9B4F-76B0F8CE8D3D}">
      <text>
        <r>
          <rPr>
            <sz val="8"/>
            <color indexed="81"/>
            <rFont val="Tahoma"/>
            <family val="2"/>
          </rPr>
          <t xml:space="preserve">The Colour options are 
dependent on the Product.
</t>
        </r>
        <r>
          <rPr>
            <i/>
            <sz val="8"/>
            <color indexed="81"/>
            <rFont val="Tahoma"/>
            <family val="2"/>
          </rPr>
          <t xml:space="preserve">
Please refer to the Swatches.</t>
        </r>
      </text>
    </comment>
    <comment ref="F52" authorId="1" shapeId="0" xr:uid="{8E993C41-3AB0-4A93-90C0-56789CE0A645}">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2" authorId="1" shapeId="0" xr:uid="{F1AE62F0-B9BB-4D48-A29A-43DCD8B6D012}">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2" authorId="1" shapeId="0" xr:uid="{87673749-8952-47F6-807A-06D7EB28B8AA}">
      <text>
        <r>
          <rPr>
            <sz val="8"/>
            <color indexed="81"/>
            <rFont val="Tahoma"/>
            <family val="2"/>
          </rPr>
          <t>When selecting a
Corner or Bay 
Window Type, 
the CMB Corner WS 
or the 
CMB Bay WS 
must be completed please.</t>
        </r>
      </text>
    </comment>
    <comment ref="I52" authorId="1" shapeId="0" xr:uid="{20BF0659-CAE8-4794-B32C-6BBC52D1BA00}">
      <text>
        <r>
          <rPr>
            <sz val="8"/>
            <color indexed="81"/>
            <rFont val="Tahoma"/>
            <family val="2"/>
          </rPr>
          <t>The Fitting options are 
Face Fit
Recess Fit</t>
        </r>
      </text>
    </comment>
    <comment ref="J52" authorId="1" shapeId="0" xr:uid="{D3FBAC8D-7721-4844-94D0-B39D86ED1CDD}">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52" authorId="1" shapeId="0" xr:uid="{DBAA866C-2177-464C-96B3-25E84628F087}">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52" authorId="1" shapeId="0" xr:uid="{3DE4BE67-756E-425A-97E0-F1E0A4F3ED99}">
      <text>
        <r>
          <rPr>
            <sz val="8"/>
            <color indexed="81"/>
            <rFont val="Tahoma"/>
            <family val="2"/>
          </rPr>
          <t>The Control Side options are;
For Cord Lock &amp; Chain;
Left
Right
For Cordless &amp; Motorised;
N/A</t>
        </r>
      </text>
    </comment>
    <comment ref="M52" authorId="1" shapeId="0" xr:uid="{D77940DB-99B2-4032-9C56-2E69CE5458EB}">
      <text>
        <r>
          <rPr>
            <sz val="8"/>
            <color indexed="81"/>
            <rFont val="Tahoma"/>
            <family val="2"/>
          </rPr>
          <t>The Tilt options are;
For Cord Lock;
Left
Right
For Chain, Cordless &amp; Motorised;
N/A</t>
        </r>
      </text>
    </comment>
    <comment ref="O52" authorId="1" shapeId="0" xr:uid="{20101EE0-E630-4FCE-8004-DC260BDFF92B}">
      <text>
        <r>
          <rPr>
            <sz val="8"/>
            <color indexed="81"/>
            <rFont val="Tahoma"/>
            <family val="2"/>
          </rPr>
          <t>The Motor Remote options are;
Single Remote
Multi Remote</t>
        </r>
      </text>
    </comment>
    <comment ref="Q52" authorId="1" shapeId="0" xr:uid="{D0F340B2-72BC-4DA3-973D-F3194E9CA0A3}">
      <text>
        <r>
          <rPr>
            <sz val="8"/>
            <color indexed="81"/>
            <rFont val="Tahoma"/>
            <family val="2"/>
          </rPr>
          <t>When left blank, 
no Cut Out applies.</t>
        </r>
      </text>
    </comment>
    <comment ref="D53" authorId="0" shapeId="0" xr:uid="{C39D3830-BC1A-47C4-A2F7-F38740DD9673}">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53" authorId="1" shapeId="0" xr:uid="{9B11C0D0-9C0A-4D0A-828F-4370302ED68E}">
      <text>
        <r>
          <rPr>
            <sz val="8"/>
            <color indexed="81"/>
            <rFont val="Tahoma"/>
            <family val="2"/>
          </rPr>
          <t xml:space="preserve">The Colour options are 
dependent on the Product.
</t>
        </r>
        <r>
          <rPr>
            <i/>
            <sz val="8"/>
            <color indexed="81"/>
            <rFont val="Tahoma"/>
            <family val="2"/>
          </rPr>
          <t xml:space="preserve">
Please refer to the Swatches.</t>
        </r>
      </text>
    </comment>
    <comment ref="F53" authorId="1" shapeId="0" xr:uid="{CDA40D33-6F80-49B5-8690-530359E8BC01}">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3" authorId="1" shapeId="0" xr:uid="{6947C7B3-6B41-44BF-A0E1-3150984466BF}">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3" authorId="1" shapeId="0" xr:uid="{C8D386EF-28A1-4A7B-8730-B26BC7E66A77}">
      <text>
        <r>
          <rPr>
            <sz val="8"/>
            <color indexed="81"/>
            <rFont val="Tahoma"/>
            <family val="2"/>
          </rPr>
          <t>When selecting a
Corner or Bay 
Window Type, 
the CMB Corner WS 
or the 
CMB Bay WS 
must be completed please.</t>
        </r>
      </text>
    </comment>
    <comment ref="I53" authorId="1" shapeId="0" xr:uid="{220F4D31-E64D-45A4-B3B5-49434CB447B0}">
      <text>
        <r>
          <rPr>
            <sz val="8"/>
            <color indexed="81"/>
            <rFont val="Tahoma"/>
            <family val="2"/>
          </rPr>
          <t>The Fitting options are 
Face Fit
Recess Fit</t>
        </r>
      </text>
    </comment>
    <comment ref="J53" authorId="1" shapeId="0" xr:uid="{4AABEF39-FCD2-4979-A802-7888CC7FFDA2}">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53" authorId="1" shapeId="0" xr:uid="{1C2DB2C2-9989-4F76-9563-9DEE83227AE6}">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53" authorId="1" shapeId="0" xr:uid="{35FDEEAC-0D29-4823-9108-809DA795D290}">
      <text>
        <r>
          <rPr>
            <sz val="8"/>
            <color indexed="81"/>
            <rFont val="Tahoma"/>
            <family val="2"/>
          </rPr>
          <t>The Control Side options are;
For Cord Lock &amp; Chain;
Left
Right
For Cordless &amp; Motorised;
N/A</t>
        </r>
      </text>
    </comment>
    <comment ref="M53" authorId="1" shapeId="0" xr:uid="{02DACDD7-A26E-47D2-98F6-164B33434818}">
      <text>
        <r>
          <rPr>
            <sz val="8"/>
            <color indexed="81"/>
            <rFont val="Tahoma"/>
            <family val="2"/>
          </rPr>
          <t>The Tilt options are;
For Cord Lock;
Left
Right
For Chain, Cordless &amp; Motorised;
N/A</t>
        </r>
      </text>
    </comment>
    <comment ref="O53" authorId="1" shapeId="0" xr:uid="{6EF0C1E8-7E7F-4C23-8D3C-D74224772125}">
      <text>
        <r>
          <rPr>
            <sz val="8"/>
            <color indexed="81"/>
            <rFont val="Tahoma"/>
            <family val="2"/>
          </rPr>
          <t>The Motor Remote options are;
Single Remote
Multi Remote</t>
        </r>
      </text>
    </comment>
    <comment ref="Q53" authorId="1" shapeId="0" xr:uid="{C0F4366A-791D-43A3-A954-8D05CB053D89}">
      <text>
        <r>
          <rPr>
            <sz val="8"/>
            <color indexed="81"/>
            <rFont val="Tahoma"/>
            <family val="2"/>
          </rPr>
          <t>When left blank, 
no Cut Out applies.</t>
        </r>
      </text>
    </comment>
    <comment ref="D54" authorId="0" shapeId="0" xr:uid="{5F76C438-3468-4687-AE36-EAE7F45C20CB}">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54" authorId="1" shapeId="0" xr:uid="{8EC4ECB4-69EF-4257-ABE2-0233BA93DFCE}">
      <text>
        <r>
          <rPr>
            <sz val="8"/>
            <color indexed="81"/>
            <rFont val="Tahoma"/>
            <family val="2"/>
          </rPr>
          <t xml:space="preserve">The Colour options are 
dependent on the Product.
</t>
        </r>
        <r>
          <rPr>
            <i/>
            <sz val="8"/>
            <color indexed="81"/>
            <rFont val="Tahoma"/>
            <family val="2"/>
          </rPr>
          <t xml:space="preserve">
Please refer to the Swatches.</t>
        </r>
      </text>
    </comment>
    <comment ref="F54" authorId="1" shapeId="0" xr:uid="{26BD5A57-5035-4257-8EAA-463B80F9D8EB}">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4" authorId="1" shapeId="0" xr:uid="{76BF7127-EE79-478E-8CB8-DCF0B5583805}">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4" authorId="1" shapeId="0" xr:uid="{EC4ECF6E-1165-4708-AD8B-BCBBD5BB1A17}">
      <text>
        <r>
          <rPr>
            <sz val="8"/>
            <color indexed="81"/>
            <rFont val="Tahoma"/>
            <family val="2"/>
          </rPr>
          <t>When selecting a
Corner or Bay 
Window Type, 
the CMB Corner WS 
or the 
CMB Bay WS 
must be completed please.</t>
        </r>
      </text>
    </comment>
    <comment ref="I54" authorId="1" shapeId="0" xr:uid="{B0FBE93E-F929-4357-8BAF-DC9944CAE515}">
      <text>
        <r>
          <rPr>
            <sz val="8"/>
            <color indexed="81"/>
            <rFont val="Tahoma"/>
            <family val="2"/>
          </rPr>
          <t>The Fitting options are 
Face Fit
Recess Fit</t>
        </r>
      </text>
    </comment>
    <comment ref="J54" authorId="1" shapeId="0" xr:uid="{8512BB03-FC3D-43FD-A310-DAC4B77E08EC}">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54" authorId="1" shapeId="0" xr:uid="{F7289A8B-4B88-4958-BED8-07000C393CAE}">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54" authorId="1" shapeId="0" xr:uid="{0D119E76-8BEC-48E4-B754-4C26F6B34D92}">
      <text>
        <r>
          <rPr>
            <sz val="8"/>
            <color indexed="81"/>
            <rFont val="Tahoma"/>
            <family val="2"/>
          </rPr>
          <t>The Control Side options are;
For Cord Lock &amp; Chain;
Left
Right
For Cordless &amp; Motorised;
N/A</t>
        </r>
      </text>
    </comment>
    <comment ref="M54" authorId="1" shapeId="0" xr:uid="{C6CFCD1B-76E9-4E38-81ED-7149F05866F9}">
      <text>
        <r>
          <rPr>
            <sz val="8"/>
            <color indexed="81"/>
            <rFont val="Tahoma"/>
            <family val="2"/>
          </rPr>
          <t>The Tilt options are;
For Cord Lock;
Left
Right
For Chain, Cordless &amp; Motorised;
N/A</t>
        </r>
      </text>
    </comment>
    <comment ref="O54" authorId="1" shapeId="0" xr:uid="{5CBAF3A8-3F54-4509-9443-1A053769A159}">
      <text>
        <r>
          <rPr>
            <sz val="8"/>
            <color indexed="81"/>
            <rFont val="Tahoma"/>
            <family val="2"/>
          </rPr>
          <t>The Motor Remote options are;
Single Remote
Multi Remote</t>
        </r>
      </text>
    </comment>
    <comment ref="Q54" authorId="1" shapeId="0" xr:uid="{C8132DF1-FDE1-4419-9F30-D6C2B4D7140F}">
      <text>
        <r>
          <rPr>
            <sz val="8"/>
            <color indexed="81"/>
            <rFont val="Tahoma"/>
            <family val="2"/>
          </rPr>
          <t>When left blank, 
no Cut Out applies.</t>
        </r>
      </text>
    </comment>
    <comment ref="D55" authorId="0" shapeId="0" xr:uid="{9A336018-2F67-4492-A8D0-8E5D397402DA}">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55" authorId="1" shapeId="0" xr:uid="{C4BA3BC4-315E-4B2F-8AE6-EFAA6A55B515}">
      <text>
        <r>
          <rPr>
            <sz val="8"/>
            <color indexed="81"/>
            <rFont val="Tahoma"/>
            <family val="2"/>
          </rPr>
          <t xml:space="preserve">The Colour options are 
dependent on the Product.
</t>
        </r>
        <r>
          <rPr>
            <i/>
            <sz val="8"/>
            <color indexed="81"/>
            <rFont val="Tahoma"/>
            <family val="2"/>
          </rPr>
          <t xml:space="preserve">
Please refer to the Swatches.</t>
        </r>
      </text>
    </comment>
    <comment ref="F55" authorId="1" shapeId="0" xr:uid="{D60ED911-DCBC-4639-A500-75F62000DCA0}">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5" authorId="1" shapeId="0" xr:uid="{8E12E50C-E4CC-475F-BE10-9600BD8DD344}">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5" authorId="1" shapeId="0" xr:uid="{FF154E07-396F-4F33-8EC0-5B6B3683ABCF}">
      <text>
        <r>
          <rPr>
            <sz val="8"/>
            <color indexed="81"/>
            <rFont val="Tahoma"/>
            <family val="2"/>
          </rPr>
          <t>When selecting a
Corner or Bay 
Window Type, 
the CMB Corner WS 
or the 
CMB Bay WS 
must be completed please.</t>
        </r>
      </text>
    </comment>
    <comment ref="I55" authorId="1" shapeId="0" xr:uid="{2E7E8141-6EC0-4A82-9154-56F328FE5A99}">
      <text>
        <r>
          <rPr>
            <sz val="8"/>
            <color indexed="81"/>
            <rFont val="Tahoma"/>
            <family val="2"/>
          </rPr>
          <t>The Fitting options are 
Face Fit
Recess Fit</t>
        </r>
      </text>
    </comment>
    <comment ref="J55" authorId="1" shapeId="0" xr:uid="{99619410-D684-41D8-B70F-26AF58650AFC}">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55" authorId="1" shapeId="0" xr:uid="{45FAD0C9-2B2D-4DBA-8C0D-D2B0CC3A194B}">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55" authorId="1" shapeId="0" xr:uid="{3C8E5C05-2E00-4E34-8FF8-8D60C6E22BE3}">
      <text>
        <r>
          <rPr>
            <sz val="8"/>
            <color indexed="81"/>
            <rFont val="Tahoma"/>
            <family val="2"/>
          </rPr>
          <t>The Control Side options are;
For Cord Lock &amp; Chain;
Left
Right
For Cordless &amp; Motorised;
N/A</t>
        </r>
      </text>
    </comment>
    <comment ref="M55" authorId="1" shapeId="0" xr:uid="{A85DAC7D-98E2-4370-9CE3-2F054CF72BCE}">
      <text>
        <r>
          <rPr>
            <sz val="8"/>
            <color indexed="81"/>
            <rFont val="Tahoma"/>
            <family val="2"/>
          </rPr>
          <t>The Tilt options are;
For Cord Lock;
Left
Right
For Chain, Cordless &amp; Motorised;
N/A</t>
        </r>
      </text>
    </comment>
    <comment ref="O55" authorId="1" shapeId="0" xr:uid="{B9F00064-D85D-4556-A792-495099139C63}">
      <text>
        <r>
          <rPr>
            <sz val="8"/>
            <color indexed="81"/>
            <rFont val="Tahoma"/>
            <family val="2"/>
          </rPr>
          <t>The Motor Remote options are;
Single Remote
Multi Remote</t>
        </r>
      </text>
    </comment>
    <comment ref="Q55" authorId="1" shapeId="0" xr:uid="{497A581E-0509-45B3-AF97-8527587F81A8}">
      <text>
        <r>
          <rPr>
            <sz val="8"/>
            <color indexed="81"/>
            <rFont val="Tahoma"/>
            <family val="2"/>
          </rPr>
          <t>When left blank, 
no Cut Out applies.</t>
        </r>
      </text>
    </comment>
    <comment ref="D56" authorId="0" shapeId="0" xr:uid="{F5764491-0035-4EFF-A53C-EEF8E418645B}">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56" authorId="1" shapeId="0" xr:uid="{1BF7BB65-A6C0-476B-812D-6E6EAA0A7274}">
      <text>
        <r>
          <rPr>
            <sz val="8"/>
            <color indexed="81"/>
            <rFont val="Tahoma"/>
            <family val="2"/>
          </rPr>
          <t xml:space="preserve">The Colour options are 
dependent on the Product.
</t>
        </r>
        <r>
          <rPr>
            <i/>
            <sz val="8"/>
            <color indexed="81"/>
            <rFont val="Tahoma"/>
            <family val="2"/>
          </rPr>
          <t xml:space="preserve">
Please refer to the Swatches.</t>
        </r>
      </text>
    </comment>
    <comment ref="F56" authorId="1" shapeId="0" xr:uid="{39A98589-4988-4C03-B9E1-E6C9D78651D8}">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6" authorId="1" shapeId="0" xr:uid="{F45C4F7D-A6F8-4D90-B26A-C10D85F8ED63}">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6" authorId="1" shapeId="0" xr:uid="{5CF86251-EE72-4C7A-837D-0373A57EFC70}">
      <text>
        <r>
          <rPr>
            <sz val="8"/>
            <color indexed="81"/>
            <rFont val="Tahoma"/>
            <family val="2"/>
          </rPr>
          <t>When selecting a
Corner or Bay 
Window Type, 
the CMB Corner WS 
or the 
CMB Bay WS 
must be completed please.</t>
        </r>
      </text>
    </comment>
    <comment ref="I56" authorId="1" shapeId="0" xr:uid="{807C1A3E-A3D8-4ACE-976A-7EC0D3B1B086}">
      <text>
        <r>
          <rPr>
            <sz val="8"/>
            <color indexed="81"/>
            <rFont val="Tahoma"/>
            <family val="2"/>
          </rPr>
          <t>The Fitting options are 
Face Fit
Recess Fit</t>
        </r>
      </text>
    </comment>
    <comment ref="J56" authorId="1" shapeId="0" xr:uid="{C0C0CC1D-1234-4960-9ED2-C67125E9F2F9}">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56" authorId="1" shapeId="0" xr:uid="{EA0D9AC9-2633-48BC-A463-8A9C426281AC}">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56" authorId="1" shapeId="0" xr:uid="{D6FB192F-1963-4B80-A61F-B28C5B5EF3EA}">
      <text>
        <r>
          <rPr>
            <sz val="8"/>
            <color indexed="81"/>
            <rFont val="Tahoma"/>
            <family val="2"/>
          </rPr>
          <t>The Control Side options are;
For Cord Lock &amp; Chain;
Left
Right
For Cordless &amp; Motorised;
N/A</t>
        </r>
      </text>
    </comment>
    <comment ref="M56" authorId="1" shapeId="0" xr:uid="{2B008967-D9EE-4081-9E9F-EF27D1B06FEB}">
      <text>
        <r>
          <rPr>
            <sz val="8"/>
            <color indexed="81"/>
            <rFont val="Tahoma"/>
            <family val="2"/>
          </rPr>
          <t>The Tilt options are;
For Cord Lock;
Left
Right
For Chain, Cordless &amp; Motorised;
N/A</t>
        </r>
      </text>
    </comment>
    <comment ref="O56" authorId="1" shapeId="0" xr:uid="{40769E5F-4E5F-45D3-A83A-E1CDE88FE24A}">
      <text>
        <r>
          <rPr>
            <sz val="8"/>
            <color indexed="81"/>
            <rFont val="Tahoma"/>
            <family val="2"/>
          </rPr>
          <t>The Motor Remote options are;
Single Remote
Multi Remote</t>
        </r>
      </text>
    </comment>
    <comment ref="Q56" authorId="1" shapeId="0" xr:uid="{6E25E027-30E8-4E61-837C-CD91E6EE352A}">
      <text>
        <r>
          <rPr>
            <sz val="8"/>
            <color indexed="81"/>
            <rFont val="Tahoma"/>
            <family val="2"/>
          </rPr>
          <t>When left blank, 
no Cut Out applies.</t>
        </r>
      </text>
    </comment>
    <comment ref="D57" authorId="0" shapeId="0" xr:uid="{706C33CD-8963-43F4-BA2D-6B135675A71D}">
      <text>
        <r>
          <rPr>
            <sz val="8"/>
            <color indexed="81"/>
            <rFont val="Tahoma"/>
            <family val="2"/>
          </rPr>
          <t>The Product options are;
25mm Aluminium C Profile Blade Blind
25mm Aluminium L Profile Blade Blind
25mm Aluminium S Profile Blade Blind
30mm Aluminium L Profile Blade Blind
35mm Aluminium C Profile Blade Blind
35mm Aluminium S Profile Blade Blind
50mm Aluminium C Profile Blade Blind
50mm Aluminium L Profile Blade Blind</t>
        </r>
      </text>
    </comment>
    <comment ref="E57" authorId="1" shapeId="0" xr:uid="{D3CA49B0-E7CF-44D6-8C29-EF3B02A68677}">
      <text>
        <r>
          <rPr>
            <sz val="8"/>
            <color indexed="81"/>
            <rFont val="Tahoma"/>
            <family val="2"/>
          </rPr>
          <t xml:space="preserve">The Colour options are 
dependent on the Product.
</t>
        </r>
        <r>
          <rPr>
            <i/>
            <sz val="8"/>
            <color indexed="81"/>
            <rFont val="Tahoma"/>
            <family val="2"/>
          </rPr>
          <t xml:space="preserve">
Please refer to the Swatches.</t>
        </r>
      </text>
    </comment>
    <comment ref="F57" authorId="1" shapeId="0" xr:uid="{F087C799-1EE9-4181-A35E-8EA99BE4E6DD}">
      <text>
        <r>
          <rPr>
            <sz val="8"/>
            <color indexed="81"/>
            <rFont val="Tahoma"/>
            <family val="2"/>
          </rPr>
          <t xml:space="preserve">Please refer to the Reference Chart for 
Minimum &amp; Maximum Widths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7" authorId="1" shapeId="0" xr:uid="{2DF26DAF-9529-47D8-961C-88A63319B1BE}">
      <text>
        <r>
          <rPr>
            <sz val="8"/>
            <color indexed="81"/>
            <rFont val="Tahoma"/>
            <family val="2"/>
          </rPr>
          <t xml:space="preserve">Please refer to the Reference Chart for 
Minimum &amp; Maximum Heights 
per Product Type &amp; Control Type.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7" authorId="1" shapeId="0" xr:uid="{5F8C0AC6-D73F-48F6-AA3D-CA61EB6B2C70}">
      <text>
        <r>
          <rPr>
            <sz val="8"/>
            <color indexed="81"/>
            <rFont val="Tahoma"/>
            <family val="2"/>
          </rPr>
          <t>When selecting a
Corner or Bay 
Window Type, 
the CMB Corner WS 
or the 
CMB Bay WS 
must be completed please.</t>
        </r>
      </text>
    </comment>
    <comment ref="I57" authorId="1" shapeId="0" xr:uid="{363F8F85-50F1-4AD7-BD0B-4C25D7843A00}">
      <text>
        <r>
          <rPr>
            <sz val="8"/>
            <color indexed="81"/>
            <rFont val="Tahoma"/>
            <family val="2"/>
          </rPr>
          <t>The Fitting options are 
Face Fit
Recess Fit</t>
        </r>
      </text>
    </comment>
    <comment ref="J57" authorId="1" shapeId="0" xr:uid="{BA097B8C-F685-4ED7-A5F6-42C46CF41994}">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K57" authorId="1" shapeId="0" xr:uid="{92956934-5DA5-4840-9BC2-6F71B70D1CDE}">
      <text>
        <r>
          <rPr>
            <sz val="8"/>
            <color indexed="81"/>
            <rFont val="Tahoma"/>
            <family val="2"/>
          </rPr>
          <t>The Control options are;
For 25mm Profile Blade;
Cord Lock
Cordless
Chain Control
Motorised
For 30mm &amp; 35mm Profile Blade;
Chain Control
Motorised
For 50mm Profile Blade;
Pull Cord
Motorised</t>
        </r>
      </text>
    </comment>
    <comment ref="L57" authorId="1" shapeId="0" xr:uid="{296800FE-020B-4B54-BB07-BD7D79D2FAE9}">
      <text>
        <r>
          <rPr>
            <sz val="8"/>
            <color indexed="81"/>
            <rFont val="Tahoma"/>
            <family val="2"/>
          </rPr>
          <t>The Control Side options are;
For Cord Lock &amp; Chain;
Left
Right
For Cordless &amp; Motorised;
N/A</t>
        </r>
      </text>
    </comment>
    <comment ref="M57" authorId="1" shapeId="0" xr:uid="{689051D0-E354-4939-846C-15BA6B681A83}">
      <text>
        <r>
          <rPr>
            <sz val="8"/>
            <color indexed="81"/>
            <rFont val="Tahoma"/>
            <family val="2"/>
          </rPr>
          <t>The Tilt options are;
For Cord Lock;
Left
Right
For Chain, Cordless &amp; Motorised;
N/A</t>
        </r>
      </text>
    </comment>
    <comment ref="O57" authorId="1" shapeId="0" xr:uid="{83359879-D498-42A9-9FAD-A7B5DCB3DB5B}">
      <text>
        <r>
          <rPr>
            <sz val="8"/>
            <color indexed="81"/>
            <rFont val="Tahoma"/>
            <family val="2"/>
          </rPr>
          <t>The Motor Remote options are;
Single Remote
Multi Remote</t>
        </r>
      </text>
    </comment>
    <comment ref="Q57" authorId="1" shapeId="0" xr:uid="{88FC9DA6-FCF0-48BF-ACE9-8448DE95C477}">
      <text>
        <r>
          <rPr>
            <sz val="8"/>
            <color indexed="81"/>
            <rFont val="Tahoma"/>
            <family val="2"/>
          </rPr>
          <t>When left blank, 
no Cut Out applies.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Tony Sinke</author>
    <author>PWD</author>
  </authors>
  <commentList>
    <comment ref="D7" authorId="0" shapeId="0" xr:uid="{B86D7BF8-BDCA-4055-8FAA-20DCD2E67933}">
      <text>
        <r>
          <rPr>
            <sz val="8"/>
            <color indexed="81"/>
            <rFont val="Tahoma"/>
            <family val="2"/>
          </rPr>
          <t>The Blade options are;
C Profile 60mm Blade C60
C Profile 80mm Blade C80
CR Profile 65mm Blade CR65
CR Profile 80mm Blade CR80
ZR Profile 105mm Blade ZR105</t>
        </r>
      </text>
    </comment>
    <comment ref="E7" authorId="0" shapeId="0" xr:uid="{F0020BA0-FFD0-46AB-9C65-6F9ABB122A42}">
      <text>
        <r>
          <rPr>
            <sz val="8"/>
            <color indexed="81"/>
            <rFont val="Tahoma"/>
            <family val="2"/>
          </rPr>
          <t>The Blade Colour options are;
C Profile &amp; CR Profile;
Grey PWD 8
Silver PWD 6
ZR Profile;
Silver PWD 6</t>
        </r>
      </text>
    </comment>
    <comment ref="F7" authorId="1" shapeId="0" xr:uid="{2975D12C-9050-4AF4-91AE-F509C4D5003D}">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7" authorId="1" shapeId="0" xr:uid="{C3083D1E-13B4-4EDB-8E76-5EDBF8681D49}">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7" authorId="1" shapeId="0" xr:uid="{0F0C7DB4-3AD2-4749-AF87-A54F79E5B0D3}">
      <text>
        <r>
          <rPr>
            <sz val="8"/>
            <color indexed="81"/>
            <rFont val="Tahoma"/>
            <family val="2"/>
          </rPr>
          <t>When selecting a
Corner or Bay 
Window Type, 
the CMB Corner WS 
or the 
CMB Bay WS 
must be completed please.</t>
        </r>
      </text>
    </comment>
    <comment ref="I7" authorId="1" shapeId="0" xr:uid="{57984176-3377-42E4-AAF0-E667BF6E1DCD}">
      <text>
        <r>
          <rPr>
            <sz val="8"/>
            <color indexed="81"/>
            <rFont val="Tahoma"/>
            <family val="2"/>
          </rPr>
          <t>The Mounting options are;
Face Fit
Top Fit</t>
        </r>
      </text>
    </comment>
    <comment ref="J7" authorId="1" shapeId="0" xr:uid="{1F7C5689-4668-40CF-805D-861A894E3636}">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7" authorId="1" shapeId="0" xr:uid="{B2F713BC-2FDC-48FF-BB1A-F4ECC0483766}">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7" authorId="1" shapeId="0" xr:uid="{A77E2410-BBB6-415F-822F-32C0422B55A4}">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7" authorId="1" shapeId="0" xr:uid="{8FAD168B-6A28-4895-967A-70B89AEF6068}">
      <text>
        <r>
          <rPr>
            <sz val="8"/>
            <color indexed="81"/>
            <rFont val="Tahoma"/>
            <family val="2"/>
          </rPr>
          <t>The Pelmet options are;
L Profile
U Profile
No Pelmet</t>
        </r>
      </text>
    </comment>
    <comment ref="O7" authorId="1" shapeId="0" xr:uid="{AB328098-6822-411B-A17D-BBB0C2F01EC2}">
      <text>
        <r>
          <rPr>
            <sz val="8"/>
            <color indexed="81"/>
            <rFont val="Tahoma"/>
            <family val="2"/>
          </rPr>
          <t>Enter the Pelmet Height in mm.
The Heights are below;
Minimum Height 100mm 
Maximum Height 300mm</t>
        </r>
      </text>
    </comment>
    <comment ref="Q7" authorId="1" shapeId="0" xr:uid="{60BAB346-9439-4917-8556-926B0A857399}">
      <text>
        <r>
          <rPr>
            <sz val="8"/>
            <color indexed="81"/>
            <rFont val="Tahoma"/>
            <family val="2"/>
          </rPr>
          <t>Enter the Pelmet Depth in mm.</t>
        </r>
      </text>
    </comment>
    <comment ref="S7" authorId="1" shapeId="0" xr:uid="{5AE369F4-EE6F-40CD-B78E-8E01AAF90547}">
      <text>
        <r>
          <rPr>
            <sz val="8"/>
            <color indexed="81"/>
            <rFont val="Tahoma"/>
            <family val="2"/>
          </rPr>
          <t>Blind Width          Maximum Cut Out Width
For 50mm/63mm PS/PS Privacy
222 - 254mm       50mm
255 - 379mm       75mm
 &gt; 380mm             130mm</t>
        </r>
      </text>
    </comment>
    <comment ref="U7" authorId="1" shapeId="0" xr:uid="{A3319C32-E1A9-404F-9919-9B29C622577C}">
      <text>
        <r>
          <rPr>
            <sz val="8"/>
            <color indexed="81"/>
            <rFont val="Tahoma"/>
            <family val="2"/>
          </rPr>
          <t xml:space="preserve">Blind Width          Maximum Cut Out Width
For 50mm/63mm PS/PS Privacy
222 - 254mm       50mm
255 - 379mm       75mm
 &gt; 380mm             130mm
</t>
        </r>
      </text>
    </comment>
    <comment ref="V7" authorId="1" shapeId="0" xr:uid="{88E565B6-C123-422C-812F-577FD040945E}">
      <text>
        <r>
          <rPr>
            <sz val="8"/>
            <color indexed="81"/>
            <rFont val="Tahoma"/>
            <family val="2"/>
          </rPr>
          <t>The Maximum m2 is 15m2.</t>
        </r>
      </text>
    </comment>
    <comment ref="D8" authorId="0" shapeId="0" xr:uid="{FF4F5D60-CC75-49CB-A231-67F792736DDD}">
      <text>
        <r>
          <rPr>
            <sz val="8"/>
            <color indexed="81"/>
            <rFont val="Tahoma"/>
            <family val="2"/>
          </rPr>
          <t>The Blade options are;
C Profile 60mm Blade C60
C Profile 80mm Blade C80
CR Profile 65mm Blade CR65
CR Profile 80mm Blade CR80
ZR Profile 105mm Blade ZR105</t>
        </r>
      </text>
    </comment>
    <comment ref="E8" authorId="0" shapeId="0" xr:uid="{33839479-F466-48ED-AD47-6183848597D4}">
      <text>
        <r>
          <rPr>
            <sz val="8"/>
            <color indexed="81"/>
            <rFont val="Tahoma"/>
            <family val="2"/>
          </rPr>
          <t>The Blade Colour options are;
C Profile &amp; CR Profile;
Grey PWD 8
Silver PWD 6
ZR Profile;
Silver PWD 6</t>
        </r>
      </text>
    </comment>
    <comment ref="F8" authorId="1" shapeId="0" xr:uid="{14DB4558-081F-436A-B9F8-352A3E593517}">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8" authorId="1" shapeId="0" xr:uid="{D3DA7B93-5972-4CB2-89B9-C62936BDB383}">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8" authorId="1" shapeId="0" xr:uid="{9B42C13F-A4ED-4901-A744-34ACD7A7D269}">
      <text>
        <r>
          <rPr>
            <sz val="8"/>
            <color indexed="81"/>
            <rFont val="Tahoma"/>
            <family val="2"/>
          </rPr>
          <t>When selecting a
Corner or Bay 
Window Type, 
the CMB Corner WS 
or the 
CMB Bay WS 
must be completed please.</t>
        </r>
      </text>
    </comment>
    <comment ref="I8" authorId="1" shapeId="0" xr:uid="{539FF229-A3C1-463F-A712-34108600D793}">
      <text>
        <r>
          <rPr>
            <sz val="8"/>
            <color indexed="81"/>
            <rFont val="Tahoma"/>
            <family val="2"/>
          </rPr>
          <t>The Mounting options are;
Face Fit
Top Fit</t>
        </r>
      </text>
    </comment>
    <comment ref="J8" authorId="1" shapeId="0" xr:uid="{82F077FA-0979-4418-BC27-CC407E9984FD}">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8" authorId="1" shapeId="0" xr:uid="{0647B355-D91A-4D10-96BC-FDF3BF6F7E4C}">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8" authorId="1" shapeId="0" xr:uid="{B5F0F99F-1F01-48C4-9D64-97C74FB16518}">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8" authorId="1" shapeId="0" xr:uid="{545247E3-760F-4AB6-8FEA-BD16B197AEAC}">
      <text>
        <r>
          <rPr>
            <sz val="8"/>
            <color indexed="81"/>
            <rFont val="Tahoma"/>
            <family val="2"/>
          </rPr>
          <t>The Pelmet options are;
L Profile
U Profile
No Pelmet</t>
        </r>
      </text>
    </comment>
    <comment ref="O8" authorId="1" shapeId="0" xr:uid="{D5CA126A-2641-4424-80E6-8F1E303F8B22}">
      <text>
        <r>
          <rPr>
            <sz val="8"/>
            <color indexed="81"/>
            <rFont val="Tahoma"/>
            <family val="2"/>
          </rPr>
          <t>Enter the Pelmet Height in mm.
The Heights are below;
Minimum Height 100mm 
Maximum Height 300mm</t>
        </r>
      </text>
    </comment>
    <comment ref="Q8" authorId="1" shapeId="0" xr:uid="{2A1B0CBE-E3B8-471F-8FD7-4E07187D6370}">
      <text>
        <r>
          <rPr>
            <sz val="8"/>
            <color indexed="81"/>
            <rFont val="Tahoma"/>
            <family val="2"/>
          </rPr>
          <t>Enter the Pelmet Depth in mm.</t>
        </r>
      </text>
    </comment>
    <comment ref="S8" authorId="1" shapeId="0" xr:uid="{81311056-5AE0-4DCE-9E17-56F6CD3D13B5}">
      <text>
        <r>
          <rPr>
            <sz val="8"/>
            <color indexed="81"/>
            <rFont val="Tahoma"/>
            <family val="2"/>
          </rPr>
          <t>Blind Width          Maximum Cut Out Width
For 50mm/63mm PS/PS Privacy
222 - 254mm       50mm
255 - 379mm       75mm
 &gt; 380mm             130mm</t>
        </r>
      </text>
    </comment>
    <comment ref="U8" authorId="1" shapeId="0" xr:uid="{453A676C-4F92-40C2-955D-3102BAA43B8D}">
      <text>
        <r>
          <rPr>
            <sz val="8"/>
            <color indexed="81"/>
            <rFont val="Tahoma"/>
            <family val="2"/>
          </rPr>
          <t xml:space="preserve">Blind Width          Maximum Cut Out Width
For 50mm/63mm PS/PS Privacy
222 - 254mm       50mm
255 - 379mm       75mm
 &gt; 380mm             130mm
</t>
        </r>
      </text>
    </comment>
    <comment ref="V8" authorId="1" shapeId="0" xr:uid="{356425C4-4BDD-4A2E-9B11-05D765862FF8}">
      <text>
        <r>
          <rPr>
            <sz val="8"/>
            <color indexed="81"/>
            <rFont val="Tahoma"/>
            <family val="2"/>
          </rPr>
          <t>The Maximum m2 is 15m2.</t>
        </r>
      </text>
    </comment>
    <comment ref="D9" authorId="0" shapeId="0" xr:uid="{6099183A-5E45-4895-A96B-BCC23F3F6DA0}">
      <text>
        <r>
          <rPr>
            <sz val="8"/>
            <color indexed="81"/>
            <rFont val="Tahoma"/>
            <family val="2"/>
          </rPr>
          <t>The Blade options are;
C Profile 60mm Blade C60
C Profile 80mm Blade C80
CR Profile 65mm Blade CR65
CR Profile 80mm Blade CR80
ZR Profile 105mm Blade ZR105</t>
        </r>
      </text>
    </comment>
    <comment ref="E9" authorId="0" shapeId="0" xr:uid="{AC7C33E2-781E-4DAA-B072-BA113CD25E98}">
      <text>
        <r>
          <rPr>
            <sz val="8"/>
            <color indexed="81"/>
            <rFont val="Tahoma"/>
            <family val="2"/>
          </rPr>
          <t>The Blade Colour options are;
C Profile &amp; CR Profile;
Grey PWD 8
Silver PWD 6
ZR Profile;
Silver PWD 6</t>
        </r>
      </text>
    </comment>
    <comment ref="F9" authorId="1" shapeId="0" xr:uid="{84D5775A-6803-403B-A84D-797242D7C482}">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9" authorId="1" shapeId="0" xr:uid="{5AC0A097-ED24-4189-AE90-A294C97489BE}">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9" authorId="1" shapeId="0" xr:uid="{33E8A817-B5BB-42DA-8373-99A1B2FD3CC4}">
      <text>
        <r>
          <rPr>
            <sz val="8"/>
            <color indexed="81"/>
            <rFont val="Tahoma"/>
            <family val="2"/>
          </rPr>
          <t>When selecting a
Corner or Bay 
Window Type, 
the CMB Corner WS 
or the 
CMB Bay WS 
must be completed please.</t>
        </r>
      </text>
    </comment>
    <comment ref="I9" authorId="1" shapeId="0" xr:uid="{D00F781C-D902-41A7-8B82-47A234453F17}">
      <text>
        <r>
          <rPr>
            <sz val="8"/>
            <color indexed="81"/>
            <rFont val="Tahoma"/>
            <family val="2"/>
          </rPr>
          <t>The Mounting options are;
Face Fit
Top Fit</t>
        </r>
      </text>
    </comment>
    <comment ref="J9" authorId="1" shapeId="0" xr:uid="{EB329E67-090E-41C3-B1DB-C59E5ACABBD2}">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9" authorId="1" shapeId="0" xr:uid="{F6ECA691-5C02-46F2-8DFA-F3B4089E0940}">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9" authorId="1" shapeId="0" xr:uid="{E6306731-2FD6-4A33-8CDF-B1ECB3504CBD}">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9" authorId="1" shapeId="0" xr:uid="{25E27E6E-E3F5-42ED-86BF-A732E0B69D92}">
      <text>
        <r>
          <rPr>
            <sz val="8"/>
            <color indexed="81"/>
            <rFont val="Tahoma"/>
            <family val="2"/>
          </rPr>
          <t>The Pelmet options are;
L Profile
U Profile
No Pelmet</t>
        </r>
      </text>
    </comment>
    <comment ref="O9" authorId="1" shapeId="0" xr:uid="{3977A258-ED76-493A-9F8E-061EA27AC697}">
      <text>
        <r>
          <rPr>
            <sz val="8"/>
            <color indexed="81"/>
            <rFont val="Tahoma"/>
            <family val="2"/>
          </rPr>
          <t>Enter the Pelmet Height in mm.
The Heights are below;
Minimum Height 100mm 
Maximum Height 300mm</t>
        </r>
      </text>
    </comment>
    <comment ref="Q9" authorId="1" shapeId="0" xr:uid="{A568A48B-BB78-440A-A6EB-BD1B0BE6808D}">
      <text>
        <r>
          <rPr>
            <sz val="8"/>
            <color indexed="81"/>
            <rFont val="Tahoma"/>
            <family val="2"/>
          </rPr>
          <t>Enter the Pelmet Depth in mm.</t>
        </r>
      </text>
    </comment>
    <comment ref="S9" authorId="1" shapeId="0" xr:uid="{FA7A6E3B-F44D-4DEA-AD40-539F1133EB2A}">
      <text>
        <r>
          <rPr>
            <sz val="8"/>
            <color indexed="81"/>
            <rFont val="Tahoma"/>
            <family val="2"/>
          </rPr>
          <t>Blind Width          Maximum Cut Out Width
For 50mm/63mm PS/PS Privacy
222 - 254mm       50mm
255 - 379mm       75mm
 &gt; 380mm             130mm</t>
        </r>
      </text>
    </comment>
    <comment ref="U9" authorId="1" shapeId="0" xr:uid="{46F0C4FD-4527-4B97-9230-24861AF4A6DB}">
      <text>
        <r>
          <rPr>
            <sz val="8"/>
            <color indexed="81"/>
            <rFont val="Tahoma"/>
            <family val="2"/>
          </rPr>
          <t xml:space="preserve">Blind Width          Maximum Cut Out Width
For 50mm/63mm PS/PS Privacy
222 - 254mm       50mm
255 - 379mm       75mm
 &gt; 380mm             130mm
</t>
        </r>
      </text>
    </comment>
    <comment ref="V9" authorId="1" shapeId="0" xr:uid="{D087A1E6-CFFD-4093-9EF2-580D8ECEB6CE}">
      <text>
        <r>
          <rPr>
            <sz val="8"/>
            <color indexed="81"/>
            <rFont val="Tahoma"/>
            <family val="2"/>
          </rPr>
          <t>The Maximum m2 is 15m2.</t>
        </r>
      </text>
    </comment>
    <comment ref="D10" authorId="0" shapeId="0" xr:uid="{371B7DDF-7550-4A7F-AABB-7EBFBFC79B46}">
      <text>
        <r>
          <rPr>
            <sz val="8"/>
            <color indexed="81"/>
            <rFont val="Tahoma"/>
            <family val="2"/>
          </rPr>
          <t>The Blade options are;
C Profile 60mm Blade C60
C Profile 80mm Blade C80
CR Profile 65mm Blade CR65
CR Profile 80mm Blade CR80
ZR Profile 105mm Blade ZR105</t>
        </r>
      </text>
    </comment>
    <comment ref="E10" authorId="0" shapeId="0" xr:uid="{5B32E5D2-2801-479C-8D55-641DFCD60056}">
      <text>
        <r>
          <rPr>
            <sz val="8"/>
            <color indexed="81"/>
            <rFont val="Tahoma"/>
            <family val="2"/>
          </rPr>
          <t>The Blade Colour options are;
C Profile &amp; CR Profile;
Grey PWD 8
Silver PWD 6
ZR Profile;
Silver PWD 6</t>
        </r>
      </text>
    </comment>
    <comment ref="F10" authorId="1" shapeId="0" xr:uid="{286C219E-C29E-4295-9B70-5D683474483C}">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10" authorId="1" shapeId="0" xr:uid="{492372A6-6F0E-44F4-9938-5B751744F591}">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10" authorId="1" shapeId="0" xr:uid="{BAC28915-3A82-4E70-ADF1-257162CE08C2}">
      <text>
        <r>
          <rPr>
            <sz val="8"/>
            <color indexed="81"/>
            <rFont val="Tahoma"/>
            <family val="2"/>
          </rPr>
          <t>When selecting a
Corner or Bay 
Window Type, 
the CMB Corner WS 
or the 
CMB Bay WS 
must be completed please.</t>
        </r>
      </text>
    </comment>
    <comment ref="I10" authorId="1" shapeId="0" xr:uid="{F0C5907E-0194-4601-B06C-808E57DF5717}">
      <text>
        <r>
          <rPr>
            <sz val="8"/>
            <color indexed="81"/>
            <rFont val="Tahoma"/>
            <family val="2"/>
          </rPr>
          <t>The Mounting options are;
Face Fit
Top Fit</t>
        </r>
      </text>
    </comment>
    <comment ref="J10" authorId="1" shapeId="0" xr:uid="{79D51C42-BDA7-4990-8709-5A9BA2868E42}">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0" authorId="1" shapeId="0" xr:uid="{C83C7883-A077-446E-A377-588C2FA03AA1}">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10" authorId="1" shapeId="0" xr:uid="{8A2E477E-00BB-4E3B-BDF8-ABB52D79980C}">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10" authorId="1" shapeId="0" xr:uid="{B6CB6239-CCBB-4E23-906D-0E4ECBDAFE8E}">
      <text>
        <r>
          <rPr>
            <sz val="8"/>
            <color indexed="81"/>
            <rFont val="Tahoma"/>
            <family val="2"/>
          </rPr>
          <t>The Pelmet options are;
L Profile
U Profile
No Pelmet</t>
        </r>
      </text>
    </comment>
    <comment ref="O10" authorId="1" shapeId="0" xr:uid="{CA5D6589-9A08-4B0E-8051-76EBA09FCA18}">
      <text>
        <r>
          <rPr>
            <sz val="8"/>
            <color indexed="81"/>
            <rFont val="Tahoma"/>
            <family val="2"/>
          </rPr>
          <t>Enter the Pelmet Height in mm.
The Heights are below;
Minimum Height 100mm 
Maximum Height 300mm</t>
        </r>
      </text>
    </comment>
    <comment ref="Q10" authorId="1" shapeId="0" xr:uid="{B964B484-6903-4A26-9774-E00437C6776D}">
      <text>
        <r>
          <rPr>
            <sz val="8"/>
            <color indexed="81"/>
            <rFont val="Tahoma"/>
            <family val="2"/>
          </rPr>
          <t>Enter the Pelmet Depth in mm.</t>
        </r>
      </text>
    </comment>
    <comment ref="S10" authorId="1" shapeId="0" xr:uid="{F42AFAE1-6C6C-44FB-A097-EB061151BA31}">
      <text>
        <r>
          <rPr>
            <sz val="8"/>
            <color indexed="81"/>
            <rFont val="Tahoma"/>
            <family val="2"/>
          </rPr>
          <t>Blind Width          Maximum Cut Out Width
For 50mm/63mm PS/PS Privacy
222 - 254mm       50mm
255 - 379mm       75mm
 &gt; 380mm             130mm</t>
        </r>
      </text>
    </comment>
    <comment ref="U10" authorId="1" shapeId="0" xr:uid="{817356C1-74E8-4CA2-9E6F-CA99E69B6B6A}">
      <text>
        <r>
          <rPr>
            <sz val="8"/>
            <color indexed="81"/>
            <rFont val="Tahoma"/>
            <family val="2"/>
          </rPr>
          <t xml:space="preserve">Blind Width          Maximum Cut Out Width
For 50mm/63mm PS/PS Privacy
222 - 254mm       50mm
255 - 379mm       75mm
 &gt; 380mm             130mm
</t>
        </r>
      </text>
    </comment>
    <comment ref="V10" authorId="1" shapeId="0" xr:uid="{1B2ECB16-EB21-44CF-ABA7-CE2033F3A134}">
      <text>
        <r>
          <rPr>
            <sz val="8"/>
            <color indexed="81"/>
            <rFont val="Tahoma"/>
            <family val="2"/>
          </rPr>
          <t>The Maximum m2 is 15m2.</t>
        </r>
      </text>
    </comment>
    <comment ref="D11" authorId="0" shapeId="0" xr:uid="{970D734A-D378-4E7D-BC8E-47D3F115354C}">
      <text>
        <r>
          <rPr>
            <sz val="8"/>
            <color indexed="81"/>
            <rFont val="Tahoma"/>
            <family val="2"/>
          </rPr>
          <t>The Blade options are;
C Profile 60mm Blade C60
C Profile 80mm Blade C80
CR Profile 65mm Blade CR65
CR Profile 80mm Blade CR80
ZR Profile 105mm Blade ZR105</t>
        </r>
      </text>
    </comment>
    <comment ref="E11" authorId="0" shapeId="0" xr:uid="{0AC23773-07F9-41A6-9FBC-27BA0677F061}">
      <text>
        <r>
          <rPr>
            <sz val="8"/>
            <color indexed="81"/>
            <rFont val="Tahoma"/>
            <family val="2"/>
          </rPr>
          <t>The Blade Colour options are;
C Profile &amp; CR Profile;
Grey PWD 8
Silver PWD 6
ZR Profile;
Silver PWD 6</t>
        </r>
      </text>
    </comment>
    <comment ref="F11" authorId="1" shapeId="0" xr:uid="{DB21C9D4-1F2A-43B2-A549-D00818FFEF8E}">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11" authorId="1" shapeId="0" xr:uid="{3DFD6132-DF78-4A7D-8B99-18A8C465BF51}">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11" authorId="1" shapeId="0" xr:uid="{8EA905F1-A426-43D2-BFF8-DF58E3376156}">
      <text>
        <r>
          <rPr>
            <sz val="8"/>
            <color indexed="81"/>
            <rFont val="Tahoma"/>
            <family val="2"/>
          </rPr>
          <t>When selecting a
Corner or Bay 
Window Type, 
the CMB Corner WS 
or the 
CMB Bay WS 
must be completed please.</t>
        </r>
      </text>
    </comment>
    <comment ref="I11" authorId="1" shapeId="0" xr:uid="{E1F8F2B0-4FA1-4487-9DBC-D244F1DC85C8}">
      <text>
        <r>
          <rPr>
            <sz val="8"/>
            <color indexed="81"/>
            <rFont val="Tahoma"/>
            <family val="2"/>
          </rPr>
          <t>The Mounting options are;
Face Fit
Top Fit</t>
        </r>
      </text>
    </comment>
    <comment ref="J11" authorId="1" shapeId="0" xr:uid="{DA436F2A-95FA-4E2C-B2C5-D299A19E2EA3}">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1" authorId="1" shapeId="0" xr:uid="{0811D821-A781-424B-AE47-5F436874D7D4}">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11" authorId="1" shapeId="0" xr:uid="{E4922F71-996E-497B-90B4-6C77BE92DF04}">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11" authorId="1" shapeId="0" xr:uid="{2910639E-3C81-42CC-B154-AD8B1591E4D3}">
      <text>
        <r>
          <rPr>
            <sz val="8"/>
            <color indexed="81"/>
            <rFont val="Tahoma"/>
            <family val="2"/>
          </rPr>
          <t>The Pelmet options are;
L Profile
U Profile
No Pelmet</t>
        </r>
      </text>
    </comment>
    <comment ref="O11" authorId="1" shapeId="0" xr:uid="{048068BE-0D73-4A0E-91D3-BF3EDD40AB97}">
      <text>
        <r>
          <rPr>
            <sz val="8"/>
            <color indexed="81"/>
            <rFont val="Tahoma"/>
            <family val="2"/>
          </rPr>
          <t>Enter the Pelmet Height in mm.
The Heights are below;
Minimum Height 100mm 
Maximum Height 300mm</t>
        </r>
      </text>
    </comment>
    <comment ref="Q11" authorId="1" shapeId="0" xr:uid="{2AC08E34-BACF-4B6A-B406-C3B3B176371D}">
      <text>
        <r>
          <rPr>
            <sz val="8"/>
            <color indexed="81"/>
            <rFont val="Tahoma"/>
            <family val="2"/>
          </rPr>
          <t>Enter the Pelmet Depth in mm.</t>
        </r>
      </text>
    </comment>
    <comment ref="S11" authorId="1" shapeId="0" xr:uid="{AF6D8C88-42EF-4C00-96C8-CEA5B180895F}">
      <text>
        <r>
          <rPr>
            <sz val="8"/>
            <color indexed="81"/>
            <rFont val="Tahoma"/>
            <family val="2"/>
          </rPr>
          <t>Blind Width          Maximum Cut Out Width
For 50mm/63mm PS/PS Privacy
222 - 254mm       50mm
255 - 379mm       75mm
 &gt; 380mm             130mm</t>
        </r>
      </text>
    </comment>
    <comment ref="U11" authorId="1" shapeId="0" xr:uid="{77873304-B8A8-4801-8FD3-02BD73A6D514}">
      <text>
        <r>
          <rPr>
            <sz val="8"/>
            <color indexed="81"/>
            <rFont val="Tahoma"/>
            <family val="2"/>
          </rPr>
          <t xml:space="preserve">Blind Width          Maximum Cut Out Width
For 50mm/63mm PS/PS Privacy
222 - 254mm       50mm
255 - 379mm       75mm
 &gt; 380mm             130mm
</t>
        </r>
      </text>
    </comment>
    <comment ref="V11" authorId="1" shapeId="0" xr:uid="{A686E322-D404-4C01-B491-3E2F44C7D6F0}">
      <text>
        <r>
          <rPr>
            <sz val="8"/>
            <color indexed="81"/>
            <rFont val="Tahoma"/>
            <family val="2"/>
          </rPr>
          <t>The Maximum m2 is 15m2.</t>
        </r>
      </text>
    </comment>
    <comment ref="D12" authorId="0" shapeId="0" xr:uid="{99251B94-F015-4DBC-9553-4B709A43408B}">
      <text>
        <r>
          <rPr>
            <sz val="8"/>
            <color indexed="81"/>
            <rFont val="Tahoma"/>
            <family val="2"/>
          </rPr>
          <t>The Blade options are;
C Profile 60mm Blade C60
C Profile 80mm Blade C80
CR Profile 65mm Blade CR65
CR Profile 80mm Blade CR80
ZR Profile 105mm Blade ZR105</t>
        </r>
      </text>
    </comment>
    <comment ref="E12" authorId="0" shapeId="0" xr:uid="{5766FA59-CA46-42E2-9400-B31885684CEC}">
      <text>
        <r>
          <rPr>
            <sz val="8"/>
            <color indexed="81"/>
            <rFont val="Tahoma"/>
            <family val="2"/>
          </rPr>
          <t>The Blade Colour options are;
C Profile &amp; CR Profile;
Grey PWD 8
Silver PWD 6
ZR Profile;
Silver PWD 6</t>
        </r>
      </text>
    </comment>
    <comment ref="F12" authorId="1" shapeId="0" xr:uid="{925CBB19-E711-46C2-A865-E1122EF63946}">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12" authorId="1" shapeId="0" xr:uid="{8C27EAE6-05C4-4BF3-92D9-863170AF0574}">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12" authorId="1" shapeId="0" xr:uid="{A72DC22E-123E-4D3B-80DE-9BCF5515FB94}">
      <text>
        <r>
          <rPr>
            <sz val="8"/>
            <color indexed="81"/>
            <rFont val="Tahoma"/>
            <family val="2"/>
          </rPr>
          <t>When selecting a
Corner or Bay 
Window Type, 
the CMB Corner WS 
or the 
CMB Bay WS 
must be completed please.</t>
        </r>
      </text>
    </comment>
    <comment ref="I12" authorId="1" shapeId="0" xr:uid="{91512B28-6F67-4D30-8C1F-0591830C4AC9}">
      <text>
        <r>
          <rPr>
            <sz val="8"/>
            <color indexed="81"/>
            <rFont val="Tahoma"/>
            <family val="2"/>
          </rPr>
          <t>The Mounting options are;
Face Fit
Top Fit</t>
        </r>
      </text>
    </comment>
    <comment ref="J12" authorId="1" shapeId="0" xr:uid="{68593607-5858-4D9B-9E71-0691549311A8}">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2" authorId="1" shapeId="0" xr:uid="{D88BDE02-5FF5-40C7-92F9-620312D9B086}">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12" authorId="1" shapeId="0" xr:uid="{E8D0316E-E152-42B7-84A1-F2E6371C8BC8}">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12" authorId="1" shapeId="0" xr:uid="{563277E6-763F-4591-B76F-788CBD2E1B4B}">
      <text>
        <r>
          <rPr>
            <sz val="8"/>
            <color indexed="81"/>
            <rFont val="Tahoma"/>
            <family val="2"/>
          </rPr>
          <t>The Pelmet options are;
L Profile
U Profile
No Pelmet</t>
        </r>
      </text>
    </comment>
    <comment ref="O12" authorId="1" shapeId="0" xr:uid="{32CC04AF-335E-4020-9BDA-EC28D79A4758}">
      <text>
        <r>
          <rPr>
            <sz val="8"/>
            <color indexed="81"/>
            <rFont val="Tahoma"/>
            <family val="2"/>
          </rPr>
          <t>Enter the Pelmet Height in mm.
The Heights are below;
Minimum Height 100mm 
Maximum Height 300mm</t>
        </r>
      </text>
    </comment>
    <comment ref="Q12" authorId="1" shapeId="0" xr:uid="{DF5E741B-975A-48FB-BE03-BF6B66EB84F3}">
      <text>
        <r>
          <rPr>
            <sz val="8"/>
            <color indexed="81"/>
            <rFont val="Tahoma"/>
            <family val="2"/>
          </rPr>
          <t>Enter the Pelmet Depth in mm.</t>
        </r>
      </text>
    </comment>
    <comment ref="S12" authorId="1" shapeId="0" xr:uid="{E702EB4A-C70C-4068-A0B5-D6DC9C6350FF}">
      <text>
        <r>
          <rPr>
            <sz val="8"/>
            <color indexed="81"/>
            <rFont val="Tahoma"/>
            <family val="2"/>
          </rPr>
          <t>Blind Width          Maximum Cut Out Width
For 50mm/63mm PS/PS Privacy
222 - 254mm       50mm
255 - 379mm       75mm
 &gt; 380mm             130mm</t>
        </r>
      </text>
    </comment>
    <comment ref="U12" authorId="1" shapeId="0" xr:uid="{A0CB9726-2DD4-4FC8-ABF9-FFE70E5A01DB}">
      <text>
        <r>
          <rPr>
            <sz val="8"/>
            <color indexed="81"/>
            <rFont val="Tahoma"/>
            <family val="2"/>
          </rPr>
          <t xml:space="preserve">Blind Width          Maximum Cut Out Width
For 50mm/63mm PS/PS Privacy
222 - 254mm       50mm
255 - 379mm       75mm
 &gt; 380mm             130mm
</t>
        </r>
      </text>
    </comment>
    <comment ref="V12" authorId="1" shapeId="0" xr:uid="{75885A1D-66C5-4AE1-964F-FE8FCF452DB0}">
      <text>
        <r>
          <rPr>
            <sz val="8"/>
            <color indexed="81"/>
            <rFont val="Tahoma"/>
            <family val="2"/>
          </rPr>
          <t>The Maximum m2 is 15m2.</t>
        </r>
      </text>
    </comment>
    <comment ref="D13" authorId="0" shapeId="0" xr:uid="{A8C42F02-3689-4982-9F4A-CA3F58096672}">
      <text>
        <r>
          <rPr>
            <sz val="8"/>
            <color indexed="81"/>
            <rFont val="Tahoma"/>
            <family val="2"/>
          </rPr>
          <t>The Blade options are;
C Profile 60mm Blade C60
C Profile 80mm Blade C80
CR Profile 65mm Blade CR65
CR Profile 80mm Blade CR80
ZR Profile 105mm Blade ZR105</t>
        </r>
      </text>
    </comment>
    <comment ref="E13" authorId="0" shapeId="0" xr:uid="{F5E70E94-6D8F-412A-988C-C0E163BAD38D}">
      <text>
        <r>
          <rPr>
            <sz val="8"/>
            <color indexed="81"/>
            <rFont val="Tahoma"/>
            <family val="2"/>
          </rPr>
          <t>The Blade Colour options are;
C Profile &amp; CR Profile;
Grey PWD 8
Silver PWD 6
ZR Profile;
Silver PWD 6</t>
        </r>
      </text>
    </comment>
    <comment ref="F13" authorId="1" shapeId="0" xr:uid="{7512BE23-CA3F-4F13-BE99-CDDDB2EF13E6}">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13" authorId="1" shapeId="0" xr:uid="{5539FDFF-0FB2-4BBE-925F-9B5978AFB0F2}">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13" authorId="1" shapeId="0" xr:uid="{41F2C4C9-C261-4EE3-A097-46C671064B44}">
      <text>
        <r>
          <rPr>
            <sz val="8"/>
            <color indexed="81"/>
            <rFont val="Tahoma"/>
            <family val="2"/>
          </rPr>
          <t>When selecting a
Corner or Bay 
Window Type, 
the CMB Corner WS 
or the 
CMB Bay WS 
must be completed please.</t>
        </r>
      </text>
    </comment>
    <comment ref="I13" authorId="1" shapeId="0" xr:uid="{149FFB83-4204-49F8-9554-F3AD397A5214}">
      <text>
        <r>
          <rPr>
            <sz val="8"/>
            <color indexed="81"/>
            <rFont val="Tahoma"/>
            <family val="2"/>
          </rPr>
          <t>The Mounting options are;
Face Fit
Top Fit</t>
        </r>
      </text>
    </comment>
    <comment ref="J13" authorId="1" shapeId="0" xr:uid="{5368D522-250B-4D4C-9FFF-38D708021DB7}">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3" authorId="1" shapeId="0" xr:uid="{CDD43B8C-0DEF-4486-AA9C-84DD4631D91E}">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13" authorId="1" shapeId="0" xr:uid="{8811990E-9337-45ED-A80E-454CF944895D}">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13" authorId="1" shapeId="0" xr:uid="{8AA6B6A3-4A4E-4D79-AA6B-50C6BFBD6950}">
      <text>
        <r>
          <rPr>
            <sz val="8"/>
            <color indexed="81"/>
            <rFont val="Tahoma"/>
            <family val="2"/>
          </rPr>
          <t>The Pelmet options are;
L Profile
U Profile
No Pelmet</t>
        </r>
      </text>
    </comment>
    <comment ref="O13" authorId="1" shapeId="0" xr:uid="{75FA9BD6-AF0F-4D1C-8C60-640E012E71EF}">
      <text>
        <r>
          <rPr>
            <sz val="8"/>
            <color indexed="81"/>
            <rFont val="Tahoma"/>
            <family val="2"/>
          </rPr>
          <t>Enter the Pelmet Height in mm.
The Heights are below;
Minimum Height 100mm 
Maximum Height 300mm</t>
        </r>
      </text>
    </comment>
    <comment ref="Q13" authorId="1" shapeId="0" xr:uid="{9D992A02-5FCD-4020-B103-017DAEB66A30}">
      <text>
        <r>
          <rPr>
            <sz val="8"/>
            <color indexed="81"/>
            <rFont val="Tahoma"/>
            <family val="2"/>
          </rPr>
          <t>Enter the Pelmet Depth in mm.</t>
        </r>
      </text>
    </comment>
    <comment ref="S13" authorId="1" shapeId="0" xr:uid="{0D2292CC-F37E-4B0B-9534-BB9AD9EE310B}">
      <text>
        <r>
          <rPr>
            <sz val="8"/>
            <color indexed="81"/>
            <rFont val="Tahoma"/>
            <family val="2"/>
          </rPr>
          <t>Blind Width          Maximum Cut Out Width
For 50mm/63mm PS/PS Privacy
222 - 254mm       50mm
255 - 379mm       75mm
 &gt; 380mm             130mm</t>
        </r>
      </text>
    </comment>
    <comment ref="U13" authorId="1" shapeId="0" xr:uid="{E14EC84F-8365-4677-9480-6241513A6834}">
      <text>
        <r>
          <rPr>
            <sz val="8"/>
            <color indexed="81"/>
            <rFont val="Tahoma"/>
            <family val="2"/>
          </rPr>
          <t xml:space="preserve">Blind Width          Maximum Cut Out Width
For 50mm/63mm PS/PS Privacy
222 - 254mm       50mm
255 - 379mm       75mm
 &gt; 380mm             130mm
</t>
        </r>
      </text>
    </comment>
    <comment ref="V13" authorId="1" shapeId="0" xr:uid="{12FB7823-6857-48FF-92DF-72FC90770973}">
      <text>
        <r>
          <rPr>
            <sz val="8"/>
            <color indexed="81"/>
            <rFont val="Tahoma"/>
            <family val="2"/>
          </rPr>
          <t>The Maximum m2 is 15m2.</t>
        </r>
      </text>
    </comment>
    <comment ref="D14" authorId="0" shapeId="0" xr:uid="{5C7ACF64-B63E-4DB5-91DB-401AF75087C2}">
      <text>
        <r>
          <rPr>
            <sz val="8"/>
            <color indexed="81"/>
            <rFont val="Tahoma"/>
            <family val="2"/>
          </rPr>
          <t>The Blade options are;
C Profile 60mm Blade C60
C Profile 80mm Blade C80
CR Profile 65mm Blade CR65
CR Profile 80mm Blade CR80
ZR Profile 105mm Blade ZR105</t>
        </r>
      </text>
    </comment>
    <comment ref="E14" authorId="0" shapeId="0" xr:uid="{87BA15E9-924A-4FBC-A5B7-E6A2B2D1E760}">
      <text>
        <r>
          <rPr>
            <sz val="8"/>
            <color indexed="81"/>
            <rFont val="Tahoma"/>
            <family val="2"/>
          </rPr>
          <t>The Blade Colour options are;
C Profile &amp; CR Profile;
Grey PWD 8
Silver PWD 6
ZR Profile;
Silver PWD 6</t>
        </r>
      </text>
    </comment>
    <comment ref="F14" authorId="1" shapeId="0" xr:uid="{B8F156D4-D7A7-4004-AC90-37F6328C50B9}">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14" authorId="1" shapeId="0" xr:uid="{5AB26FCC-0C3D-4FCB-BC2F-7E074ADCC08B}">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14" authorId="1" shapeId="0" xr:uid="{EAC98621-01E0-4AFF-8E12-CDADD4EED00B}">
      <text>
        <r>
          <rPr>
            <sz val="8"/>
            <color indexed="81"/>
            <rFont val="Tahoma"/>
            <family val="2"/>
          </rPr>
          <t>When selecting a
Corner or Bay 
Window Type, 
the CMB Corner WS 
or the 
CMB Bay WS 
must be completed please.</t>
        </r>
      </text>
    </comment>
    <comment ref="I14" authorId="1" shapeId="0" xr:uid="{CFDA32E0-8018-4724-8B69-48C8F96D4DD8}">
      <text>
        <r>
          <rPr>
            <sz val="8"/>
            <color indexed="81"/>
            <rFont val="Tahoma"/>
            <family val="2"/>
          </rPr>
          <t>The Mounting options are;
Face Fit
Top Fit</t>
        </r>
      </text>
    </comment>
    <comment ref="J14" authorId="1" shapeId="0" xr:uid="{462D9401-7467-427B-9CAD-639FFC60A01F}">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4" authorId="1" shapeId="0" xr:uid="{46A95FCC-2224-4E15-A61C-8195861F3E60}">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14" authorId="1" shapeId="0" xr:uid="{36234567-A489-421C-A9CC-D7F94F9AF8B3}">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14" authorId="1" shapeId="0" xr:uid="{730BA2A5-25E6-4E92-917F-56740B499168}">
      <text>
        <r>
          <rPr>
            <sz val="8"/>
            <color indexed="81"/>
            <rFont val="Tahoma"/>
            <family val="2"/>
          </rPr>
          <t>The Pelmet options are;
L Profile
U Profile
No Pelmet</t>
        </r>
      </text>
    </comment>
    <comment ref="O14" authorId="1" shapeId="0" xr:uid="{9D533826-4D03-4487-89CE-822CDC3F01F6}">
      <text>
        <r>
          <rPr>
            <sz val="8"/>
            <color indexed="81"/>
            <rFont val="Tahoma"/>
            <family val="2"/>
          </rPr>
          <t>Enter the Pelmet Height in mm.
The Heights are below;
Minimum Height 100mm 
Maximum Height 300mm</t>
        </r>
      </text>
    </comment>
    <comment ref="Q14" authorId="1" shapeId="0" xr:uid="{3F30F9F3-F4CA-4C54-87BF-BA98F8DA1030}">
      <text>
        <r>
          <rPr>
            <sz val="8"/>
            <color indexed="81"/>
            <rFont val="Tahoma"/>
            <family val="2"/>
          </rPr>
          <t>Enter the Pelmet Depth in mm.</t>
        </r>
      </text>
    </comment>
    <comment ref="S14" authorId="1" shapeId="0" xr:uid="{AB85507D-1606-43A7-A839-7CD2A493C3D4}">
      <text>
        <r>
          <rPr>
            <sz val="8"/>
            <color indexed="81"/>
            <rFont val="Tahoma"/>
            <family val="2"/>
          </rPr>
          <t>Blind Width          Maximum Cut Out Width
For 50mm/63mm PS/PS Privacy
222 - 254mm       50mm
255 - 379mm       75mm
 &gt; 380mm             130mm</t>
        </r>
      </text>
    </comment>
    <comment ref="U14" authorId="1" shapeId="0" xr:uid="{4321ABB5-7C26-4FED-83FC-E381CEE24306}">
      <text>
        <r>
          <rPr>
            <sz val="8"/>
            <color indexed="81"/>
            <rFont val="Tahoma"/>
            <family val="2"/>
          </rPr>
          <t xml:space="preserve">Blind Width          Maximum Cut Out Width
For 50mm/63mm PS/PS Privacy
222 - 254mm       50mm
255 - 379mm       75mm
 &gt; 380mm             130mm
</t>
        </r>
      </text>
    </comment>
    <comment ref="V14" authorId="1" shapeId="0" xr:uid="{5B35BC61-9720-45C8-A421-E8A0E1C69FE6}">
      <text>
        <r>
          <rPr>
            <sz val="8"/>
            <color indexed="81"/>
            <rFont val="Tahoma"/>
            <family val="2"/>
          </rPr>
          <t>The Maximum m2 is 15m2.</t>
        </r>
      </text>
    </comment>
    <comment ref="D15" authorId="0" shapeId="0" xr:uid="{E01DC744-4A5A-4886-B5CF-E3CC61D4D12A}">
      <text>
        <r>
          <rPr>
            <sz val="8"/>
            <color indexed="81"/>
            <rFont val="Tahoma"/>
            <family val="2"/>
          </rPr>
          <t>The Blade options are;
C Profile 60mm Blade C60
C Profile 80mm Blade C80
CR Profile 65mm Blade CR65
CR Profile 80mm Blade CR80
ZR Profile 105mm Blade ZR105</t>
        </r>
      </text>
    </comment>
    <comment ref="E15" authorId="0" shapeId="0" xr:uid="{6812F149-3F03-4C9F-9206-C0067E74A49A}">
      <text>
        <r>
          <rPr>
            <sz val="8"/>
            <color indexed="81"/>
            <rFont val="Tahoma"/>
            <family val="2"/>
          </rPr>
          <t>The Blade Colour options are;
C Profile &amp; CR Profile;
Grey PWD 8
Silver PWD 6
ZR Profile;
Silver PWD 6</t>
        </r>
      </text>
    </comment>
    <comment ref="F15" authorId="1" shapeId="0" xr:uid="{384052BC-5C3C-46EC-A9A6-6E25B2D91CD8}">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15" authorId="1" shapeId="0" xr:uid="{8830CA01-FF55-414D-8572-8DCDE2717C5A}">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15" authorId="1" shapeId="0" xr:uid="{53FF5AC6-7FA0-4A36-BFB4-2FD0A41CBFDF}">
      <text>
        <r>
          <rPr>
            <sz val="8"/>
            <color indexed="81"/>
            <rFont val="Tahoma"/>
            <family val="2"/>
          </rPr>
          <t>When selecting a
Corner or Bay 
Window Type, 
the CMB Corner WS 
or the 
CMB Bay WS 
must be completed please.</t>
        </r>
      </text>
    </comment>
    <comment ref="I15" authorId="1" shapeId="0" xr:uid="{51CFAC0F-1641-4E9B-99C9-19B95FE0BCC3}">
      <text>
        <r>
          <rPr>
            <sz val="8"/>
            <color indexed="81"/>
            <rFont val="Tahoma"/>
            <family val="2"/>
          </rPr>
          <t>The Mounting options are;
Face Fit
Top Fit</t>
        </r>
      </text>
    </comment>
    <comment ref="J15" authorId="1" shapeId="0" xr:uid="{4A85D983-C2B0-4114-8E82-A149DBA71B76}">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5" authorId="1" shapeId="0" xr:uid="{B21C851E-6193-4C45-AFC7-1F3C326D5E56}">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15" authorId="1" shapeId="0" xr:uid="{6F1E981D-C81A-4DBD-A936-EC6AA2376A70}">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15" authorId="1" shapeId="0" xr:uid="{17C73AE5-E077-4C13-BFFB-463F3BFCBC67}">
      <text>
        <r>
          <rPr>
            <sz val="8"/>
            <color indexed="81"/>
            <rFont val="Tahoma"/>
            <family val="2"/>
          </rPr>
          <t>The Pelmet options are;
L Profile
U Profile
No Pelmet</t>
        </r>
      </text>
    </comment>
    <comment ref="O15" authorId="1" shapeId="0" xr:uid="{DD564B71-222F-4F04-B2B9-49A75555A6A5}">
      <text>
        <r>
          <rPr>
            <sz val="8"/>
            <color indexed="81"/>
            <rFont val="Tahoma"/>
            <family val="2"/>
          </rPr>
          <t>Enter the Pelmet Height in mm.
The Heights are below;
Minimum Height 100mm 
Maximum Height 300mm</t>
        </r>
      </text>
    </comment>
    <comment ref="Q15" authorId="1" shapeId="0" xr:uid="{359EE25C-6C49-4927-8F98-0E2CDC910011}">
      <text>
        <r>
          <rPr>
            <sz val="8"/>
            <color indexed="81"/>
            <rFont val="Tahoma"/>
            <family val="2"/>
          </rPr>
          <t>Enter the Pelmet Depth in mm.</t>
        </r>
      </text>
    </comment>
    <comment ref="S15" authorId="1" shapeId="0" xr:uid="{CA133383-DD70-4B0A-91F1-93C374D03C2E}">
      <text>
        <r>
          <rPr>
            <sz val="8"/>
            <color indexed="81"/>
            <rFont val="Tahoma"/>
            <family val="2"/>
          </rPr>
          <t>Blind Width          Maximum Cut Out Width
For 50mm/63mm PS/PS Privacy
222 - 254mm       50mm
255 - 379mm       75mm
 &gt; 380mm             130mm</t>
        </r>
      </text>
    </comment>
    <comment ref="U15" authorId="1" shapeId="0" xr:uid="{31851043-6755-4121-8E04-6ADA88C9987A}">
      <text>
        <r>
          <rPr>
            <sz val="8"/>
            <color indexed="81"/>
            <rFont val="Tahoma"/>
            <family val="2"/>
          </rPr>
          <t xml:space="preserve">Blind Width          Maximum Cut Out Width
For 50mm/63mm PS/PS Privacy
222 - 254mm       50mm
255 - 379mm       75mm
 &gt; 380mm             130mm
</t>
        </r>
      </text>
    </comment>
    <comment ref="V15" authorId="1" shapeId="0" xr:uid="{6A68504D-31D9-4377-96B0-69460DE79374}">
      <text>
        <r>
          <rPr>
            <sz val="8"/>
            <color indexed="81"/>
            <rFont val="Tahoma"/>
            <family val="2"/>
          </rPr>
          <t>The Maximum m2 is 15m2.</t>
        </r>
      </text>
    </comment>
    <comment ref="D16" authorId="0" shapeId="0" xr:uid="{9935FA13-7B66-4FB7-847F-60095DE20A49}">
      <text>
        <r>
          <rPr>
            <sz val="8"/>
            <color indexed="81"/>
            <rFont val="Tahoma"/>
            <family val="2"/>
          </rPr>
          <t>The Blade options are;
C Profile 60mm Blade C60
C Profile 80mm Blade C80
CR Profile 65mm Blade CR65
CR Profile 80mm Blade CR80
ZR Profile 105mm Blade ZR105</t>
        </r>
      </text>
    </comment>
    <comment ref="E16" authorId="0" shapeId="0" xr:uid="{608F247A-1BCD-430A-A11A-61E844115ABA}">
      <text>
        <r>
          <rPr>
            <sz val="8"/>
            <color indexed="81"/>
            <rFont val="Tahoma"/>
            <family val="2"/>
          </rPr>
          <t>The Blade Colour options are;
C Profile &amp; CR Profile;
Grey PWD 8
Silver PWD 6
ZR Profile;
Silver PWD 6</t>
        </r>
      </text>
    </comment>
    <comment ref="F16" authorId="1" shapeId="0" xr:uid="{2A998E91-7EA5-488A-8539-5C746FDDA4E0}">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16" authorId="1" shapeId="0" xr:uid="{63C0C9AB-3376-4842-96E2-ABCD306CC64D}">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16" authorId="1" shapeId="0" xr:uid="{0A38E207-8E48-4DB5-8B42-7C395F63F1A4}">
      <text>
        <r>
          <rPr>
            <sz val="8"/>
            <color indexed="81"/>
            <rFont val="Tahoma"/>
            <family val="2"/>
          </rPr>
          <t>When selecting a
Corner or Bay 
Window Type, 
the CMB Corner WS 
or the 
CMB Bay WS 
must be completed please.</t>
        </r>
      </text>
    </comment>
    <comment ref="I16" authorId="1" shapeId="0" xr:uid="{FC28B9BF-3CAC-4B90-8847-8F5765773FFF}">
      <text>
        <r>
          <rPr>
            <sz val="8"/>
            <color indexed="81"/>
            <rFont val="Tahoma"/>
            <family val="2"/>
          </rPr>
          <t>The Mounting options are;
Face Fit
Top Fit</t>
        </r>
      </text>
    </comment>
    <comment ref="J16" authorId="1" shapeId="0" xr:uid="{1A87D409-6D59-4559-BB58-8BFAA72B40DE}">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6" authorId="1" shapeId="0" xr:uid="{E2510DF3-B8A2-437B-98D9-962E81527D8C}">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16" authorId="1" shapeId="0" xr:uid="{87CF727C-2C7E-4A47-91A5-233532E0B8D2}">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16" authorId="1" shapeId="0" xr:uid="{92A0E954-9BCC-4859-B6AC-7CF984D7A20E}">
      <text>
        <r>
          <rPr>
            <sz val="8"/>
            <color indexed="81"/>
            <rFont val="Tahoma"/>
            <family val="2"/>
          </rPr>
          <t>The Pelmet options are;
L Profile
U Profile
No Pelmet</t>
        </r>
      </text>
    </comment>
    <comment ref="O16" authorId="1" shapeId="0" xr:uid="{4B099484-DBF7-48B6-BD16-4EE1FDD3A9CB}">
      <text>
        <r>
          <rPr>
            <sz val="8"/>
            <color indexed="81"/>
            <rFont val="Tahoma"/>
            <family val="2"/>
          </rPr>
          <t>Enter the Pelmet Height in mm.
The Heights are below;
Minimum Height 100mm 
Maximum Height 300mm</t>
        </r>
      </text>
    </comment>
    <comment ref="Q16" authorId="1" shapeId="0" xr:uid="{8D98229D-28E2-4D9B-8A8F-1F8971CC1F3B}">
      <text>
        <r>
          <rPr>
            <sz val="8"/>
            <color indexed="81"/>
            <rFont val="Tahoma"/>
            <family val="2"/>
          </rPr>
          <t>Enter the Pelmet Depth in mm.</t>
        </r>
      </text>
    </comment>
    <comment ref="S16" authorId="1" shapeId="0" xr:uid="{4FBC3881-4017-4BEB-B992-636776F0BF79}">
      <text>
        <r>
          <rPr>
            <sz val="8"/>
            <color indexed="81"/>
            <rFont val="Tahoma"/>
            <family val="2"/>
          </rPr>
          <t>Blind Width          Maximum Cut Out Width
For 50mm/63mm PS/PS Privacy
222 - 254mm       50mm
255 - 379mm       75mm
 &gt; 380mm             130mm</t>
        </r>
      </text>
    </comment>
    <comment ref="U16" authorId="1" shapeId="0" xr:uid="{CBE5FB20-A478-490B-8AD4-1CDF96E1CD3F}">
      <text>
        <r>
          <rPr>
            <sz val="8"/>
            <color indexed="81"/>
            <rFont val="Tahoma"/>
            <family val="2"/>
          </rPr>
          <t xml:space="preserve">Blind Width          Maximum Cut Out Width
For 50mm/63mm PS/PS Privacy
222 - 254mm       50mm
255 - 379mm       75mm
 &gt; 380mm             130mm
</t>
        </r>
      </text>
    </comment>
    <comment ref="V16" authorId="1" shapeId="0" xr:uid="{EAFAC3B1-39ED-4997-BF12-114981B03A70}">
      <text>
        <r>
          <rPr>
            <sz val="8"/>
            <color indexed="81"/>
            <rFont val="Tahoma"/>
            <family val="2"/>
          </rPr>
          <t>The Maximum m2 is 15m2.</t>
        </r>
      </text>
    </comment>
    <comment ref="D17" authorId="0" shapeId="0" xr:uid="{0DAB3C84-6463-4E05-AE3D-4684931DB827}">
      <text>
        <r>
          <rPr>
            <sz val="8"/>
            <color indexed="81"/>
            <rFont val="Tahoma"/>
            <family val="2"/>
          </rPr>
          <t>The Blade options are;
C Profile 60mm Blade C60
C Profile 80mm Blade C80
CR Profile 65mm Blade CR65
CR Profile 80mm Blade CR80
ZR Profile 105mm Blade ZR105</t>
        </r>
      </text>
    </comment>
    <comment ref="E17" authorId="0" shapeId="0" xr:uid="{F50E37E3-B998-4FA2-9FE4-8015B4096964}">
      <text>
        <r>
          <rPr>
            <sz val="8"/>
            <color indexed="81"/>
            <rFont val="Tahoma"/>
            <family val="2"/>
          </rPr>
          <t>The Blade Colour options are;
C Profile &amp; CR Profile;
Grey PWD 8
Silver PWD 6
ZR Profile;
Silver PWD 6</t>
        </r>
      </text>
    </comment>
    <comment ref="F17" authorId="1" shapeId="0" xr:uid="{33F89685-9ACF-4445-9501-DA538F35C45C}">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17" authorId="1" shapeId="0" xr:uid="{F80D51E4-0CF5-430C-B3C4-8164054479FA}">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17" authorId="1" shapeId="0" xr:uid="{5CB587D2-BCA7-46F3-A2B3-2A634A5DC5F5}">
      <text>
        <r>
          <rPr>
            <sz val="8"/>
            <color indexed="81"/>
            <rFont val="Tahoma"/>
            <family val="2"/>
          </rPr>
          <t>When selecting a
Corner or Bay 
Window Type, 
the CMB Corner WS 
or the 
CMB Bay WS 
must be completed please.</t>
        </r>
      </text>
    </comment>
    <comment ref="I17" authorId="1" shapeId="0" xr:uid="{4C1E4AE5-618D-42B0-BBC7-5F9F59374E74}">
      <text>
        <r>
          <rPr>
            <sz val="8"/>
            <color indexed="81"/>
            <rFont val="Tahoma"/>
            <family val="2"/>
          </rPr>
          <t>The Mounting options are;
Face Fit
Top Fit</t>
        </r>
      </text>
    </comment>
    <comment ref="J17" authorId="1" shapeId="0" xr:uid="{B5A703D4-EB68-4FEF-953F-28EAFF342D52}">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7" authorId="1" shapeId="0" xr:uid="{9E105F93-31BE-4610-9650-E225B7BDC50A}">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17" authorId="1" shapeId="0" xr:uid="{05A7E0AF-0FEB-41D2-ABFD-4F30EA412215}">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17" authorId="1" shapeId="0" xr:uid="{E1230B97-F2FA-4255-831D-360D58A5853E}">
      <text>
        <r>
          <rPr>
            <sz val="8"/>
            <color indexed="81"/>
            <rFont val="Tahoma"/>
            <family val="2"/>
          </rPr>
          <t>The Pelmet options are;
L Profile
U Profile
No Pelmet</t>
        </r>
      </text>
    </comment>
    <comment ref="O17" authorId="1" shapeId="0" xr:uid="{B2C19D15-16DF-4812-8A61-614404034C3D}">
      <text>
        <r>
          <rPr>
            <sz val="8"/>
            <color indexed="81"/>
            <rFont val="Tahoma"/>
            <family val="2"/>
          </rPr>
          <t>Enter the Pelmet Height in mm.
The Heights are below;
Minimum Height 100mm 
Maximum Height 300mm</t>
        </r>
      </text>
    </comment>
    <comment ref="Q17" authorId="1" shapeId="0" xr:uid="{2EF83A41-2146-465C-B669-0CEE43865FE8}">
      <text>
        <r>
          <rPr>
            <sz val="8"/>
            <color indexed="81"/>
            <rFont val="Tahoma"/>
            <family val="2"/>
          </rPr>
          <t>Enter the Pelmet Depth in mm.</t>
        </r>
      </text>
    </comment>
    <comment ref="S17" authorId="1" shapeId="0" xr:uid="{DDFC914C-D7DE-4ACB-9B28-B66A56CF6BB8}">
      <text>
        <r>
          <rPr>
            <sz val="8"/>
            <color indexed="81"/>
            <rFont val="Tahoma"/>
            <family val="2"/>
          </rPr>
          <t>Blind Width          Maximum Cut Out Width
For 50mm/63mm PS/PS Privacy
222 - 254mm       50mm
255 - 379mm       75mm
 &gt; 380mm             130mm</t>
        </r>
      </text>
    </comment>
    <comment ref="U17" authorId="1" shapeId="0" xr:uid="{FB56543B-AE42-48AB-8E4F-8657D69552C9}">
      <text>
        <r>
          <rPr>
            <sz val="8"/>
            <color indexed="81"/>
            <rFont val="Tahoma"/>
            <family val="2"/>
          </rPr>
          <t xml:space="preserve">Blind Width          Maximum Cut Out Width
For 50mm/63mm PS/PS Privacy
222 - 254mm       50mm
255 - 379mm       75mm
 &gt; 380mm             130mm
</t>
        </r>
      </text>
    </comment>
    <comment ref="V17" authorId="1" shapeId="0" xr:uid="{B16B9052-A680-4715-AC1A-436E4FF0CE9C}">
      <text>
        <r>
          <rPr>
            <sz val="8"/>
            <color indexed="81"/>
            <rFont val="Tahoma"/>
            <family val="2"/>
          </rPr>
          <t>The Maximum m2 is 15m2.</t>
        </r>
      </text>
    </comment>
    <comment ref="D18" authorId="0" shapeId="0" xr:uid="{DEB584F4-C3B5-4DF9-9935-20BE4648920D}">
      <text>
        <r>
          <rPr>
            <sz val="8"/>
            <color indexed="81"/>
            <rFont val="Tahoma"/>
            <family val="2"/>
          </rPr>
          <t>The Blade options are;
C Profile 60mm Blade C60
C Profile 80mm Blade C80
CR Profile 65mm Blade CR65
CR Profile 80mm Blade CR80
ZR Profile 105mm Blade ZR105</t>
        </r>
      </text>
    </comment>
    <comment ref="E18" authorId="0" shapeId="0" xr:uid="{A073CE36-A5BA-4582-83D4-6F6A2CDA77C7}">
      <text>
        <r>
          <rPr>
            <sz val="8"/>
            <color indexed="81"/>
            <rFont val="Tahoma"/>
            <family val="2"/>
          </rPr>
          <t>The Blade Colour options are;
C Profile &amp; CR Profile;
Grey PWD 8
Silver PWD 6
ZR Profile;
Silver PWD 6</t>
        </r>
      </text>
    </comment>
    <comment ref="F18" authorId="1" shapeId="0" xr:uid="{9465F964-202F-46A1-A1E1-42FAFE8DA07A}">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18" authorId="1" shapeId="0" xr:uid="{18358A0B-F258-4EA5-9D76-8FED9733BC2F}">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18" authorId="1" shapeId="0" xr:uid="{1745AEF0-898F-48A9-BA6B-A8DF25593113}">
      <text>
        <r>
          <rPr>
            <sz val="8"/>
            <color indexed="81"/>
            <rFont val="Tahoma"/>
            <family val="2"/>
          </rPr>
          <t>When selecting a
Corner or Bay 
Window Type, 
the CMB Corner WS 
or the 
CMB Bay WS 
must be completed please.</t>
        </r>
      </text>
    </comment>
    <comment ref="I18" authorId="1" shapeId="0" xr:uid="{01BE4B57-4697-49D5-B91F-7F15D0319136}">
      <text>
        <r>
          <rPr>
            <sz val="8"/>
            <color indexed="81"/>
            <rFont val="Tahoma"/>
            <family val="2"/>
          </rPr>
          <t>The Mounting options are;
Face Fit
Top Fit</t>
        </r>
      </text>
    </comment>
    <comment ref="J18" authorId="1" shapeId="0" xr:uid="{3B925C98-5926-4ECE-9F14-E6E9808BBD7A}">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8" authorId="1" shapeId="0" xr:uid="{90ED335C-A189-4132-B1DC-E08BCB3A3883}">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18" authorId="1" shapeId="0" xr:uid="{10509CAB-AA3F-4FCD-9BCF-8DE840798B0F}">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18" authorId="1" shapeId="0" xr:uid="{28DD02FA-A897-4DB7-A7EC-E3D94DF39991}">
      <text>
        <r>
          <rPr>
            <sz val="8"/>
            <color indexed="81"/>
            <rFont val="Tahoma"/>
            <family val="2"/>
          </rPr>
          <t>The Pelmet options are;
L Profile
U Profile
No Pelmet</t>
        </r>
      </text>
    </comment>
    <comment ref="O18" authorId="1" shapeId="0" xr:uid="{56D3899D-9E4A-4828-A5E2-55F115C2D213}">
      <text>
        <r>
          <rPr>
            <sz val="8"/>
            <color indexed="81"/>
            <rFont val="Tahoma"/>
            <family val="2"/>
          </rPr>
          <t>Enter the Pelmet Height in mm.
The Heights are below;
Minimum Height 100mm 
Maximum Height 300mm</t>
        </r>
      </text>
    </comment>
    <comment ref="Q18" authorId="1" shapeId="0" xr:uid="{C4BA864F-7524-44DF-9F1F-9F06F7DF0D8E}">
      <text>
        <r>
          <rPr>
            <sz val="8"/>
            <color indexed="81"/>
            <rFont val="Tahoma"/>
            <family val="2"/>
          </rPr>
          <t>Enter the Pelmet Depth in mm.</t>
        </r>
      </text>
    </comment>
    <comment ref="S18" authorId="1" shapeId="0" xr:uid="{0043C503-39AF-48D7-92E4-165F46F40255}">
      <text>
        <r>
          <rPr>
            <sz val="8"/>
            <color indexed="81"/>
            <rFont val="Tahoma"/>
            <family val="2"/>
          </rPr>
          <t>Blind Width          Maximum Cut Out Width
For 50mm/63mm PS/PS Privacy
222 - 254mm       50mm
255 - 379mm       75mm
 &gt; 380mm             130mm</t>
        </r>
      </text>
    </comment>
    <comment ref="U18" authorId="1" shapeId="0" xr:uid="{012036DE-F17F-49DE-8E97-93B6ACEB179A}">
      <text>
        <r>
          <rPr>
            <sz val="8"/>
            <color indexed="81"/>
            <rFont val="Tahoma"/>
            <family val="2"/>
          </rPr>
          <t xml:space="preserve">Blind Width          Maximum Cut Out Width
For 50mm/63mm PS/PS Privacy
222 - 254mm       50mm
255 - 379mm       75mm
 &gt; 380mm             130mm
</t>
        </r>
      </text>
    </comment>
    <comment ref="V18" authorId="1" shapeId="0" xr:uid="{755AC469-A083-4B1E-8E9E-7738165CBBA6}">
      <text>
        <r>
          <rPr>
            <sz val="8"/>
            <color indexed="81"/>
            <rFont val="Tahoma"/>
            <family val="2"/>
          </rPr>
          <t>The Maximum m2 is 15m2.</t>
        </r>
      </text>
    </comment>
    <comment ref="D19" authorId="0" shapeId="0" xr:uid="{1A4E6BE8-7817-4238-9005-A32C1F3BBAAD}">
      <text>
        <r>
          <rPr>
            <sz val="8"/>
            <color indexed="81"/>
            <rFont val="Tahoma"/>
            <family val="2"/>
          </rPr>
          <t>The Blade options are;
C Profile 60mm Blade C60
C Profile 80mm Blade C80
CR Profile 65mm Blade CR65
CR Profile 80mm Blade CR80
ZR Profile 105mm Blade ZR105</t>
        </r>
      </text>
    </comment>
    <comment ref="E19" authorId="0" shapeId="0" xr:uid="{3FBB6D7F-2ABD-4909-BBD8-E006DA79C6A5}">
      <text>
        <r>
          <rPr>
            <sz val="8"/>
            <color indexed="81"/>
            <rFont val="Tahoma"/>
            <family val="2"/>
          </rPr>
          <t>The Blade Colour options are;
C Profile &amp; CR Profile;
Grey PWD 8
Silver PWD 6
ZR Profile;
Silver PWD 6</t>
        </r>
      </text>
    </comment>
    <comment ref="F19" authorId="1" shapeId="0" xr:uid="{3379E946-B7D5-4554-AFB9-1BB3464A7487}">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19" authorId="1" shapeId="0" xr:uid="{F909E234-4443-43EF-BF64-EECF87FA024E}">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19" authorId="1" shapeId="0" xr:uid="{BDCFB557-61BC-4785-A40B-746CD88522DA}">
      <text>
        <r>
          <rPr>
            <sz val="8"/>
            <color indexed="81"/>
            <rFont val="Tahoma"/>
            <family val="2"/>
          </rPr>
          <t>When selecting a
Corner or Bay 
Window Type, 
the CMB Corner WS 
or the 
CMB Bay WS 
must be completed please.</t>
        </r>
      </text>
    </comment>
    <comment ref="I19" authorId="1" shapeId="0" xr:uid="{EEEB99F6-D57B-4FEA-B6DE-91C44F6F77F9}">
      <text>
        <r>
          <rPr>
            <sz val="8"/>
            <color indexed="81"/>
            <rFont val="Tahoma"/>
            <family val="2"/>
          </rPr>
          <t>The Mounting options are;
Face Fit
Top Fit</t>
        </r>
      </text>
    </comment>
    <comment ref="J19" authorId="1" shapeId="0" xr:uid="{889ACE61-DDAE-4CA3-8246-BCC3E3A219FE}">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9" authorId="1" shapeId="0" xr:uid="{D72CAB12-D14C-4553-81EA-C22D97DD225D}">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19" authorId="1" shapeId="0" xr:uid="{1317E47A-7D36-4E06-99F5-0CB944B28C5F}">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19" authorId="1" shapeId="0" xr:uid="{ACC71EA6-E53E-4B1F-9778-BB5AAD868400}">
      <text>
        <r>
          <rPr>
            <sz val="8"/>
            <color indexed="81"/>
            <rFont val="Tahoma"/>
            <family val="2"/>
          </rPr>
          <t>The Pelmet options are;
L Profile
U Profile
No Pelmet</t>
        </r>
      </text>
    </comment>
    <comment ref="O19" authorId="1" shapeId="0" xr:uid="{1645C424-F385-4686-9BB2-78496ACC91D9}">
      <text>
        <r>
          <rPr>
            <sz val="8"/>
            <color indexed="81"/>
            <rFont val="Tahoma"/>
            <family val="2"/>
          </rPr>
          <t>Enter the Pelmet Height in mm.
The Heights are below;
Minimum Height 100mm 
Maximum Height 300mm</t>
        </r>
      </text>
    </comment>
    <comment ref="Q19" authorId="1" shapeId="0" xr:uid="{4E46F50C-29DB-4A38-897A-F2F68E4AD675}">
      <text>
        <r>
          <rPr>
            <sz val="8"/>
            <color indexed="81"/>
            <rFont val="Tahoma"/>
            <family val="2"/>
          </rPr>
          <t>Enter the Pelmet Depth in mm.</t>
        </r>
      </text>
    </comment>
    <comment ref="S19" authorId="1" shapeId="0" xr:uid="{EB587954-48F4-42BB-8461-F5E3A931078B}">
      <text>
        <r>
          <rPr>
            <sz val="8"/>
            <color indexed="81"/>
            <rFont val="Tahoma"/>
            <family val="2"/>
          </rPr>
          <t>Blind Width          Maximum Cut Out Width
For 50mm/63mm PS/PS Privacy
222 - 254mm       50mm
255 - 379mm       75mm
 &gt; 380mm             130mm</t>
        </r>
      </text>
    </comment>
    <comment ref="U19" authorId="1" shapeId="0" xr:uid="{7486C168-A030-42AF-98AB-86CEAF5CA98A}">
      <text>
        <r>
          <rPr>
            <sz val="8"/>
            <color indexed="81"/>
            <rFont val="Tahoma"/>
            <family val="2"/>
          </rPr>
          <t xml:space="preserve">Blind Width          Maximum Cut Out Width
For 50mm/63mm PS/PS Privacy
222 - 254mm       50mm
255 - 379mm       75mm
 &gt; 380mm             130mm
</t>
        </r>
      </text>
    </comment>
    <comment ref="V19" authorId="1" shapeId="0" xr:uid="{3B6D7D20-E96B-4270-8853-A2DC3FB17ED2}">
      <text>
        <r>
          <rPr>
            <sz val="8"/>
            <color indexed="81"/>
            <rFont val="Tahoma"/>
            <family val="2"/>
          </rPr>
          <t>The Maximum m2 is 15m2.</t>
        </r>
      </text>
    </comment>
    <comment ref="D20" authorId="0" shapeId="0" xr:uid="{49B6E6E5-E013-451A-A975-3C0DA7F6A464}">
      <text>
        <r>
          <rPr>
            <sz val="8"/>
            <color indexed="81"/>
            <rFont val="Tahoma"/>
            <family val="2"/>
          </rPr>
          <t>The Blade options are;
C Profile 60mm Blade C60
C Profile 80mm Blade C80
CR Profile 65mm Blade CR65
CR Profile 80mm Blade CR80
ZR Profile 105mm Blade ZR105</t>
        </r>
      </text>
    </comment>
    <comment ref="E20" authorId="0" shapeId="0" xr:uid="{2720324D-5452-4377-8BB4-C30246C0EFD6}">
      <text>
        <r>
          <rPr>
            <sz val="8"/>
            <color indexed="81"/>
            <rFont val="Tahoma"/>
            <family val="2"/>
          </rPr>
          <t>The Blade Colour options are;
C Profile &amp; CR Profile;
Grey PWD 8
Silver PWD 6
ZR Profile;
Silver PWD 6</t>
        </r>
      </text>
    </comment>
    <comment ref="F20" authorId="1" shapeId="0" xr:uid="{23C915DC-15F4-4013-9EB9-E6D9E6831124}">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20" authorId="1" shapeId="0" xr:uid="{755777E1-45B9-4BED-89A3-D6198AF8E481}">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20" authorId="1" shapeId="0" xr:uid="{45953651-DB28-48D5-A9A6-E14660269518}">
      <text>
        <r>
          <rPr>
            <sz val="8"/>
            <color indexed="81"/>
            <rFont val="Tahoma"/>
            <family val="2"/>
          </rPr>
          <t>When selecting a
Corner or Bay 
Window Type, 
the CMB Corner WS 
or the 
CMB Bay WS 
must be completed please.</t>
        </r>
      </text>
    </comment>
    <comment ref="I20" authorId="1" shapeId="0" xr:uid="{1CBE3EA8-F045-4A7A-BF16-05A1711259C2}">
      <text>
        <r>
          <rPr>
            <sz val="8"/>
            <color indexed="81"/>
            <rFont val="Tahoma"/>
            <family val="2"/>
          </rPr>
          <t>The Mounting options are;
Face Fit
Top Fit</t>
        </r>
      </text>
    </comment>
    <comment ref="J20" authorId="1" shapeId="0" xr:uid="{B967094C-6154-43E3-89C2-34C91791A92B}">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0" authorId="1" shapeId="0" xr:uid="{E9EC4CDE-4B54-479B-8D56-B32D1BC9C059}">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20" authorId="1" shapeId="0" xr:uid="{59BE863B-5724-4E19-A4FC-AC6489E41132}">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20" authorId="1" shapeId="0" xr:uid="{19FB95BA-1D78-46CA-9D2E-CF4F1A31FAEA}">
      <text>
        <r>
          <rPr>
            <sz val="8"/>
            <color indexed="81"/>
            <rFont val="Tahoma"/>
            <family val="2"/>
          </rPr>
          <t>The Pelmet options are;
L Profile
U Profile
No Pelmet</t>
        </r>
      </text>
    </comment>
    <comment ref="O20" authorId="1" shapeId="0" xr:uid="{34386D67-276C-4BE5-9427-FCEFD25D476F}">
      <text>
        <r>
          <rPr>
            <sz val="8"/>
            <color indexed="81"/>
            <rFont val="Tahoma"/>
            <family val="2"/>
          </rPr>
          <t>Enter the Pelmet Height in mm.
The Heights are below;
Minimum Height 100mm 
Maximum Height 300mm</t>
        </r>
      </text>
    </comment>
    <comment ref="Q20" authorId="1" shapeId="0" xr:uid="{03A58BA3-ED42-46ED-8AC9-D822EC776207}">
      <text>
        <r>
          <rPr>
            <sz val="8"/>
            <color indexed="81"/>
            <rFont val="Tahoma"/>
            <family val="2"/>
          </rPr>
          <t>Enter the Pelmet Depth in mm.</t>
        </r>
      </text>
    </comment>
    <comment ref="S20" authorId="1" shapeId="0" xr:uid="{5560DEF4-E5DC-4F0D-86FF-DE3AA18A8731}">
      <text>
        <r>
          <rPr>
            <sz val="8"/>
            <color indexed="81"/>
            <rFont val="Tahoma"/>
            <family val="2"/>
          </rPr>
          <t>Blind Width          Maximum Cut Out Width
For 50mm/63mm PS/PS Privacy
222 - 254mm       50mm
255 - 379mm       75mm
 &gt; 380mm             130mm</t>
        </r>
      </text>
    </comment>
    <comment ref="U20" authorId="1" shapeId="0" xr:uid="{26906568-3C6E-41A4-A11E-D65FEEFA28C8}">
      <text>
        <r>
          <rPr>
            <sz val="8"/>
            <color indexed="81"/>
            <rFont val="Tahoma"/>
            <family val="2"/>
          </rPr>
          <t xml:space="preserve">Blind Width          Maximum Cut Out Width
For 50mm/63mm PS/PS Privacy
222 - 254mm       50mm
255 - 379mm       75mm
 &gt; 380mm             130mm
</t>
        </r>
      </text>
    </comment>
    <comment ref="V20" authorId="1" shapeId="0" xr:uid="{C22FA152-4BFE-47EE-A2CD-76E82AA9017C}">
      <text>
        <r>
          <rPr>
            <sz val="8"/>
            <color indexed="81"/>
            <rFont val="Tahoma"/>
            <family val="2"/>
          </rPr>
          <t>The Maximum m2 is 15m2.</t>
        </r>
      </text>
    </comment>
    <comment ref="D21" authorId="0" shapeId="0" xr:uid="{D0714C26-E31D-4602-929C-3B78D8EF1748}">
      <text>
        <r>
          <rPr>
            <sz val="8"/>
            <color indexed="81"/>
            <rFont val="Tahoma"/>
            <family val="2"/>
          </rPr>
          <t>The Blade options are;
C Profile 60mm Blade C60
C Profile 80mm Blade C80
CR Profile 65mm Blade CR65
CR Profile 80mm Blade CR80
ZR Profile 105mm Blade ZR105</t>
        </r>
      </text>
    </comment>
    <comment ref="E21" authorId="0" shapeId="0" xr:uid="{8BA9A01A-51BD-4F30-862A-67E80CC4FDE3}">
      <text>
        <r>
          <rPr>
            <sz val="8"/>
            <color indexed="81"/>
            <rFont val="Tahoma"/>
            <family val="2"/>
          </rPr>
          <t>The Blade Colour options are;
C Profile &amp; CR Profile;
Grey PWD 8
Silver PWD 6
ZR Profile;
Silver PWD 6</t>
        </r>
      </text>
    </comment>
    <comment ref="F21" authorId="1" shapeId="0" xr:uid="{E0BB9BFD-0655-47AE-B9AB-BD753BD0DBB3}">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21" authorId="1" shapeId="0" xr:uid="{614B005F-75C5-44B5-82DF-3589D26C9CB2}">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21" authorId="1" shapeId="0" xr:uid="{AD4B2AF7-85DD-4DDC-A196-5F883BFDC8A4}">
      <text>
        <r>
          <rPr>
            <sz val="8"/>
            <color indexed="81"/>
            <rFont val="Tahoma"/>
            <family val="2"/>
          </rPr>
          <t>When selecting a
Corner or Bay 
Window Type, 
the CMB Corner WS 
or the 
CMB Bay WS 
must be completed please.</t>
        </r>
      </text>
    </comment>
    <comment ref="I21" authorId="1" shapeId="0" xr:uid="{00FE36E6-558F-4396-855B-A42D3B622CFC}">
      <text>
        <r>
          <rPr>
            <sz val="8"/>
            <color indexed="81"/>
            <rFont val="Tahoma"/>
            <family val="2"/>
          </rPr>
          <t>The Mounting options are;
Face Fit
Top Fit</t>
        </r>
      </text>
    </comment>
    <comment ref="J21" authorId="1" shapeId="0" xr:uid="{79E65D91-A502-45F5-8AC8-4C05F5AD0AD2}">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1" authorId="1" shapeId="0" xr:uid="{CFD26CEF-A963-4020-BCE6-1AB20D8C9B62}">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21" authorId="1" shapeId="0" xr:uid="{D298FCCF-F31C-446C-A6A5-2A97D0B5668D}">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21" authorId="1" shapeId="0" xr:uid="{752BEE8D-866B-47ED-91AA-EA1F0BFAE4E7}">
      <text>
        <r>
          <rPr>
            <sz val="8"/>
            <color indexed="81"/>
            <rFont val="Tahoma"/>
            <family val="2"/>
          </rPr>
          <t>The Pelmet options are;
L Profile
U Profile
No Pelmet</t>
        </r>
      </text>
    </comment>
    <comment ref="O21" authorId="1" shapeId="0" xr:uid="{6017A9EB-59D7-4B28-ABDF-CDB08A9EC96E}">
      <text>
        <r>
          <rPr>
            <sz val="8"/>
            <color indexed="81"/>
            <rFont val="Tahoma"/>
            <family val="2"/>
          </rPr>
          <t>Enter the Pelmet Height in mm.
The Heights are below;
Minimum Height 100mm 
Maximum Height 300mm</t>
        </r>
      </text>
    </comment>
    <comment ref="Q21" authorId="1" shapeId="0" xr:uid="{76820664-0137-4CBA-8C77-CF6C9C16299A}">
      <text>
        <r>
          <rPr>
            <sz val="8"/>
            <color indexed="81"/>
            <rFont val="Tahoma"/>
            <family val="2"/>
          </rPr>
          <t>Enter the Pelmet Depth in mm.</t>
        </r>
      </text>
    </comment>
    <comment ref="S21" authorId="1" shapeId="0" xr:uid="{4D86F646-6DB3-413B-9B1A-EFBDBDEBCFA6}">
      <text>
        <r>
          <rPr>
            <sz val="8"/>
            <color indexed="81"/>
            <rFont val="Tahoma"/>
            <family val="2"/>
          </rPr>
          <t>Blind Width          Maximum Cut Out Width
For 50mm/63mm PS/PS Privacy
222 - 254mm       50mm
255 - 379mm       75mm
 &gt; 380mm             130mm</t>
        </r>
      </text>
    </comment>
    <comment ref="U21" authorId="1" shapeId="0" xr:uid="{42A7C0EF-CD3D-4D19-9382-5CAFA4A6451C}">
      <text>
        <r>
          <rPr>
            <sz val="8"/>
            <color indexed="81"/>
            <rFont val="Tahoma"/>
            <family val="2"/>
          </rPr>
          <t xml:space="preserve">Blind Width          Maximum Cut Out Width
For 50mm/63mm PS/PS Privacy
222 - 254mm       50mm
255 - 379mm       75mm
 &gt; 380mm             130mm
</t>
        </r>
      </text>
    </comment>
    <comment ref="V21" authorId="1" shapeId="0" xr:uid="{DCDC2C56-B8A5-4C9D-8D38-D0390B7F38D1}">
      <text>
        <r>
          <rPr>
            <sz val="8"/>
            <color indexed="81"/>
            <rFont val="Tahoma"/>
            <family val="2"/>
          </rPr>
          <t>The Maximum m2 is 15m2.</t>
        </r>
      </text>
    </comment>
    <comment ref="D22" authorId="0" shapeId="0" xr:uid="{65614F4B-8E29-470F-BA0D-1036C6896A38}">
      <text>
        <r>
          <rPr>
            <sz val="8"/>
            <color indexed="81"/>
            <rFont val="Tahoma"/>
            <family val="2"/>
          </rPr>
          <t>The Blade options are;
C Profile 60mm Blade C60
C Profile 80mm Blade C80
CR Profile 65mm Blade CR65
CR Profile 80mm Blade CR80
ZR Profile 105mm Blade ZR105</t>
        </r>
      </text>
    </comment>
    <comment ref="E22" authorId="0" shapeId="0" xr:uid="{E54993A5-357F-4548-BCC2-11FF6AADF90F}">
      <text>
        <r>
          <rPr>
            <sz val="8"/>
            <color indexed="81"/>
            <rFont val="Tahoma"/>
            <family val="2"/>
          </rPr>
          <t>The Blade Colour options are;
C Profile &amp; CR Profile;
Grey PWD 8
Silver PWD 6
ZR Profile;
Silver PWD 6</t>
        </r>
      </text>
    </comment>
    <comment ref="F22" authorId="1" shapeId="0" xr:uid="{B79B2D49-F652-4DBC-A739-E7380CBAAE93}">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22" authorId="1" shapeId="0" xr:uid="{C4B304EB-00C3-4FC5-9BE7-DABF80E43F4B}">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22" authorId="1" shapeId="0" xr:uid="{225617A6-EF32-4F1B-9FDA-609E87FC61E9}">
      <text>
        <r>
          <rPr>
            <sz val="8"/>
            <color indexed="81"/>
            <rFont val="Tahoma"/>
            <family val="2"/>
          </rPr>
          <t>When selecting a
Corner or Bay 
Window Type, 
the CMB Corner WS 
or the 
CMB Bay WS 
must be completed please.</t>
        </r>
      </text>
    </comment>
    <comment ref="I22" authorId="1" shapeId="0" xr:uid="{6C729F85-DB80-4EE5-931A-9BFE3C561BCA}">
      <text>
        <r>
          <rPr>
            <sz val="8"/>
            <color indexed="81"/>
            <rFont val="Tahoma"/>
            <family val="2"/>
          </rPr>
          <t>The Mounting options are;
Face Fit
Top Fit</t>
        </r>
      </text>
    </comment>
    <comment ref="J22" authorId="1" shapeId="0" xr:uid="{15700972-A1CC-4A09-859A-0D97F998B243}">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2" authorId="1" shapeId="0" xr:uid="{A4E0ED47-0668-4310-B724-60F4450443C3}">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22" authorId="1" shapeId="0" xr:uid="{51E8F750-9C8D-42A0-A5CC-281D4527B866}">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22" authorId="1" shapeId="0" xr:uid="{89E3ADD6-81C2-4DBD-B9EA-26DBB56B1FB7}">
      <text>
        <r>
          <rPr>
            <sz val="8"/>
            <color indexed="81"/>
            <rFont val="Tahoma"/>
            <family val="2"/>
          </rPr>
          <t>The Pelmet options are;
L Profile
U Profile
No Pelmet</t>
        </r>
      </text>
    </comment>
    <comment ref="O22" authorId="1" shapeId="0" xr:uid="{C368C535-F5C7-4260-B87E-87C57F2550EF}">
      <text>
        <r>
          <rPr>
            <sz val="8"/>
            <color indexed="81"/>
            <rFont val="Tahoma"/>
            <family val="2"/>
          </rPr>
          <t>Enter the Pelmet Height in mm.
The Heights are below;
Minimum Height 100mm 
Maximum Height 300mm</t>
        </r>
      </text>
    </comment>
    <comment ref="Q22" authorId="1" shapeId="0" xr:uid="{F26FA248-0129-4701-AC86-AF966AD55247}">
      <text>
        <r>
          <rPr>
            <sz val="8"/>
            <color indexed="81"/>
            <rFont val="Tahoma"/>
            <family val="2"/>
          </rPr>
          <t>Enter the Pelmet Depth in mm.</t>
        </r>
      </text>
    </comment>
    <comment ref="S22" authorId="1" shapeId="0" xr:uid="{0F895EF4-3FBB-4F98-B66D-9AE2A0E1BB72}">
      <text>
        <r>
          <rPr>
            <sz val="8"/>
            <color indexed="81"/>
            <rFont val="Tahoma"/>
            <family val="2"/>
          </rPr>
          <t>Blind Width          Maximum Cut Out Width
For 50mm/63mm PS/PS Privacy
222 - 254mm       50mm
255 - 379mm       75mm
 &gt; 380mm             130mm</t>
        </r>
      </text>
    </comment>
    <comment ref="U22" authorId="1" shapeId="0" xr:uid="{AAA15BD2-9D2A-4EB0-ACDD-709EFC1A3BA6}">
      <text>
        <r>
          <rPr>
            <sz val="8"/>
            <color indexed="81"/>
            <rFont val="Tahoma"/>
            <family val="2"/>
          </rPr>
          <t xml:space="preserve">Blind Width          Maximum Cut Out Width
For 50mm/63mm PS/PS Privacy
222 - 254mm       50mm
255 - 379mm       75mm
 &gt; 380mm             130mm
</t>
        </r>
      </text>
    </comment>
    <comment ref="V22" authorId="1" shapeId="0" xr:uid="{DC8DD485-171A-4BBB-A3A6-F47B8AD87692}">
      <text>
        <r>
          <rPr>
            <sz val="8"/>
            <color indexed="81"/>
            <rFont val="Tahoma"/>
            <family val="2"/>
          </rPr>
          <t>The Maximum m2 is 15m2.</t>
        </r>
      </text>
    </comment>
    <comment ref="D23" authorId="0" shapeId="0" xr:uid="{390981C0-C0C1-41B2-BE78-D804DB820889}">
      <text>
        <r>
          <rPr>
            <sz val="8"/>
            <color indexed="81"/>
            <rFont val="Tahoma"/>
            <family val="2"/>
          </rPr>
          <t>The Blade options are;
C Profile 60mm Blade C60
C Profile 80mm Blade C80
CR Profile 65mm Blade CR65
CR Profile 80mm Blade CR80
ZR Profile 105mm Blade ZR105</t>
        </r>
      </text>
    </comment>
    <comment ref="E23" authorId="0" shapeId="0" xr:uid="{3125C708-BA3F-4F10-8B34-43D74413864C}">
      <text>
        <r>
          <rPr>
            <sz val="8"/>
            <color indexed="81"/>
            <rFont val="Tahoma"/>
            <family val="2"/>
          </rPr>
          <t>The Blade Colour options are;
C Profile &amp; CR Profile;
Grey PWD 8
Silver PWD 6
ZR Profile;
Silver PWD 6</t>
        </r>
      </text>
    </comment>
    <comment ref="F23" authorId="1" shapeId="0" xr:uid="{C80A5AF3-7D10-4F58-9964-094338065133}">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23" authorId="1" shapeId="0" xr:uid="{9C796F05-7AD0-4FD9-822F-24E703EC7B79}">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23" authorId="1" shapeId="0" xr:uid="{5C9C1A87-4747-451D-BF5E-D1A48E971605}">
      <text>
        <r>
          <rPr>
            <sz val="8"/>
            <color indexed="81"/>
            <rFont val="Tahoma"/>
            <family val="2"/>
          </rPr>
          <t>When selecting a
Corner or Bay 
Window Type, 
the CMB Corner WS 
or the 
CMB Bay WS 
must be completed please.</t>
        </r>
      </text>
    </comment>
    <comment ref="I23" authorId="1" shapeId="0" xr:uid="{0481F2D5-9F0F-4949-9B87-BE98A81BD7E6}">
      <text>
        <r>
          <rPr>
            <sz val="8"/>
            <color indexed="81"/>
            <rFont val="Tahoma"/>
            <family val="2"/>
          </rPr>
          <t>The Mounting options are;
Face Fit
Top Fit</t>
        </r>
      </text>
    </comment>
    <comment ref="J23" authorId="1" shapeId="0" xr:uid="{2A12A122-5C91-4414-96AA-E85F54953E22}">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3" authorId="1" shapeId="0" xr:uid="{30C95D17-9AB9-4EFE-A0E8-0BEE435F5870}">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23" authorId="1" shapeId="0" xr:uid="{41B794A0-DF04-4709-B668-13FA0BE45195}">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23" authorId="1" shapeId="0" xr:uid="{C978F993-2802-43E1-8BC1-6D99672E00DC}">
      <text>
        <r>
          <rPr>
            <sz val="8"/>
            <color indexed="81"/>
            <rFont val="Tahoma"/>
            <family val="2"/>
          </rPr>
          <t>The Pelmet options are;
L Profile
U Profile
No Pelmet</t>
        </r>
      </text>
    </comment>
    <comment ref="O23" authorId="1" shapeId="0" xr:uid="{477DE240-81DE-4D5B-9EB8-12153E5FC724}">
      <text>
        <r>
          <rPr>
            <sz val="8"/>
            <color indexed="81"/>
            <rFont val="Tahoma"/>
            <family val="2"/>
          </rPr>
          <t>Enter the Pelmet Height in mm.
The Heights are below;
Minimum Height 100mm 
Maximum Height 300mm</t>
        </r>
      </text>
    </comment>
    <comment ref="Q23" authorId="1" shapeId="0" xr:uid="{C8F9239C-8CC6-4D89-8402-A4225CC378EF}">
      <text>
        <r>
          <rPr>
            <sz val="8"/>
            <color indexed="81"/>
            <rFont val="Tahoma"/>
            <family val="2"/>
          </rPr>
          <t>Enter the Pelmet Depth in mm.</t>
        </r>
      </text>
    </comment>
    <comment ref="S23" authorId="1" shapeId="0" xr:uid="{829DF5EB-31DA-44F3-99C9-43FE059014C8}">
      <text>
        <r>
          <rPr>
            <sz val="8"/>
            <color indexed="81"/>
            <rFont val="Tahoma"/>
            <family val="2"/>
          </rPr>
          <t>Blind Width          Maximum Cut Out Width
For 50mm/63mm PS/PS Privacy
222 - 254mm       50mm
255 - 379mm       75mm
 &gt; 380mm             130mm</t>
        </r>
      </text>
    </comment>
    <comment ref="U23" authorId="1" shapeId="0" xr:uid="{5BBB91D7-9A27-4E68-9E3B-48E44F252F36}">
      <text>
        <r>
          <rPr>
            <sz val="8"/>
            <color indexed="81"/>
            <rFont val="Tahoma"/>
            <family val="2"/>
          </rPr>
          <t xml:space="preserve">Blind Width          Maximum Cut Out Width
For 50mm/63mm PS/PS Privacy
222 - 254mm       50mm
255 - 379mm       75mm
 &gt; 380mm             130mm
</t>
        </r>
      </text>
    </comment>
    <comment ref="V23" authorId="1" shapeId="0" xr:uid="{28163FF1-2BC9-49B8-AE1E-79AC55AAC66D}">
      <text>
        <r>
          <rPr>
            <sz val="8"/>
            <color indexed="81"/>
            <rFont val="Tahoma"/>
            <family val="2"/>
          </rPr>
          <t>The Maximum m2 is 15m2.</t>
        </r>
      </text>
    </comment>
    <comment ref="D24" authorId="0" shapeId="0" xr:uid="{05050A61-9C3D-4805-A1C3-F129EC9FE84A}">
      <text>
        <r>
          <rPr>
            <sz val="8"/>
            <color indexed="81"/>
            <rFont val="Tahoma"/>
            <family val="2"/>
          </rPr>
          <t>The Blade options are;
C Profile 60mm Blade C60
C Profile 80mm Blade C80
CR Profile 65mm Blade CR65
CR Profile 80mm Blade CR80
ZR Profile 105mm Blade ZR105</t>
        </r>
      </text>
    </comment>
    <comment ref="E24" authorId="0" shapeId="0" xr:uid="{363775FD-5131-424F-B02D-930612965725}">
      <text>
        <r>
          <rPr>
            <sz val="8"/>
            <color indexed="81"/>
            <rFont val="Tahoma"/>
            <family val="2"/>
          </rPr>
          <t>The Blade Colour options are;
C Profile &amp; CR Profile;
Grey PWD 8
Silver PWD 6
ZR Profile;
Silver PWD 6</t>
        </r>
      </text>
    </comment>
    <comment ref="F24" authorId="1" shapeId="0" xr:uid="{2ABA265C-D50D-44C8-A8E4-52938CE3F9E8}">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24" authorId="1" shapeId="0" xr:uid="{DDE67B45-A15A-449B-9C19-F64BBD787243}">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24" authorId="1" shapeId="0" xr:uid="{841B9888-0059-4A7B-91B4-E44AE3F61409}">
      <text>
        <r>
          <rPr>
            <sz val="8"/>
            <color indexed="81"/>
            <rFont val="Tahoma"/>
            <family val="2"/>
          </rPr>
          <t>When selecting a
Corner or Bay 
Window Type, 
the CMB Corner WS 
or the 
CMB Bay WS 
must be completed please.</t>
        </r>
      </text>
    </comment>
    <comment ref="I24" authorId="1" shapeId="0" xr:uid="{5A4B8FF1-76A7-4E55-A416-3CA82B5FD559}">
      <text>
        <r>
          <rPr>
            <sz val="8"/>
            <color indexed="81"/>
            <rFont val="Tahoma"/>
            <family val="2"/>
          </rPr>
          <t>The Mounting options are;
Face Fit
Top Fit</t>
        </r>
      </text>
    </comment>
    <comment ref="J24" authorId="1" shapeId="0" xr:uid="{6C9B2CC0-A37D-486D-9BB6-4A05829A1080}">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4" authorId="1" shapeId="0" xr:uid="{2E1A7474-0B32-4005-A0A4-26E1C5B6CB6D}">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24" authorId="1" shapeId="0" xr:uid="{9A52FCAA-E073-42D9-BF49-5CF8BCE6F4FA}">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24" authorId="1" shapeId="0" xr:uid="{8610109F-5699-4D21-B673-27C07C4AC18E}">
      <text>
        <r>
          <rPr>
            <sz val="8"/>
            <color indexed="81"/>
            <rFont val="Tahoma"/>
            <family val="2"/>
          </rPr>
          <t>The Pelmet options are;
L Profile
U Profile
No Pelmet</t>
        </r>
      </text>
    </comment>
    <comment ref="O24" authorId="1" shapeId="0" xr:uid="{26E26054-745A-476C-9104-8DF47EA52C4F}">
      <text>
        <r>
          <rPr>
            <sz val="8"/>
            <color indexed="81"/>
            <rFont val="Tahoma"/>
            <family val="2"/>
          </rPr>
          <t>Enter the Pelmet Height in mm.
The Heights are below;
Minimum Height 100mm 
Maximum Height 300mm</t>
        </r>
      </text>
    </comment>
    <comment ref="Q24" authorId="1" shapeId="0" xr:uid="{D4735E06-A476-492B-B5D0-82EE732ED60E}">
      <text>
        <r>
          <rPr>
            <sz val="8"/>
            <color indexed="81"/>
            <rFont val="Tahoma"/>
            <family val="2"/>
          </rPr>
          <t>Enter the Pelmet Depth in mm.</t>
        </r>
      </text>
    </comment>
    <comment ref="S24" authorId="1" shapeId="0" xr:uid="{722CCBD2-AA69-4544-B81A-050729E09AE3}">
      <text>
        <r>
          <rPr>
            <sz val="8"/>
            <color indexed="81"/>
            <rFont val="Tahoma"/>
            <family val="2"/>
          </rPr>
          <t>Blind Width          Maximum Cut Out Width
For 50mm/63mm PS/PS Privacy
222 - 254mm       50mm
255 - 379mm       75mm
 &gt; 380mm             130mm</t>
        </r>
      </text>
    </comment>
    <comment ref="U24" authorId="1" shapeId="0" xr:uid="{F8815318-F606-4B73-8812-DB6BAF21AEEA}">
      <text>
        <r>
          <rPr>
            <sz val="8"/>
            <color indexed="81"/>
            <rFont val="Tahoma"/>
            <family val="2"/>
          </rPr>
          <t xml:space="preserve">Blind Width          Maximum Cut Out Width
For 50mm/63mm PS/PS Privacy
222 - 254mm       50mm
255 - 379mm       75mm
 &gt; 380mm             130mm
</t>
        </r>
      </text>
    </comment>
    <comment ref="V24" authorId="1" shapeId="0" xr:uid="{7F689749-69EC-4A85-BCA0-C09620FB31A0}">
      <text>
        <r>
          <rPr>
            <sz val="8"/>
            <color indexed="81"/>
            <rFont val="Tahoma"/>
            <family val="2"/>
          </rPr>
          <t>The Maximum m2 is 15m2.</t>
        </r>
      </text>
    </comment>
    <comment ref="D25" authorId="0" shapeId="0" xr:uid="{F3E1C530-79AA-4ABC-B4A3-7AD4C41CEE9A}">
      <text>
        <r>
          <rPr>
            <sz val="8"/>
            <color indexed="81"/>
            <rFont val="Tahoma"/>
            <family val="2"/>
          </rPr>
          <t>The Blade options are;
C Profile 60mm Blade C60
C Profile 80mm Blade C80
CR Profile 65mm Blade CR65
CR Profile 80mm Blade CR80
ZR Profile 105mm Blade ZR105</t>
        </r>
      </text>
    </comment>
    <comment ref="E25" authorId="0" shapeId="0" xr:uid="{EF7720EC-586A-4693-91E6-BBF8890DF9B5}">
      <text>
        <r>
          <rPr>
            <sz val="8"/>
            <color indexed="81"/>
            <rFont val="Tahoma"/>
            <family val="2"/>
          </rPr>
          <t>The Blade Colour options are;
C Profile &amp; CR Profile;
Grey PWD 8
Silver PWD 6
ZR Profile;
Silver PWD 6</t>
        </r>
      </text>
    </comment>
    <comment ref="F25" authorId="1" shapeId="0" xr:uid="{DEFA50B9-EEA5-49EB-9E14-9FBC2E387086}">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25" authorId="1" shapeId="0" xr:uid="{913C65A6-CBED-4955-9A9D-B2078C23B83E}">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25" authorId="1" shapeId="0" xr:uid="{383807CD-FDB3-401E-A8EF-C6969D773A35}">
      <text>
        <r>
          <rPr>
            <sz val="8"/>
            <color indexed="81"/>
            <rFont val="Tahoma"/>
            <family val="2"/>
          </rPr>
          <t>When selecting a
Corner or Bay 
Window Type, 
the CMB Corner WS 
or the 
CMB Bay WS 
must be completed please.</t>
        </r>
      </text>
    </comment>
    <comment ref="I25" authorId="1" shapeId="0" xr:uid="{8AFECAFE-A842-43AB-B1BF-B96DD1A95DE1}">
      <text>
        <r>
          <rPr>
            <sz val="8"/>
            <color indexed="81"/>
            <rFont val="Tahoma"/>
            <family val="2"/>
          </rPr>
          <t>The Mounting options are;
Face Fit
Top Fit</t>
        </r>
      </text>
    </comment>
    <comment ref="J25" authorId="1" shapeId="0" xr:uid="{1FE38879-0D07-4CBB-BDD0-4A82DD778167}">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5" authorId="1" shapeId="0" xr:uid="{FA32A367-CBAB-4DE9-BDB9-92DA13770636}">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25" authorId="1" shapeId="0" xr:uid="{A8EF378F-E07D-419F-84E5-021EAC9D6BD2}">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25" authorId="1" shapeId="0" xr:uid="{DDEA1B8B-FCC2-4B56-92F4-1D5CB58370BA}">
      <text>
        <r>
          <rPr>
            <sz val="8"/>
            <color indexed="81"/>
            <rFont val="Tahoma"/>
            <family val="2"/>
          </rPr>
          <t>The Pelmet options are;
L Profile
U Profile
No Pelmet</t>
        </r>
      </text>
    </comment>
    <comment ref="O25" authorId="1" shapeId="0" xr:uid="{81FFAFB9-60EC-47AA-BE52-FFA7C51640B7}">
      <text>
        <r>
          <rPr>
            <sz val="8"/>
            <color indexed="81"/>
            <rFont val="Tahoma"/>
            <family val="2"/>
          </rPr>
          <t>Enter the Pelmet Height in mm.
The Heights are below;
Minimum Height 100mm 
Maximum Height 300mm</t>
        </r>
      </text>
    </comment>
    <comment ref="Q25" authorId="1" shapeId="0" xr:uid="{4EF68129-7EA6-4207-AB10-3D796FA047FC}">
      <text>
        <r>
          <rPr>
            <sz val="8"/>
            <color indexed="81"/>
            <rFont val="Tahoma"/>
            <family val="2"/>
          </rPr>
          <t>Enter the Pelmet Depth in mm.</t>
        </r>
      </text>
    </comment>
    <comment ref="S25" authorId="1" shapeId="0" xr:uid="{03289086-7901-492B-B0CB-DBD7BC7FC51C}">
      <text>
        <r>
          <rPr>
            <sz val="8"/>
            <color indexed="81"/>
            <rFont val="Tahoma"/>
            <family val="2"/>
          </rPr>
          <t>Blind Width          Maximum Cut Out Width
For 50mm/63mm PS/PS Privacy
222 - 254mm       50mm
255 - 379mm       75mm
 &gt; 380mm             130mm</t>
        </r>
      </text>
    </comment>
    <comment ref="U25" authorId="1" shapeId="0" xr:uid="{6E4F085E-A592-485B-A522-EC4098878673}">
      <text>
        <r>
          <rPr>
            <sz val="8"/>
            <color indexed="81"/>
            <rFont val="Tahoma"/>
            <family val="2"/>
          </rPr>
          <t xml:space="preserve">Blind Width          Maximum Cut Out Width
For 50mm/63mm PS/PS Privacy
222 - 254mm       50mm
255 - 379mm       75mm
 &gt; 380mm             130mm
</t>
        </r>
      </text>
    </comment>
    <comment ref="V25" authorId="1" shapeId="0" xr:uid="{7602A187-E763-4240-8CF9-3BCE15A99969}">
      <text>
        <r>
          <rPr>
            <sz val="8"/>
            <color indexed="81"/>
            <rFont val="Tahoma"/>
            <family val="2"/>
          </rPr>
          <t>The Maximum m2 is 15m2.</t>
        </r>
      </text>
    </comment>
    <comment ref="D26" authorId="0" shapeId="0" xr:uid="{A0B7940C-53BE-411C-8F5E-785932C8D188}">
      <text>
        <r>
          <rPr>
            <sz val="8"/>
            <color indexed="81"/>
            <rFont val="Tahoma"/>
            <family val="2"/>
          </rPr>
          <t>The Blade options are;
C Profile 60mm Blade C60
C Profile 80mm Blade C80
CR Profile 65mm Blade CR65
CR Profile 80mm Blade CR80
ZR Profile 105mm Blade ZR105</t>
        </r>
      </text>
    </comment>
    <comment ref="E26" authorId="0" shapeId="0" xr:uid="{C997D2E3-6828-489C-B509-92DB2B04B168}">
      <text>
        <r>
          <rPr>
            <sz val="8"/>
            <color indexed="81"/>
            <rFont val="Tahoma"/>
            <family val="2"/>
          </rPr>
          <t>The Blade Colour options are;
C Profile &amp; CR Profile;
Grey PWD 8
Silver PWD 6
ZR Profile;
Silver PWD 6</t>
        </r>
      </text>
    </comment>
    <comment ref="F26" authorId="1" shapeId="0" xr:uid="{AEFE0F71-C1E0-4578-A0FD-324420A29B71}">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26" authorId="1" shapeId="0" xr:uid="{E7C3FD19-965A-49A0-8F64-5DA1FD6BE3BC}">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26" authorId="1" shapeId="0" xr:uid="{02FF620F-8006-48E9-BE91-39EED99C89B0}">
      <text>
        <r>
          <rPr>
            <sz val="8"/>
            <color indexed="81"/>
            <rFont val="Tahoma"/>
            <family val="2"/>
          </rPr>
          <t>When selecting a
Corner or Bay 
Window Type, 
the CMB Corner WS 
or the 
CMB Bay WS 
must be completed please.</t>
        </r>
      </text>
    </comment>
    <comment ref="I26" authorId="1" shapeId="0" xr:uid="{E61E0896-3C42-49FD-A19E-6CDE22383CE3}">
      <text>
        <r>
          <rPr>
            <sz val="8"/>
            <color indexed="81"/>
            <rFont val="Tahoma"/>
            <family val="2"/>
          </rPr>
          <t>The Mounting options are;
Face Fit
Top Fit</t>
        </r>
      </text>
    </comment>
    <comment ref="J26" authorId="1" shapeId="0" xr:uid="{52F5ADC3-D551-467D-B826-02B40D45F570}">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6" authorId="1" shapeId="0" xr:uid="{7DA3813B-6387-4AA4-91D6-99B8B3F61E5D}">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26" authorId="1" shapeId="0" xr:uid="{0D0983B5-4FBF-434E-B702-E3470EB88536}">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26" authorId="1" shapeId="0" xr:uid="{BEA3E53A-76D4-4128-9002-C9741F0E43BD}">
      <text>
        <r>
          <rPr>
            <sz val="8"/>
            <color indexed="81"/>
            <rFont val="Tahoma"/>
            <family val="2"/>
          </rPr>
          <t>The Pelmet options are;
L Profile
U Profile
No Pelmet</t>
        </r>
      </text>
    </comment>
    <comment ref="O26" authorId="1" shapeId="0" xr:uid="{B5532385-5033-447A-B52E-23B2D891B771}">
      <text>
        <r>
          <rPr>
            <sz val="8"/>
            <color indexed="81"/>
            <rFont val="Tahoma"/>
            <family val="2"/>
          </rPr>
          <t>Enter the Pelmet Height in mm.
The Heights are below;
Minimum Height 100mm 
Maximum Height 300mm</t>
        </r>
      </text>
    </comment>
    <comment ref="Q26" authorId="1" shapeId="0" xr:uid="{E0B4097E-7553-443D-9F03-F0F50DEC1AC4}">
      <text>
        <r>
          <rPr>
            <sz val="8"/>
            <color indexed="81"/>
            <rFont val="Tahoma"/>
            <family val="2"/>
          </rPr>
          <t>Enter the Pelmet Depth in mm.</t>
        </r>
      </text>
    </comment>
    <comment ref="S26" authorId="1" shapeId="0" xr:uid="{EFD0B11D-8FA2-4521-A9BA-AA88DE4C78AF}">
      <text>
        <r>
          <rPr>
            <sz val="8"/>
            <color indexed="81"/>
            <rFont val="Tahoma"/>
            <family val="2"/>
          </rPr>
          <t>Blind Width          Maximum Cut Out Width
For 50mm/63mm PS/PS Privacy
222 - 254mm       50mm
255 - 379mm       75mm
 &gt; 380mm             130mm</t>
        </r>
      </text>
    </comment>
    <comment ref="U26" authorId="1" shapeId="0" xr:uid="{32D5451B-DED8-409A-8E8A-61EC043D6711}">
      <text>
        <r>
          <rPr>
            <sz val="8"/>
            <color indexed="81"/>
            <rFont val="Tahoma"/>
            <family val="2"/>
          </rPr>
          <t xml:space="preserve">Blind Width          Maximum Cut Out Width
For 50mm/63mm PS/PS Privacy
222 - 254mm       50mm
255 - 379mm       75mm
 &gt; 380mm             130mm
</t>
        </r>
      </text>
    </comment>
    <comment ref="V26" authorId="1" shapeId="0" xr:uid="{40228F74-4122-48B6-98AC-AE7B87D6AB1A}">
      <text>
        <r>
          <rPr>
            <sz val="8"/>
            <color indexed="81"/>
            <rFont val="Tahoma"/>
            <family val="2"/>
          </rPr>
          <t>The Maximum m2 is 15m2.</t>
        </r>
      </text>
    </comment>
    <comment ref="D27" authorId="0" shapeId="0" xr:uid="{4271D60C-5386-4A4E-BD80-7E066370FA7D}">
      <text>
        <r>
          <rPr>
            <sz val="8"/>
            <color indexed="81"/>
            <rFont val="Tahoma"/>
            <family val="2"/>
          </rPr>
          <t>The Blade options are;
C Profile 60mm Blade C60
C Profile 80mm Blade C80
CR Profile 65mm Blade CR65
CR Profile 80mm Blade CR80
ZR Profile 105mm Blade ZR105</t>
        </r>
      </text>
    </comment>
    <comment ref="E27" authorId="0" shapeId="0" xr:uid="{1E5EAD9E-773D-4659-ACA9-EE25E701CECA}">
      <text>
        <r>
          <rPr>
            <sz val="8"/>
            <color indexed="81"/>
            <rFont val="Tahoma"/>
            <family val="2"/>
          </rPr>
          <t>The Blade Colour options are;
C Profile &amp; CR Profile;
Grey PWD 8
Silver PWD 6
ZR Profile;
Silver PWD 6</t>
        </r>
      </text>
    </comment>
    <comment ref="F27" authorId="1" shapeId="0" xr:uid="{20E90343-78B8-4DD3-891B-95240B939517}">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27" authorId="1" shapeId="0" xr:uid="{5CE542A2-FA12-4F87-86E3-E6E0A0164D04}">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27" authorId="1" shapeId="0" xr:uid="{893CA75E-AE02-483D-90F1-60D5E8488BFC}">
      <text>
        <r>
          <rPr>
            <sz val="8"/>
            <color indexed="81"/>
            <rFont val="Tahoma"/>
            <family val="2"/>
          </rPr>
          <t>When selecting a
Corner or Bay 
Window Type, 
the CMB Corner WS 
or the 
CMB Bay WS 
must be completed please.</t>
        </r>
      </text>
    </comment>
    <comment ref="I27" authorId="1" shapeId="0" xr:uid="{51AE5A2B-63BB-4A9D-B4B7-CBFD361D8766}">
      <text>
        <r>
          <rPr>
            <sz val="8"/>
            <color indexed="81"/>
            <rFont val="Tahoma"/>
            <family val="2"/>
          </rPr>
          <t>The Mounting options are;
Face Fit
Top Fit</t>
        </r>
      </text>
    </comment>
    <comment ref="J27" authorId="1" shapeId="0" xr:uid="{8534CE98-1961-402A-88E0-6DDE98B0B3E2}">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7" authorId="1" shapeId="0" xr:uid="{F58F5610-9786-4E70-B848-35D35A7DEE1B}">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27" authorId="1" shapeId="0" xr:uid="{863407A8-0D65-4B23-94B8-B6732B7C8A50}">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27" authorId="1" shapeId="0" xr:uid="{9881E6BE-275B-404F-8F04-61A01C2075BA}">
      <text>
        <r>
          <rPr>
            <sz val="8"/>
            <color indexed="81"/>
            <rFont val="Tahoma"/>
            <family val="2"/>
          </rPr>
          <t>The Pelmet options are;
L Profile
U Profile
No Pelmet</t>
        </r>
      </text>
    </comment>
    <comment ref="O27" authorId="1" shapeId="0" xr:uid="{83DCB02D-9F90-46F6-B7E5-C4452388F6E8}">
      <text>
        <r>
          <rPr>
            <sz val="8"/>
            <color indexed="81"/>
            <rFont val="Tahoma"/>
            <family val="2"/>
          </rPr>
          <t>Enter the Pelmet Height in mm.
The Heights are below;
Minimum Height 100mm 
Maximum Height 300mm</t>
        </r>
      </text>
    </comment>
    <comment ref="Q27" authorId="1" shapeId="0" xr:uid="{C1629483-36A8-4E1E-AA08-3CC549B4765A}">
      <text>
        <r>
          <rPr>
            <sz val="8"/>
            <color indexed="81"/>
            <rFont val="Tahoma"/>
            <family val="2"/>
          </rPr>
          <t>Enter the Pelmet Depth in mm.</t>
        </r>
      </text>
    </comment>
    <comment ref="S27" authorId="1" shapeId="0" xr:uid="{011E1485-A5F4-4077-A01F-AF12251DB7E5}">
      <text>
        <r>
          <rPr>
            <sz val="8"/>
            <color indexed="81"/>
            <rFont val="Tahoma"/>
            <family val="2"/>
          </rPr>
          <t>Blind Width          Maximum Cut Out Width
For 50mm/63mm PS/PS Privacy
222 - 254mm       50mm
255 - 379mm       75mm
 &gt; 380mm             130mm</t>
        </r>
      </text>
    </comment>
    <comment ref="U27" authorId="1" shapeId="0" xr:uid="{B7F89C19-84E1-4FC9-B485-9D82920F1A06}">
      <text>
        <r>
          <rPr>
            <sz val="8"/>
            <color indexed="81"/>
            <rFont val="Tahoma"/>
            <family val="2"/>
          </rPr>
          <t xml:space="preserve">Blind Width          Maximum Cut Out Width
For 50mm/63mm PS/PS Privacy
222 - 254mm       50mm
255 - 379mm       75mm
 &gt; 380mm             130mm
</t>
        </r>
      </text>
    </comment>
    <comment ref="V27" authorId="1" shapeId="0" xr:uid="{8204DE78-AC10-453D-A919-DF7C5EC49108}">
      <text>
        <r>
          <rPr>
            <sz val="8"/>
            <color indexed="81"/>
            <rFont val="Tahoma"/>
            <family val="2"/>
          </rPr>
          <t>The Maximum m2 is 15m2.</t>
        </r>
      </text>
    </comment>
    <comment ref="D28" authorId="0" shapeId="0" xr:uid="{26145827-9E22-485F-A704-EEEA91FEA210}">
      <text>
        <r>
          <rPr>
            <sz val="8"/>
            <color indexed="81"/>
            <rFont val="Tahoma"/>
            <family val="2"/>
          </rPr>
          <t>The Blade options are;
C Profile 60mm Blade C60
C Profile 80mm Blade C80
CR Profile 65mm Blade CR65
CR Profile 80mm Blade CR80
ZR Profile 105mm Blade ZR105</t>
        </r>
      </text>
    </comment>
    <comment ref="E28" authorId="0" shapeId="0" xr:uid="{E50EBA28-6BC9-45B6-AD0D-50082E9D96BE}">
      <text>
        <r>
          <rPr>
            <sz val="8"/>
            <color indexed="81"/>
            <rFont val="Tahoma"/>
            <family val="2"/>
          </rPr>
          <t>The Blade Colour options are;
C Profile &amp; CR Profile;
Grey PWD 8
Silver PWD 6
ZR Profile;
Silver PWD 6</t>
        </r>
      </text>
    </comment>
    <comment ref="F28" authorId="1" shapeId="0" xr:uid="{D44083CF-C283-4A37-9AA0-0A9109255CE0}">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28" authorId="1" shapeId="0" xr:uid="{70B50D55-FD6C-4B1A-A673-71B0B34515F4}">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28" authorId="1" shapeId="0" xr:uid="{988C59CE-5D71-4CA0-A28F-B3EC5A64F57E}">
      <text>
        <r>
          <rPr>
            <sz val="8"/>
            <color indexed="81"/>
            <rFont val="Tahoma"/>
            <family val="2"/>
          </rPr>
          <t>When selecting a
Corner or Bay 
Window Type, 
the CMB Corner WS 
or the 
CMB Bay WS 
must be completed please.</t>
        </r>
      </text>
    </comment>
    <comment ref="I28" authorId="1" shapeId="0" xr:uid="{38F9E635-EB84-459F-B2CA-17B95127C095}">
      <text>
        <r>
          <rPr>
            <sz val="8"/>
            <color indexed="81"/>
            <rFont val="Tahoma"/>
            <family val="2"/>
          </rPr>
          <t>The Mounting options are;
Face Fit
Top Fit</t>
        </r>
      </text>
    </comment>
    <comment ref="J28" authorId="1" shapeId="0" xr:uid="{C20D4225-119D-405F-9E4D-5AD329935927}">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8" authorId="1" shapeId="0" xr:uid="{A9959F69-C974-4C80-AD76-F087C79FC128}">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28" authorId="1" shapeId="0" xr:uid="{1823D19B-2DE9-4A82-9FBA-8B0A4FD34A96}">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28" authorId="1" shapeId="0" xr:uid="{DD0D3F9F-0EA4-45C8-A71E-FD8DD104AC09}">
      <text>
        <r>
          <rPr>
            <sz val="8"/>
            <color indexed="81"/>
            <rFont val="Tahoma"/>
            <family val="2"/>
          </rPr>
          <t>The Pelmet options are;
L Profile
U Profile
No Pelmet</t>
        </r>
      </text>
    </comment>
    <comment ref="O28" authorId="1" shapeId="0" xr:uid="{B7706C5F-0437-4D74-9C04-868109C4D360}">
      <text>
        <r>
          <rPr>
            <sz val="8"/>
            <color indexed="81"/>
            <rFont val="Tahoma"/>
            <family val="2"/>
          </rPr>
          <t>Enter the Pelmet Height in mm.
The Heights are below;
Minimum Height 100mm 
Maximum Height 300mm</t>
        </r>
      </text>
    </comment>
    <comment ref="Q28" authorId="1" shapeId="0" xr:uid="{5DE0A6EA-2BAC-4DD7-8712-376EBE682CA0}">
      <text>
        <r>
          <rPr>
            <sz val="8"/>
            <color indexed="81"/>
            <rFont val="Tahoma"/>
            <family val="2"/>
          </rPr>
          <t>Enter the Pelmet Depth in mm.</t>
        </r>
      </text>
    </comment>
    <comment ref="S28" authorId="1" shapeId="0" xr:uid="{CAB5CFD4-1334-4B87-A941-7B751B9C09E8}">
      <text>
        <r>
          <rPr>
            <sz val="8"/>
            <color indexed="81"/>
            <rFont val="Tahoma"/>
            <family val="2"/>
          </rPr>
          <t>Blind Width          Maximum Cut Out Width
For 50mm/63mm PS/PS Privacy
222 - 254mm       50mm
255 - 379mm       75mm
 &gt; 380mm             130mm</t>
        </r>
      </text>
    </comment>
    <comment ref="U28" authorId="1" shapeId="0" xr:uid="{1CB7F1E3-ED6E-454C-BF3A-779B151F76C9}">
      <text>
        <r>
          <rPr>
            <sz val="8"/>
            <color indexed="81"/>
            <rFont val="Tahoma"/>
            <family val="2"/>
          </rPr>
          <t xml:space="preserve">Blind Width          Maximum Cut Out Width
For 50mm/63mm PS/PS Privacy
222 - 254mm       50mm
255 - 379mm       75mm
 &gt; 380mm             130mm
</t>
        </r>
      </text>
    </comment>
    <comment ref="V28" authorId="1" shapeId="0" xr:uid="{0E4EED05-CC85-4EBB-9127-0BC365E34A38}">
      <text>
        <r>
          <rPr>
            <sz val="8"/>
            <color indexed="81"/>
            <rFont val="Tahoma"/>
            <family val="2"/>
          </rPr>
          <t>The Maximum m2 is 15m2.</t>
        </r>
      </text>
    </comment>
    <comment ref="D29" authorId="0" shapeId="0" xr:uid="{5BD0FF87-E324-490B-95D9-A65A0782A404}">
      <text>
        <r>
          <rPr>
            <sz val="8"/>
            <color indexed="81"/>
            <rFont val="Tahoma"/>
            <family val="2"/>
          </rPr>
          <t>The Blade options are;
C Profile 60mm Blade C60
C Profile 80mm Blade C80
CR Profile 65mm Blade CR65
CR Profile 80mm Blade CR80
ZR Profile 105mm Blade ZR105</t>
        </r>
      </text>
    </comment>
    <comment ref="E29" authorId="0" shapeId="0" xr:uid="{234A5D39-D6E6-49F6-91F1-4BF9E7DE040F}">
      <text>
        <r>
          <rPr>
            <sz val="8"/>
            <color indexed="81"/>
            <rFont val="Tahoma"/>
            <family val="2"/>
          </rPr>
          <t>The Blade Colour options are;
C Profile &amp; CR Profile;
Grey PWD 8
Silver PWD 6
ZR Profile;
Silver PWD 6</t>
        </r>
      </text>
    </comment>
    <comment ref="F29" authorId="1" shapeId="0" xr:uid="{D65E3600-B171-4058-9210-B48D8EB591FB}">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29" authorId="1" shapeId="0" xr:uid="{696C3D47-3230-4EE8-8D3E-5E8BD620806D}">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29" authorId="1" shapeId="0" xr:uid="{1577EB27-9AC0-44B5-998E-DEA48978B997}">
      <text>
        <r>
          <rPr>
            <sz val="8"/>
            <color indexed="81"/>
            <rFont val="Tahoma"/>
            <family val="2"/>
          </rPr>
          <t>When selecting a
Corner or Bay 
Window Type, 
the CMB Corner WS 
or the 
CMB Bay WS 
must be completed please.</t>
        </r>
      </text>
    </comment>
    <comment ref="I29" authorId="1" shapeId="0" xr:uid="{16A6CA9B-44B0-40F9-904F-377E1513A8F8}">
      <text>
        <r>
          <rPr>
            <sz val="8"/>
            <color indexed="81"/>
            <rFont val="Tahoma"/>
            <family val="2"/>
          </rPr>
          <t>The Mounting options are;
Face Fit
Top Fit</t>
        </r>
      </text>
    </comment>
    <comment ref="J29" authorId="1" shapeId="0" xr:uid="{440F22B8-A260-4BC9-897D-E07B073EEFDF}">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9" authorId="1" shapeId="0" xr:uid="{F2400A71-6F39-4C9C-9A5F-A21B3DBF7825}">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29" authorId="1" shapeId="0" xr:uid="{B92093EF-9A4B-442D-AB4A-D7526B5A688C}">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29" authorId="1" shapeId="0" xr:uid="{C86D7F55-BAD4-40F3-927F-522C858C75FB}">
      <text>
        <r>
          <rPr>
            <sz val="8"/>
            <color indexed="81"/>
            <rFont val="Tahoma"/>
            <family val="2"/>
          </rPr>
          <t>The Pelmet options are;
L Profile
U Profile
No Pelmet</t>
        </r>
      </text>
    </comment>
    <comment ref="O29" authorId="1" shapeId="0" xr:uid="{8BF0061A-3DFF-4C64-90B0-14004472BB36}">
      <text>
        <r>
          <rPr>
            <sz val="8"/>
            <color indexed="81"/>
            <rFont val="Tahoma"/>
            <family val="2"/>
          </rPr>
          <t>Enter the Pelmet Height in mm.
The Heights are below;
Minimum Height 100mm 
Maximum Height 300mm</t>
        </r>
      </text>
    </comment>
    <comment ref="Q29" authorId="1" shapeId="0" xr:uid="{130997D6-31EE-44D0-AF54-0FD973F6E655}">
      <text>
        <r>
          <rPr>
            <sz val="8"/>
            <color indexed="81"/>
            <rFont val="Tahoma"/>
            <family val="2"/>
          </rPr>
          <t>Enter the Pelmet Depth in mm.</t>
        </r>
      </text>
    </comment>
    <comment ref="S29" authorId="1" shapeId="0" xr:uid="{02B4BCF8-F200-43B5-A95F-9839268DAC4E}">
      <text>
        <r>
          <rPr>
            <sz val="8"/>
            <color indexed="81"/>
            <rFont val="Tahoma"/>
            <family val="2"/>
          </rPr>
          <t>Blind Width          Maximum Cut Out Width
For 50mm/63mm PS/PS Privacy
222 - 254mm       50mm
255 - 379mm       75mm
 &gt; 380mm             130mm</t>
        </r>
      </text>
    </comment>
    <comment ref="U29" authorId="1" shapeId="0" xr:uid="{1A843F2F-C0F7-41DD-9397-BE223F7E746C}">
      <text>
        <r>
          <rPr>
            <sz val="8"/>
            <color indexed="81"/>
            <rFont val="Tahoma"/>
            <family val="2"/>
          </rPr>
          <t xml:space="preserve">Blind Width          Maximum Cut Out Width
For 50mm/63mm PS/PS Privacy
222 - 254mm       50mm
255 - 379mm       75mm
 &gt; 380mm             130mm
</t>
        </r>
      </text>
    </comment>
    <comment ref="V29" authorId="1" shapeId="0" xr:uid="{DE6DE773-5D0B-4F9C-9545-976B2F5C6B8F}">
      <text>
        <r>
          <rPr>
            <sz val="8"/>
            <color indexed="81"/>
            <rFont val="Tahoma"/>
            <family val="2"/>
          </rPr>
          <t>The Maximum m2 is 15m2.</t>
        </r>
      </text>
    </comment>
    <comment ref="D30" authorId="0" shapeId="0" xr:uid="{53AEE582-4F84-4ED8-994F-9DCC52C6BB81}">
      <text>
        <r>
          <rPr>
            <sz val="8"/>
            <color indexed="81"/>
            <rFont val="Tahoma"/>
            <family val="2"/>
          </rPr>
          <t>The Blade options are;
C Profile 60mm Blade C60
C Profile 80mm Blade C80
CR Profile 65mm Blade CR65
CR Profile 80mm Blade CR80
ZR Profile 105mm Blade ZR105</t>
        </r>
      </text>
    </comment>
    <comment ref="E30" authorId="0" shapeId="0" xr:uid="{40273D7D-8193-4CEE-A5C6-E6569287FC3D}">
      <text>
        <r>
          <rPr>
            <sz val="8"/>
            <color indexed="81"/>
            <rFont val="Tahoma"/>
            <family val="2"/>
          </rPr>
          <t>The Blade Colour options are;
C Profile &amp; CR Profile;
Grey PWD 8
Silver PWD 6
ZR Profile;
Silver PWD 6</t>
        </r>
      </text>
    </comment>
    <comment ref="F30" authorId="1" shapeId="0" xr:uid="{E30545EE-FDD7-488F-A7F9-0217B1D6600E}">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30" authorId="1" shapeId="0" xr:uid="{C5D92E6E-DFED-426A-ACEF-33FEBC634770}">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30" authorId="1" shapeId="0" xr:uid="{A32CA214-2635-4387-A0A1-E864881C5830}">
      <text>
        <r>
          <rPr>
            <sz val="8"/>
            <color indexed="81"/>
            <rFont val="Tahoma"/>
            <family val="2"/>
          </rPr>
          <t>When selecting a
Corner or Bay 
Window Type, 
the CMB Corner WS 
or the 
CMB Bay WS 
must be completed please.</t>
        </r>
      </text>
    </comment>
    <comment ref="I30" authorId="1" shapeId="0" xr:uid="{1A4B0FD4-FD78-4C97-A542-43620E0BE66C}">
      <text>
        <r>
          <rPr>
            <sz val="8"/>
            <color indexed="81"/>
            <rFont val="Tahoma"/>
            <family val="2"/>
          </rPr>
          <t>The Mounting options are;
Face Fit
Top Fit</t>
        </r>
      </text>
    </comment>
    <comment ref="J30" authorId="1" shapeId="0" xr:uid="{C5E51F39-29FB-4FEC-A71F-4AED8EC14F81}">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0" authorId="1" shapeId="0" xr:uid="{B7DA4667-3ECD-46E7-BAC5-BB15350A65FF}">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30" authorId="1" shapeId="0" xr:uid="{D774C943-831E-4081-B1E7-BABA1A968F18}">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30" authorId="1" shapeId="0" xr:uid="{32F6D623-5ECC-4040-BBDE-D7F28F3488F0}">
      <text>
        <r>
          <rPr>
            <sz val="8"/>
            <color indexed="81"/>
            <rFont val="Tahoma"/>
            <family val="2"/>
          </rPr>
          <t>The Pelmet options are;
L Profile
U Profile
No Pelmet</t>
        </r>
      </text>
    </comment>
    <comment ref="O30" authorId="1" shapeId="0" xr:uid="{009EF5EF-A239-4196-8005-63CE4202D460}">
      <text>
        <r>
          <rPr>
            <sz val="8"/>
            <color indexed="81"/>
            <rFont val="Tahoma"/>
            <family val="2"/>
          </rPr>
          <t>Enter the Pelmet Height in mm.
The Heights are below;
Minimum Height 100mm 
Maximum Height 300mm</t>
        </r>
      </text>
    </comment>
    <comment ref="Q30" authorId="1" shapeId="0" xr:uid="{B1FC8E68-66A6-45F5-8C08-A2CF8DF23FDE}">
      <text>
        <r>
          <rPr>
            <sz val="8"/>
            <color indexed="81"/>
            <rFont val="Tahoma"/>
            <family val="2"/>
          </rPr>
          <t>Enter the Pelmet Depth in mm.</t>
        </r>
      </text>
    </comment>
    <comment ref="S30" authorId="1" shapeId="0" xr:uid="{6E44F2C4-EB0E-48F4-8345-3015F0635C37}">
      <text>
        <r>
          <rPr>
            <sz val="8"/>
            <color indexed="81"/>
            <rFont val="Tahoma"/>
            <family val="2"/>
          </rPr>
          <t>Blind Width          Maximum Cut Out Width
For 50mm/63mm PS/PS Privacy
222 - 254mm       50mm
255 - 379mm       75mm
 &gt; 380mm             130mm</t>
        </r>
      </text>
    </comment>
    <comment ref="U30" authorId="1" shapeId="0" xr:uid="{B2FE5F90-4FFD-407E-859F-E369269B89BE}">
      <text>
        <r>
          <rPr>
            <sz val="8"/>
            <color indexed="81"/>
            <rFont val="Tahoma"/>
            <family val="2"/>
          </rPr>
          <t xml:space="preserve">Blind Width          Maximum Cut Out Width
For 50mm/63mm PS/PS Privacy
222 - 254mm       50mm
255 - 379mm       75mm
 &gt; 380mm             130mm
</t>
        </r>
      </text>
    </comment>
    <comment ref="V30" authorId="1" shapeId="0" xr:uid="{1486DC73-5884-45AE-98AC-2607F8DB781A}">
      <text>
        <r>
          <rPr>
            <sz val="8"/>
            <color indexed="81"/>
            <rFont val="Tahoma"/>
            <family val="2"/>
          </rPr>
          <t>The Maximum m2 is 15m2.</t>
        </r>
      </text>
    </comment>
    <comment ref="D31" authorId="0" shapeId="0" xr:uid="{D1250516-263B-4E0E-9667-E78D9E3320C5}">
      <text>
        <r>
          <rPr>
            <sz val="8"/>
            <color indexed="81"/>
            <rFont val="Tahoma"/>
            <family val="2"/>
          </rPr>
          <t>The Blade options are;
C Profile 60mm Blade C60
C Profile 80mm Blade C80
CR Profile 65mm Blade CR65
CR Profile 80mm Blade CR80
ZR Profile 105mm Blade ZR105</t>
        </r>
      </text>
    </comment>
    <comment ref="E31" authorId="0" shapeId="0" xr:uid="{A47D1862-FBDB-4D0D-B28C-483CA7854E70}">
      <text>
        <r>
          <rPr>
            <sz val="8"/>
            <color indexed="81"/>
            <rFont val="Tahoma"/>
            <family val="2"/>
          </rPr>
          <t>The Blade Colour options are;
C Profile &amp; CR Profile;
Grey PWD 8
Silver PWD 6
ZR Profile;
Silver PWD 6</t>
        </r>
      </text>
    </comment>
    <comment ref="F31" authorId="1" shapeId="0" xr:uid="{FDC8BF0A-00FF-4E7E-A278-D2A7B16782A0}">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31" authorId="1" shapeId="0" xr:uid="{3B8B04D6-83F6-41B4-8850-A5D8F3D77414}">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31" authorId="1" shapeId="0" xr:uid="{9A44611C-B624-40E3-BC91-89F4A71C2C52}">
      <text>
        <r>
          <rPr>
            <sz val="8"/>
            <color indexed="81"/>
            <rFont val="Tahoma"/>
            <family val="2"/>
          </rPr>
          <t>When selecting a
Corner or Bay 
Window Type, 
the CMB Corner WS 
or the 
CMB Bay WS 
must be completed please.</t>
        </r>
      </text>
    </comment>
    <comment ref="I31" authorId="1" shapeId="0" xr:uid="{3E09E99D-1C0F-42AF-BB8A-B45350F1408D}">
      <text>
        <r>
          <rPr>
            <sz val="8"/>
            <color indexed="81"/>
            <rFont val="Tahoma"/>
            <family val="2"/>
          </rPr>
          <t>The Mounting options are;
Face Fit
Top Fit</t>
        </r>
      </text>
    </comment>
    <comment ref="J31" authorId="1" shapeId="0" xr:uid="{9050A441-5E5A-42A4-9A19-9429E18386A5}">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1" authorId="1" shapeId="0" xr:uid="{A8DF1DD7-8F7D-4681-9DA4-D864E6D3D51F}">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31" authorId="1" shapeId="0" xr:uid="{78EF486E-A744-47D5-AC6B-48CC66F21D4C}">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31" authorId="1" shapeId="0" xr:uid="{85CC4409-3ACD-429D-9DBE-2B6D05E51506}">
      <text>
        <r>
          <rPr>
            <sz val="8"/>
            <color indexed="81"/>
            <rFont val="Tahoma"/>
            <family val="2"/>
          </rPr>
          <t>The Pelmet options are;
L Profile
U Profile
No Pelmet</t>
        </r>
      </text>
    </comment>
    <comment ref="O31" authorId="1" shapeId="0" xr:uid="{3E10C201-D93C-4EAC-A60E-0E88F1387E0C}">
      <text>
        <r>
          <rPr>
            <sz val="8"/>
            <color indexed="81"/>
            <rFont val="Tahoma"/>
            <family val="2"/>
          </rPr>
          <t>Enter the Pelmet Height in mm.
The Heights are below;
Minimum Height 100mm 
Maximum Height 300mm</t>
        </r>
      </text>
    </comment>
    <comment ref="Q31" authorId="1" shapeId="0" xr:uid="{74BE9679-6D79-4339-B45C-A8EC162EECE8}">
      <text>
        <r>
          <rPr>
            <sz val="8"/>
            <color indexed="81"/>
            <rFont val="Tahoma"/>
            <family val="2"/>
          </rPr>
          <t>Enter the Pelmet Depth in mm.</t>
        </r>
      </text>
    </comment>
    <comment ref="S31" authorId="1" shapeId="0" xr:uid="{FC24FDA7-DD26-4FEC-AA5B-0DD09B5540CF}">
      <text>
        <r>
          <rPr>
            <sz val="8"/>
            <color indexed="81"/>
            <rFont val="Tahoma"/>
            <family val="2"/>
          </rPr>
          <t>Blind Width          Maximum Cut Out Width
For 50mm/63mm PS/PS Privacy
222 - 254mm       50mm
255 - 379mm       75mm
 &gt; 380mm             130mm</t>
        </r>
      </text>
    </comment>
    <comment ref="U31" authorId="1" shapeId="0" xr:uid="{5F2233D2-E0F4-4378-BE83-AA5C055C62FD}">
      <text>
        <r>
          <rPr>
            <sz val="8"/>
            <color indexed="81"/>
            <rFont val="Tahoma"/>
            <family val="2"/>
          </rPr>
          <t xml:space="preserve">Blind Width          Maximum Cut Out Width
For 50mm/63mm PS/PS Privacy
222 - 254mm       50mm
255 - 379mm       75mm
 &gt; 380mm             130mm
</t>
        </r>
      </text>
    </comment>
    <comment ref="V31" authorId="1" shapeId="0" xr:uid="{04075246-B8C1-40D3-A930-205E3F0B06B2}">
      <text>
        <r>
          <rPr>
            <sz val="8"/>
            <color indexed="81"/>
            <rFont val="Tahoma"/>
            <family val="2"/>
          </rPr>
          <t>The Maximum m2 is 15m2.</t>
        </r>
      </text>
    </comment>
    <comment ref="D32" authorId="0" shapeId="0" xr:uid="{91E1D426-CECE-4E66-8E1C-6FAEDC85CAB7}">
      <text>
        <r>
          <rPr>
            <sz val="8"/>
            <color indexed="81"/>
            <rFont val="Tahoma"/>
            <family val="2"/>
          </rPr>
          <t>The Blade options are;
C Profile 60mm Blade C60
C Profile 80mm Blade C80
CR Profile 65mm Blade CR65
CR Profile 80mm Blade CR80
ZR Profile 105mm Blade ZR105</t>
        </r>
      </text>
    </comment>
    <comment ref="E32" authorId="0" shapeId="0" xr:uid="{13F1C164-86AD-47D8-BF81-3FB6644F70EF}">
      <text>
        <r>
          <rPr>
            <sz val="8"/>
            <color indexed="81"/>
            <rFont val="Tahoma"/>
            <family val="2"/>
          </rPr>
          <t>The Blade Colour options are;
C Profile &amp; CR Profile;
Grey PWD 8
Silver PWD 6
ZR Profile;
Silver PWD 6</t>
        </r>
      </text>
    </comment>
    <comment ref="F32" authorId="1" shapeId="0" xr:uid="{FC321B58-D314-4F1C-80E5-917ADC20E4B6}">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32" authorId="1" shapeId="0" xr:uid="{9A81B747-4527-4FCA-AB93-928C454DF00E}">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32" authorId="1" shapeId="0" xr:uid="{4CE46FF0-3382-4FD8-A213-8C4969A5B0FE}">
      <text>
        <r>
          <rPr>
            <sz val="8"/>
            <color indexed="81"/>
            <rFont val="Tahoma"/>
            <family val="2"/>
          </rPr>
          <t>When selecting a
Corner or Bay 
Window Type, 
the CMB Corner WS 
or the 
CMB Bay WS 
must be completed please.</t>
        </r>
      </text>
    </comment>
    <comment ref="I32" authorId="1" shapeId="0" xr:uid="{469C4F76-B5BB-4E22-A141-65252FFAF0C0}">
      <text>
        <r>
          <rPr>
            <sz val="8"/>
            <color indexed="81"/>
            <rFont val="Tahoma"/>
            <family val="2"/>
          </rPr>
          <t>The Mounting options are;
Face Fit
Top Fit</t>
        </r>
      </text>
    </comment>
    <comment ref="J32" authorId="1" shapeId="0" xr:uid="{1D8F54B6-0420-43DE-B956-F0B1DB34A80B}">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2" authorId="1" shapeId="0" xr:uid="{55385C73-B7D1-48CA-AD4D-D4311230CC0E}">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32" authorId="1" shapeId="0" xr:uid="{36472580-BCB2-441F-A4E7-89E394614741}">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32" authorId="1" shapeId="0" xr:uid="{71A1DBBD-D244-4A14-ACE8-CAFC9E1A4D19}">
      <text>
        <r>
          <rPr>
            <sz val="8"/>
            <color indexed="81"/>
            <rFont val="Tahoma"/>
            <family val="2"/>
          </rPr>
          <t>The Pelmet options are;
L Profile
U Profile
No Pelmet</t>
        </r>
      </text>
    </comment>
    <comment ref="O32" authorId="1" shapeId="0" xr:uid="{AA385B3B-DC6C-46C6-A3AC-617BEA799660}">
      <text>
        <r>
          <rPr>
            <sz val="8"/>
            <color indexed="81"/>
            <rFont val="Tahoma"/>
            <family val="2"/>
          </rPr>
          <t>Enter the Pelmet Height in mm.
The Heights are below;
Minimum Height 100mm 
Maximum Height 300mm</t>
        </r>
      </text>
    </comment>
    <comment ref="Q32" authorId="1" shapeId="0" xr:uid="{162A4A2D-2ADA-45B7-A8B9-ADC9A4EF1831}">
      <text>
        <r>
          <rPr>
            <sz val="8"/>
            <color indexed="81"/>
            <rFont val="Tahoma"/>
            <family val="2"/>
          </rPr>
          <t>Enter the Pelmet Depth in mm.</t>
        </r>
      </text>
    </comment>
    <comment ref="S32" authorId="1" shapeId="0" xr:uid="{6DC90C2E-7688-4A28-AD9C-9C0E1E0A3B20}">
      <text>
        <r>
          <rPr>
            <sz val="8"/>
            <color indexed="81"/>
            <rFont val="Tahoma"/>
            <family val="2"/>
          </rPr>
          <t>Blind Width          Maximum Cut Out Width
For 50mm/63mm PS/PS Privacy
222 - 254mm       50mm
255 - 379mm       75mm
 &gt; 380mm             130mm</t>
        </r>
      </text>
    </comment>
    <comment ref="U32" authorId="1" shapeId="0" xr:uid="{3C14B6D2-D36D-4F38-AF86-0CD83DAE035C}">
      <text>
        <r>
          <rPr>
            <sz val="8"/>
            <color indexed="81"/>
            <rFont val="Tahoma"/>
            <family val="2"/>
          </rPr>
          <t xml:space="preserve">Blind Width          Maximum Cut Out Width
For 50mm/63mm PS/PS Privacy
222 - 254mm       50mm
255 - 379mm       75mm
 &gt; 380mm             130mm
</t>
        </r>
      </text>
    </comment>
    <comment ref="V32" authorId="1" shapeId="0" xr:uid="{001B1CF5-07C1-4D70-9DE1-CF1896A63268}">
      <text>
        <r>
          <rPr>
            <sz val="8"/>
            <color indexed="81"/>
            <rFont val="Tahoma"/>
            <family val="2"/>
          </rPr>
          <t>The Maximum m2 is 15m2.</t>
        </r>
      </text>
    </comment>
    <comment ref="D33" authorId="0" shapeId="0" xr:uid="{329E964C-2628-49C1-B448-2F19E7AA349F}">
      <text>
        <r>
          <rPr>
            <sz val="8"/>
            <color indexed="81"/>
            <rFont val="Tahoma"/>
            <family val="2"/>
          </rPr>
          <t>The Blade options are;
C Profile 60mm Blade C60
C Profile 80mm Blade C80
CR Profile 65mm Blade CR65
CR Profile 80mm Blade CR80
ZR Profile 105mm Blade ZR105</t>
        </r>
      </text>
    </comment>
    <comment ref="E33" authorId="0" shapeId="0" xr:uid="{670AA028-7765-43D8-B15A-C018A2D01FA3}">
      <text>
        <r>
          <rPr>
            <sz val="8"/>
            <color indexed="81"/>
            <rFont val="Tahoma"/>
            <family val="2"/>
          </rPr>
          <t>The Blade Colour options are;
C Profile &amp; CR Profile;
Grey PWD 8
Silver PWD 6
ZR Profile;
Silver PWD 6</t>
        </r>
      </text>
    </comment>
    <comment ref="F33" authorId="1" shapeId="0" xr:uid="{C80FB684-AEE6-417B-A455-E2FD9FBDC647}">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33" authorId="1" shapeId="0" xr:uid="{5CDBFE2D-F621-4CC2-8AF0-76424BDC3680}">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33" authorId="1" shapeId="0" xr:uid="{E39C0462-4F1C-45CA-8031-9D84233AF5C3}">
      <text>
        <r>
          <rPr>
            <sz val="8"/>
            <color indexed="81"/>
            <rFont val="Tahoma"/>
            <family val="2"/>
          </rPr>
          <t>When selecting a
Corner or Bay 
Window Type, 
the CMB Corner WS 
or the 
CMB Bay WS 
must be completed please.</t>
        </r>
      </text>
    </comment>
    <comment ref="I33" authorId="1" shapeId="0" xr:uid="{E0393CB4-6E36-4494-A976-42AD395DF754}">
      <text>
        <r>
          <rPr>
            <sz val="8"/>
            <color indexed="81"/>
            <rFont val="Tahoma"/>
            <family val="2"/>
          </rPr>
          <t>The Mounting options are;
Face Fit
Top Fit</t>
        </r>
      </text>
    </comment>
    <comment ref="J33" authorId="1" shapeId="0" xr:uid="{9A9C829D-6CDA-4532-9E36-9D49B2E96F33}">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3" authorId="1" shapeId="0" xr:uid="{CCEFCB5D-C8BC-4399-AB17-BC895793A0A7}">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33" authorId="1" shapeId="0" xr:uid="{25CB72D1-A6FE-4E33-9B51-17A31E3EFD4D}">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33" authorId="1" shapeId="0" xr:uid="{69E29621-8A1D-4C00-A738-07DBF7AEEB23}">
      <text>
        <r>
          <rPr>
            <sz val="8"/>
            <color indexed="81"/>
            <rFont val="Tahoma"/>
            <family val="2"/>
          </rPr>
          <t>The Pelmet options are;
L Profile
U Profile
No Pelmet</t>
        </r>
      </text>
    </comment>
    <comment ref="O33" authorId="1" shapeId="0" xr:uid="{10DA7B04-7143-481F-AC1F-57020D68C78C}">
      <text>
        <r>
          <rPr>
            <sz val="8"/>
            <color indexed="81"/>
            <rFont val="Tahoma"/>
            <family val="2"/>
          </rPr>
          <t>Enter the Pelmet Height in mm.
The Heights are below;
Minimum Height 100mm 
Maximum Height 300mm</t>
        </r>
      </text>
    </comment>
    <comment ref="Q33" authorId="1" shapeId="0" xr:uid="{560F1B9C-3EBE-4B24-A126-93A2243C47CB}">
      <text>
        <r>
          <rPr>
            <sz val="8"/>
            <color indexed="81"/>
            <rFont val="Tahoma"/>
            <family val="2"/>
          </rPr>
          <t>Enter the Pelmet Depth in mm.</t>
        </r>
      </text>
    </comment>
    <comment ref="S33" authorId="1" shapeId="0" xr:uid="{59300D4C-63D6-48D1-8650-80CF37945CBE}">
      <text>
        <r>
          <rPr>
            <sz val="8"/>
            <color indexed="81"/>
            <rFont val="Tahoma"/>
            <family val="2"/>
          </rPr>
          <t>Blind Width          Maximum Cut Out Width
For 50mm/63mm PS/PS Privacy
222 - 254mm       50mm
255 - 379mm       75mm
 &gt; 380mm             130mm</t>
        </r>
      </text>
    </comment>
    <comment ref="U33" authorId="1" shapeId="0" xr:uid="{B449CF47-4377-423C-A32A-7BC10413EB26}">
      <text>
        <r>
          <rPr>
            <sz val="8"/>
            <color indexed="81"/>
            <rFont val="Tahoma"/>
            <family val="2"/>
          </rPr>
          <t xml:space="preserve">Blind Width          Maximum Cut Out Width
For 50mm/63mm PS/PS Privacy
222 - 254mm       50mm
255 - 379mm       75mm
 &gt; 380mm             130mm
</t>
        </r>
      </text>
    </comment>
    <comment ref="V33" authorId="1" shapeId="0" xr:uid="{7927DE0E-A772-4915-A37E-09FC022657F7}">
      <text>
        <r>
          <rPr>
            <sz val="8"/>
            <color indexed="81"/>
            <rFont val="Tahoma"/>
            <family val="2"/>
          </rPr>
          <t>The Maximum m2 is 15m2.</t>
        </r>
      </text>
    </comment>
    <comment ref="D34" authorId="0" shapeId="0" xr:uid="{3D255FDB-DE33-46AC-8342-4DCC37F555C3}">
      <text>
        <r>
          <rPr>
            <sz val="8"/>
            <color indexed="81"/>
            <rFont val="Tahoma"/>
            <family val="2"/>
          </rPr>
          <t>The Blade options are;
C Profile 60mm Blade C60
C Profile 80mm Blade C80
CR Profile 65mm Blade CR65
CR Profile 80mm Blade CR80
ZR Profile 105mm Blade ZR105</t>
        </r>
      </text>
    </comment>
    <comment ref="E34" authorId="0" shapeId="0" xr:uid="{0DA4E153-68EB-4CDB-9006-073D73C06AEA}">
      <text>
        <r>
          <rPr>
            <sz val="8"/>
            <color indexed="81"/>
            <rFont val="Tahoma"/>
            <family val="2"/>
          </rPr>
          <t>The Blade Colour options are;
C Profile &amp; CR Profile;
Grey PWD 8
Silver PWD 6
ZR Profile;
Silver PWD 6</t>
        </r>
      </text>
    </comment>
    <comment ref="F34" authorId="1" shapeId="0" xr:uid="{5DC66E85-1C20-48F8-87D9-1FCFCB994824}">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34" authorId="1" shapeId="0" xr:uid="{F0354C21-F7B8-4A02-A6F1-0A4EF80C177C}">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34" authorId="1" shapeId="0" xr:uid="{AD97771A-C894-4F04-A05B-42B8250154AA}">
      <text>
        <r>
          <rPr>
            <sz val="8"/>
            <color indexed="81"/>
            <rFont val="Tahoma"/>
            <family val="2"/>
          </rPr>
          <t>When selecting a
Corner or Bay 
Window Type, 
the CMB Corner WS 
or the 
CMB Bay WS 
must be completed please.</t>
        </r>
      </text>
    </comment>
    <comment ref="I34" authorId="1" shapeId="0" xr:uid="{4B48177B-729C-4A8F-A8DC-936081F9B60F}">
      <text>
        <r>
          <rPr>
            <sz val="8"/>
            <color indexed="81"/>
            <rFont val="Tahoma"/>
            <family val="2"/>
          </rPr>
          <t>The Mounting options are;
Face Fit
Top Fit</t>
        </r>
      </text>
    </comment>
    <comment ref="J34" authorId="1" shapeId="0" xr:uid="{F7436675-0E66-43DC-A1BC-2DD8328E41DD}">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4" authorId="1" shapeId="0" xr:uid="{42E5FB03-EE72-4F98-885D-96C4069ECA63}">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34" authorId="1" shapeId="0" xr:uid="{B07D51F1-F06F-4DAB-9B2B-330B60CDE386}">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34" authorId="1" shapeId="0" xr:uid="{0E39C07D-7B1A-45EA-8E7D-A7DB8D906275}">
      <text>
        <r>
          <rPr>
            <sz val="8"/>
            <color indexed="81"/>
            <rFont val="Tahoma"/>
            <family val="2"/>
          </rPr>
          <t>The Pelmet options are;
L Profile
U Profile
No Pelmet</t>
        </r>
      </text>
    </comment>
    <comment ref="O34" authorId="1" shapeId="0" xr:uid="{ECC855A1-D630-40C0-8A54-94A70AA22C78}">
      <text>
        <r>
          <rPr>
            <sz val="8"/>
            <color indexed="81"/>
            <rFont val="Tahoma"/>
            <family val="2"/>
          </rPr>
          <t>Enter the Pelmet Height in mm.
The Heights are below;
Minimum Height 100mm 
Maximum Height 300mm</t>
        </r>
      </text>
    </comment>
    <comment ref="Q34" authorId="1" shapeId="0" xr:uid="{0131B693-C26D-4BAB-8282-0176D3E2D66F}">
      <text>
        <r>
          <rPr>
            <sz val="8"/>
            <color indexed="81"/>
            <rFont val="Tahoma"/>
            <family val="2"/>
          </rPr>
          <t>Enter the Pelmet Depth in mm.</t>
        </r>
      </text>
    </comment>
    <comment ref="S34" authorId="1" shapeId="0" xr:uid="{DD0624EB-17B0-4E44-83C1-8A737B329045}">
      <text>
        <r>
          <rPr>
            <sz val="8"/>
            <color indexed="81"/>
            <rFont val="Tahoma"/>
            <family val="2"/>
          </rPr>
          <t>Blind Width          Maximum Cut Out Width
For 50mm/63mm PS/PS Privacy
222 - 254mm       50mm
255 - 379mm       75mm
 &gt; 380mm             130mm</t>
        </r>
      </text>
    </comment>
    <comment ref="U34" authorId="1" shapeId="0" xr:uid="{BF55700A-2D4C-4A14-8CEC-A0ED4365A3CE}">
      <text>
        <r>
          <rPr>
            <sz val="8"/>
            <color indexed="81"/>
            <rFont val="Tahoma"/>
            <family val="2"/>
          </rPr>
          <t xml:space="preserve">Blind Width          Maximum Cut Out Width
For 50mm/63mm PS/PS Privacy
222 - 254mm       50mm
255 - 379mm       75mm
 &gt; 380mm             130mm
</t>
        </r>
      </text>
    </comment>
    <comment ref="V34" authorId="1" shapeId="0" xr:uid="{98A468A2-8359-434C-893E-152CDB114EAD}">
      <text>
        <r>
          <rPr>
            <sz val="8"/>
            <color indexed="81"/>
            <rFont val="Tahoma"/>
            <family val="2"/>
          </rPr>
          <t>The Maximum m2 is 15m2.</t>
        </r>
      </text>
    </comment>
    <comment ref="D35" authorId="0" shapeId="0" xr:uid="{967B299F-D402-4645-ADA3-4E314D281DCD}">
      <text>
        <r>
          <rPr>
            <sz val="8"/>
            <color indexed="81"/>
            <rFont val="Tahoma"/>
            <family val="2"/>
          </rPr>
          <t>The Blade options are;
C Profile 60mm Blade C60
C Profile 80mm Blade C80
CR Profile 65mm Blade CR65
CR Profile 80mm Blade CR80
ZR Profile 105mm Blade ZR105</t>
        </r>
      </text>
    </comment>
    <comment ref="E35" authorId="0" shapeId="0" xr:uid="{1971868F-6CC5-4161-9C8C-6320F1A3D27E}">
      <text>
        <r>
          <rPr>
            <sz val="8"/>
            <color indexed="81"/>
            <rFont val="Tahoma"/>
            <family val="2"/>
          </rPr>
          <t>The Blade Colour options are;
C Profile &amp; CR Profile;
Grey PWD 8
Silver PWD 6
ZR Profile;
Silver PWD 6</t>
        </r>
      </text>
    </comment>
    <comment ref="F35" authorId="1" shapeId="0" xr:uid="{223A0AFC-253D-4262-9397-84614EFDC922}">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35" authorId="1" shapeId="0" xr:uid="{E47694A6-8969-48EA-B8FC-4F8943FC5B11}">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35" authorId="1" shapeId="0" xr:uid="{51BD146F-74A6-41C8-9E65-E3D68EF69CB9}">
      <text>
        <r>
          <rPr>
            <sz val="8"/>
            <color indexed="81"/>
            <rFont val="Tahoma"/>
            <family val="2"/>
          </rPr>
          <t>When selecting a
Corner or Bay 
Window Type, 
the CMB Corner WS 
or the 
CMB Bay WS 
must be completed please.</t>
        </r>
      </text>
    </comment>
    <comment ref="I35" authorId="1" shapeId="0" xr:uid="{0601E0D0-F486-4471-B198-31BB53E02C3E}">
      <text>
        <r>
          <rPr>
            <sz val="8"/>
            <color indexed="81"/>
            <rFont val="Tahoma"/>
            <family val="2"/>
          </rPr>
          <t>The Mounting options are;
Face Fit
Top Fit</t>
        </r>
      </text>
    </comment>
    <comment ref="J35" authorId="1" shapeId="0" xr:uid="{12C32596-ECB1-4840-8BD9-B6365B0EFF27}">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5" authorId="1" shapeId="0" xr:uid="{33B349DE-DEEC-4DCF-A78E-10EECB7F52AA}">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35" authorId="1" shapeId="0" xr:uid="{D4FEE544-87B5-43D0-8F38-5225F1A0834F}">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35" authorId="1" shapeId="0" xr:uid="{AC967432-1090-45F9-B82B-4D1B5D05B4E2}">
      <text>
        <r>
          <rPr>
            <sz val="8"/>
            <color indexed="81"/>
            <rFont val="Tahoma"/>
            <family val="2"/>
          </rPr>
          <t>The Pelmet options are;
L Profile
U Profile
No Pelmet</t>
        </r>
      </text>
    </comment>
    <comment ref="O35" authorId="1" shapeId="0" xr:uid="{D8A5F498-1355-410D-B5CB-D18A7D725DD5}">
      <text>
        <r>
          <rPr>
            <sz val="8"/>
            <color indexed="81"/>
            <rFont val="Tahoma"/>
            <family val="2"/>
          </rPr>
          <t>Enter the Pelmet Height in mm.
The Heights are below;
Minimum Height 100mm 
Maximum Height 300mm</t>
        </r>
      </text>
    </comment>
    <comment ref="Q35" authorId="1" shapeId="0" xr:uid="{71B368B0-1DC2-4A32-B4DA-E5989550253F}">
      <text>
        <r>
          <rPr>
            <sz val="8"/>
            <color indexed="81"/>
            <rFont val="Tahoma"/>
            <family val="2"/>
          </rPr>
          <t>Enter the Pelmet Depth in mm.</t>
        </r>
      </text>
    </comment>
    <comment ref="S35" authorId="1" shapeId="0" xr:uid="{6EA16647-A233-43B6-B3E3-C44CE14EB184}">
      <text>
        <r>
          <rPr>
            <sz val="8"/>
            <color indexed="81"/>
            <rFont val="Tahoma"/>
            <family val="2"/>
          </rPr>
          <t>Blind Width          Maximum Cut Out Width
For 50mm/63mm PS/PS Privacy
222 - 254mm       50mm
255 - 379mm       75mm
 &gt; 380mm             130mm</t>
        </r>
      </text>
    </comment>
    <comment ref="U35" authorId="1" shapeId="0" xr:uid="{97453B3F-5FFB-4967-B0B1-D6DB755812FE}">
      <text>
        <r>
          <rPr>
            <sz val="8"/>
            <color indexed="81"/>
            <rFont val="Tahoma"/>
            <family val="2"/>
          </rPr>
          <t xml:space="preserve">Blind Width          Maximum Cut Out Width
For 50mm/63mm PS/PS Privacy
222 - 254mm       50mm
255 - 379mm       75mm
 &gt; 380mm             130mm
</t>
        </r>
      </text>
    </comment>
    <comment ref="V35" authorId="1" shapeId="0" xr:uid="{DBFBB0FE-1916-4E26-BEEE-C8669CC5411C}">
      <text>
        <r>
          <rPr>
            <sz val="8"/>
            <color indexed="81"/>
            <rFont val="Tahoma"/>
            <family val="2"/>
          </rPr>
          <t>The Maximum m2 is 15m2.</t>
        </r>
      </text>
    </comment>
    <comment ref="D36" authorId="0" shapeId="0" xr:uid="{9A7E1EE7-B20B-46E2-BCB7-CC2515135C3A}">
      <text>
        <r>
          <rPr>
            <sz val="8"/>
            <color indexed="81"/>
            <rFont val="Tahoma"/>
            <family val="2"/>
          </rPr>
          <t>The Blade options are;
C Profile 60mm Blade C60
C Profile 80mm Blade C80
CR Profile 65mm Blade CR65
CR Profile 80mm Blade CR80
ZR Profile 105mm Blade ZR105</t>
        </r>
      </text>
    </comment>
    <comment ref="E36" authorId="0" shapeId="0" xr:uid="{2619990C-6685-4F2A-A688-5109B52AB87D}">
      <text>
        <r>
          <rPr>
            <sz val="8"/>
            <color indexed="81"/>
            <rFont val="Tahoma"/>
            <family val="2"/>
          </rPr>
          <t>The Blade Colour options are;
C Profile &amp; CR Profile;
Grey PWD 8
Silver PWD 6
ZR Profile;
Silver PWD 6</t>
        </r>
      </text>
    </comment>
    <comment ref="F36" authorId="1" shapeId="0" xr:uid="{BF07414A-5ED8-417E-A6FA-F56A9072661D}">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36" authorId="1" shapeId="0" xr:uid="{0578325F-6CF4-4443-95E3-4AC02A0C72C0}">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36" authorId="1" shapeId="0" xr:uid="{41CC1D2B-D3E4-45C3-B732-7A89E3CB6D8E}">
      <text>
        <r>
          <rPr>
            <sz val="8"/>
            <color indexed="81"/>
            <rFont val="Tahoma"/>
            <family val="2"/>
          </rPr>
          <t>When selecting a
Corner or Bay 
Window Type, 
the CMB Corner WS 
or the 
CMB Bay WS 
must be completed please.</t>
        </r>
      </text>
    </comment>
    <comment ref="I36" authorId="1" shapeId="0" xr:uid="{44173B2E-0798-4D56-95C0-1FA0F989D82F}">
      <text>
        <r>
          <rPr>
            <sz val="8"/>
            <color indexed="81"/>
            <rFont val="Tahoma"/>
            <family val="2"/>
          </rPr>
          <t>The Mounting options are;
Face Fit
Top Fit</t>
        </r>
      </text>
    </comment>
    <comment ref="J36" authorId="1" shapeId="0" xr:uid="{6DB7B9F9-54AD-4519-833E-2E539C52A18F}">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6" authorId="1" shapeId="0" xr:uid="{528756D8-263D-4DE5-9BB1-6652E16830EE}">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36" authorId="1" shapeId="0" xr:uid="{58450435-5A22-4BA6-A3AF-44C948C6E462}">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36" authorId="1" shapeId="0" xr:uid="{4196DE1C-BF88-42E3-8202-E451688D0ADE}">
      <text>
        <r>
          <rPr>
            <sz val="8"/>
            <color indexed="81"/>
            <rFont val="Tahoma"/>
            <family val="2"/>
          </rPr>
          <t>The Pelmet options are;
L Profile
U Profile
No Pelmet</t>
        </r>
      </text>
    </comment>
    <comment ref="O36" authorId="1" shapeId="0" xr:uid="{C4615CA1-F286-47F7-9944-EC498205D806}">
      <text>
        <r>
          <rPr>
            <sz val="8"/>
            <color indexed="81"/>
            <rFont val="Tahoma"/>
            <family val="2"/>
          </rPr>
          <t>Enter the Pelmet Height in mm.
The Heights are below;
Minimum Height 100mm 
Maximum Height 300mm</t>
        </r>
      </text>
    </comment>
    <comment ref="Q36" authorId="1" shapeId="0" xr:uid="{313C756F-6209-4374-9797-D59EBB267C82}">
      <text>
        <r>
          <rPr>
            <sz val="8"/>
            <color indexed="81"/>
            <rFont val="Tahoma"/>
            <family val="2"/>
          </rPr>
          <t>Enter the Pelmet Depth in mm.</t>
        </r>
      </text>
    </comment>
    <comment ref="S36" authorId="1" shapeId="0" xr:uid="{ED170FEF-CD02-4CED-A3A2-8918490F59F5}">
      <text>
        <r>
          <rPr>
            <sz val="8"/>
            <color indexed="81"/>
            <rFont val="Tahoma"/>
            <family val="2"/>
          </rPr>
          <t>Blind Width          Maximum Cut Out Width
For 50mm/63mm PS/PS Privacy
222 - 254mm       50mm
255 - 379mm       75mm
 &gt; 380mm             130mm</t>
        </r>
      </text>
    </comment>
    <comment ref="U36" authorId="1" shapeId="0" xr:uid="{C45749D8-00A4-4197-8F6A-E23838EF1FB2}">
      <text>
        <r>
          <rPr>
            <sz val="8"/>
            <color indexed="81"/>
            <rFont val="Tahoma"/>
            <family val="2"/>
          </rPr>
          <t xml:space="preserve">Blind Width          Maximum Cut Out Width
For 50mm/63mm PS/PS Privacy
222 - 254mm       50mm
255 - 379mm       75mm
 &gt; 380mm             130mm
</t>
        </r>
      </text>
    </comment>
    <comment ref="V36" authorId="1" shapeId="0" xr:uid="{C9D831D6-22F5-42CD-96F5-1E160705B6D8}">
      <text>
        <r>
          <rPr>
            <sz val="8"/>
            <color indexed="81"/>
            <rFont val="Tahoma"/>
            <family val="2"/>
          </rPr>
          <t>The Maximum m2 is 15m2.</t>
        </r>
      </text>
    </comment>
    <comment ref="D37" authorId="0" shapeId="0" xr:uid="{63016E09-EB2D-4D6D-A5E1-F482E46D88A1}">
      <text>
        <r>
          <rPr>
            <sz val="8"/>
            <color indexed="81"/>
            <rFont val="Tahoma"/>
            <family val="2"/>
          </rPr>
          <t>The Blade options are;
C Profile 60mm Blade C60
C Profile 80mm Blade C80
CR Profile 65mm Blade CR65
CR Profile 80mm Blade CR80
ZR Profile 105mm Blade ZR105</t>
        </r>
      </text>
    </comment>
    <comment ref="E37" authorId="0" shapeId="0" xr:uid="{ADFACCE4-2299-4C53-95E5-C3FA410B3CA6}">
      <text>
        <r>
          <rPr>
            <sz val="8"/>
            <color indexed="81"/>
            <rFont val="Tahoma"/>
            <family val="2"/>
          </rPr>
          <t>The Blade Colour options are;
C Profile &amp; CR Profile;
Grey PWD 8
Silver PWD 6
ZR Profile;
Silver PWD 6</t>
        </r>
      </text>
    </comment>
    <comment ref="F37" authorId="1" shapeId="0" xr:uid="{9D688348-996F-43B5-ADCF-7DCD124115E3}">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37" authorId="1" shapeId="0" xr:uid="{03475695-C125-45C5-B50A-BDD8D541ECFF}">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37" authorId="1" shapeId="0" xr:uid="{46C0F026-6E31-4225-B557-B9EC945C6605}">
      <text>
        <r>
          <rPr>
            <sz val="8"/>
            <color indexed="81"/>
            <rFont val="Tahoma"/>
            <family val="2"/>
          </rPr>
          <t>When selecting a
Corner or Bay 
Window Type, 
the CMB Corner WS 
or the 
CMB Bay WS 
must be completed please.</t>
        </r>
      </text>
    </comment>
    <comment ref="I37" authorId="1" shapeId="0" xr:uid="{B655825A-A98D-4B75-84B2-A9488CAB8AC6}">
      <text>
        <r>
          <rPr>
            <sz val="8"/>
            <color indexed="81"/>
            <rFont val="Tahoma"/>
            <family val="2"/>
          </rPr>
          <t>The Mounting options are;
Face Fit
Top Fit</t>
        </r>
      </text>
    </comment>
    <comment ref="J37" authorId="1" shapeId="0" xr:uid="{3F1C3E3E-03A3-4140-87DC-A55571A90971}">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7" authorId="1" shapeId="0" xr:uid="{4C93119F-790C-46AE-863C-D77C3901DEDE}">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37" authorId="1" shapeId="0" xr:uid="{36FCBEFE-B96B-4B9A-903D-36D2B9C7A6EB}">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37" authorId="1" shapeId="0" xr:uid="{7F73AFEE-76D5-45AE-B899-F2B328ABA473}">
      <text>
        <r>
          <rPr>
            <sz val="8"/>
            <color indexed="81"/>
            <rFont val="Tahoma"/>
            <family val="2"/>
          </rPr>
          <t>The Pelmet options are;
L Profile
U Profile
No Pelmet</t>
        </r>
      </text>
    </comment>
    <comment ref="O37" authorId="1" shapeId="0" xr:uid="{7EE36002-4266-4E91-AF40-7D9957B67033}">
      <text>
        <r>
          <rPr>
            <sz val="8"/>
            <color indexed="81"/>
            <rFont val="Tahoma"/>
            <family val="2"/>
          </rPr>
          <t>Enter the Pelmet Height in mm.
The Heights are below;
Minimum Height 100mm 
Maximum Height 300mm</t>
        </r>
      </text>
    </comment>
    <comment ref="Q37" authorId="1" shapeId="0" xr:uid="{C3BC2107-9E24-47F5-9587-35973CAC05F1}">
      <text>
        <r>
          <rPr>
            <sz val="8"/>
            <color indexed="81"/>
            <rFont val="Tahoma"/>
            <family val="2"/>
          </rPr>
          <t>Enter the Pelmet Depth in mm.</t>
        </r>
      </text>
    </comment>
    <comment ref="S37" authorId="1" shapeId="0" xr:uid="{D55F507A-D388-4107-BFBF-47310D97966C}">
      <text>
        <r>
          <rPr>
            <sz val="8"/>
            <color indexed="81"/>
            <rFont val="Tahoma"/>
            <family val="2"/>
          </rPr>
          <t>Blind Width          Maximum Cut Out Width
For 50mm/63mm PS/PS Privacy
222 - 254mm       50mm
255 - 379mm       75mm
 &gt; 380mm             130mm</t>
        </r>
      </text>
    </comment>
    <comment ref="U37" authorId="1" shapeId="0" xr:uid="{D48E65FE-2981-46F3-85E4-BBAC185D999D}">
      <text>
        <r>
          <rPr>
            <sz val="8"/>
            <color indexed="81"/>
            <rFont val="Tahoma"/>
            <family val="2"/>
          </rPr>
          <t xml:space="preserve">Blind Width          Maximum Cut Out Width
For 50mm/63mm PS/PS Privacy
222 - 254mm       50mm
255 - 379mm       75mm
 &gt; 380mm             130mm
</t>
        </r>
      </text>
    </comment>
    <comment ref="V37" authorId="1" shapeId="0" xr:uid="{B91FEC7A-3109-4FFF-84A0-747A37D51F14}">
      <text>
        <r>
          <rPr>
            <sz val="8"/>
            <color indexed="81"/>
            <rFont val="Tahoma"/>
            <family val="2"/>
          </rPr>
          <t>The Maximum m2 is 15m2.</t>
        </r>
      </text>
    </comment>
    <comment ref="D38" authorId="0" shapeId="0" xr:uid="{9543D96C-E30B-4FD7-8969-103A32D72FCA}">
      <text>
        <r>
          <rPr>
            <sz val="8"/>
            <color indexed="81"/>
            <rFont val="Tahoma"/>
            <family val="2"/>
          </rPr>
          <t>The Blade options are;
C Profile 60mm Blade C60
C Profile 80mm Blade C80
CR Profile 65mm Blade CR65
CR Profile 80mm Blade CR80
ZR Profile 105mm Blade ZR105</t>
        </r>
      </text>
    </comment>
    <comment ref="E38" authorId="0" shapeId="0" xr:uid="{BC81D1D4-0458-4BBA-9B69-96C8200A6C3A}">
      <text>
        <r>
          <rPr>
            <sz val="8"/>
            <color indexed="81"/>
            <rFont val="Tahoma"/>
            <family val="2"/>
          </rPr>
          <t>The Blade Colour options are;
C Profile &amp; CR Profile;
Grey PWD 8
Silver PWD 6
ZR Profile;
Silver PWD 6</t>
        </r>
      </text>
    </comment>
    <comment ref="F38" authorId="1" shapeId="0" xr:uid="{55E802F4-234C-4D5D-A82D-B29334FE510E}">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38" authorId="1" shapeId="0" xr:uid="{C3E12AE5-3186-4A8B-83DF-F172A17E7209}">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38" authorId="1" shapeId="0" xr:uid="{EFA877B6-D7E7-4B13-AD9C-DE210B8DD4FD}">
      <text>
        <r>
          <rPr>
            <sz val="8"/>
            <color indexed="81"/>
            <rFont val="Tahoma"/>
            <family val="2"/>
          </rPr>
          <t>When selecting a
Corner or Bay 
Window Type, 
the CMB Corner WS 
or the 
CMB Bay WS 
must be completed please.</t>
        </r>
      </text>
    </comment>
    <comment ref="I38" authorId="1" shapeId="0" xr:uid="{C5BB7754-D0D1-4129-A9A5-F90100683710}">
      <text>
        <r>
          <rPr>
            <sz val="8"/>
            <color indexed="81"/>
            <rFont val="Tahoma"/>
            <family val="2"/>
          </rPr>
          <t>The Mounting options are;
Face Fit
Top Fit</t>
        </r>
      </text>
    </comment>
    <comment ref="J38" authorId="1" shapeId="0" xr:uid="{741E91DF-D36E-46F9-81E3-0879CE80C807}">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8" authorId="1" shapeId="0" xr:uid="{616DDA75-3F88-4B2E-B262-53190BF1503F}">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38" authorId="1" shapeId="0" xr:uid="{87F80641-AFD5-4C8F-A7AF-ABE299C6D898}">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38" authorId="1" shapeId="0" xr:uid="{2E4BF3D8-E541-4889-9889-3D7A68AE5BA2}">
      <text>
        <r>
          <rPr>
            <sz val="8"/>
            <color indexed="81"/>
            <rFont val="Tahoma"/>
            <family val="2"/>
          </rPr>
          <t>The Pelmet options are;
L Profile
U Profile
No Pelmet</t>
        </r>
      </text>
    </comment>
    <comment ref="O38" authorId="1" shapeId="0" xr:uid="{0FA116F1-2C44-4387-8801-7796379D1232}">
      <text>
        <r>
          <rPr>
            <sz val="8"/>
            <color indexed="81"/>
            <rFont val="Tahoma"/>
            <family val="2"/>
          </rPr>
          <t>Enter the Pelmet Height in mm.
The Heights are below;
Minimum Height 100mm 
Maximum Height 300mm</t>
        </r>
      </text>
    </comment>
    <comment ref="Q38" authorId="1" shapeId="0" xr:uid="{1F18326A-6D3C-40DF-BC99-A6B320C8898F}">
      <text>
        <r>
          <rPr>
            <sz val="8"/>
            <color indexed="81"/>
            <rFont val="Tahoma"/>
            <family val="2"/>
          </rPr>
          <t>Enter the Pelmet Depth in mm.</t>
        </r>
      </text>
    </comment>
    <comment ref="S38" authorId="1" shapeId="0" xr:uid="{6FA8D1FC-E7F5-4C49-82F3-B4C55447F97B}">
      <text>
        <r>
          <rPr>
            <sz val="8"/>
            <color indexed="81"/>
            <rFont val="Tahoma"/>
            <family val="2"/>
          </rPr>
          <t>Blind Width          Maximum Cut Out Width
For 50mm/63mm PS/PS Privacy
222 - 254mm       50mm
255 - 379mm       75mm
 &gt; 380mm             130mm</t>
        </r>
      </text>
    </comment>
    <comment ref="U38" authorId="1" shapeId="0" xr:uid="{1DEA7BA8-B206-41DE-B629-CF38EFDA591F}">
      <text>
        <r>
          <rPr>
            <sz val="8"/>
            <color indexed="81"/>
            <rFont val="Tahoma"/>
            <family val="2"/>
          </rPr>
          <t xml:space="preserve">Blind Width          Maximum Cut Out Width
For 50mm/63mm PS/PS Privacy
222 - 254mm       50mm
255 - 379mm       75mm
 &gt; 380mm             130mm
</t>
        </r>
      </text>
    </comment>
    <comment ref="V38" authorId="1" shapeId="0" xr:uid="{09CA5A04-8E23-4EB2-95C5-9FB4700027A6}">
      <text>
        <r>
          <rPr>
            <sz val="8"/>
            <color indexed="81"/>
            <rFont val="Tahoma"/>
            <family val="2"/>
          </rPr>
          <t>The Maximum m2 is 15m2.</t>
        </r>
      </text>
    </comment>
    <comment ref="D39" authorId="0" shapeId="0" xr:uid="{5C937A8E-F523-4057-B620-A3E8181AAFE5}">
      <text>
        <r>
          <rPr>
            <sz val="8"/>
            <color indexed="81"/>
            <rFont val="Tahoma"/>
            <family val="2"/>
          </rPr>
          <t>The Blade options are;
C Profile 60mm Blade C60
C Profile 80mm Blade C80
CR Profile 65mm Blade CR65
CR Profile 80mm Blade CR80
ZR Profile 105mm Blade ZR105</t>
        </r>
      </text>
    </comment>
    <comment ref="E39" authorId="0" shapeId="0" xr:uid="{92F213B5-6E78-4598-A727-A9ED005F11E7}">
      <text>
        <r>
          <rPr>
            <sz val="8"/>
            <color indexed="81"/>
            <rFont val="Tahoma"/>
            <family val="2"/>
          </rPr>
          <t>The Blade Colour options are;
C Profile &amp; CR Profile;
Grey PWD 8
Silver PWD 6
ZR Profile;
Silver PWD 6</t>
        </r>
      </text>
    </comment>
    <comment ref="F39" authorId="1" shapeId="0" xr:uid="{42A57F07-D566-4C89-9CEE-FF6763E4011A}">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39" authorId="1" shapeId="0" xr:uid="{F2F94BCB-9FA6-4C6C-8C5B-FEF9B9158085}">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39" authorId="1" shapeId="0" xr:uid="{91BB9464-1157-48E9-ACE7-30F8661C70FC}">
      <text>
        <r>
          <rPr>
            <sz val="8"/>
            <color indexed="81"/>
            <rFont val="Tahoma"/>
            <family val="2"/>
          </rPr>
          <t>When selecting a
Corner or Bay 
Window Type, 
the CMB Corner WS 
or the 
CMB Bay WS 
must be completed please.</t>
        </r>
      </text>
    </comment>
    <comment ref="I39" authorId="1" shapeId="0" xr:uid="{313ECB0A-D464-4E81-A349-66E705ECD622}">
      <text>
        <r>
          <rPr>
            <sz val="8"/>
            <color indexed="81"/>
            <rFont val="Tahoma"/>
            <family val="2"/>
          </rPr>
          <t>The Mounting options are;
Face Fit
Top Fit</t>
        </r>
      </text>
    </comment>
    <comment ref="J39" authorId="1" shapeId="0" xr:uid="{3637ABDE-333B-4EAD-A7AD-C4C1AABBFFBB}">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9" authorId="1" shapeId="0" xr:uid="{C05871F4-A044-417B-8AF3-20371F83110B}">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39" authorId="1" shapeId="0" xr:uid="{3624776E-E57C-4098-8DD1-1E2C6571DC14}">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39" authorId="1" shapeId="0" xr:uid="{F212F022-8A56-4C81-8CC9-50BE8AEEBD29}">
      <text>
        <r>
          <rPr>
            <sz val="8"/>
            <color indexed="81"/>
            <rFont val="Tahoma"/>
            <family val="2"/>
          </rPr>
          <t>The Pelmet options are;
L Profile
U Profile
No Pelmet</t>
        </r>
      </text>
    </comment>
    <comment ref="O39" authorId="1" shapeId="0" xr:uid="{CB147A98-BFC0-4BBF-97AD-5782BCFA0C1C}">
      <text>
        <r>
          <rPr>
            <sz val="8"/>
            <color indexed="81"/>
            <rFont val="Tahoma"/>
            <family val="2"/>
          </rPr>
          <t>Enter the Pelmet Height in mm.
The Heights are below;
Minimum Height 100mm 
Maximum Height 300mm</t>
        </r>
      </text>
    </comment>
    <comment ref="Q39" authorId="1" shapeId="0" xr:uid="{1DAA5710-864F-4E61-ACE9-3DD5650BF24E}">
      <text>
        <r>
          <rPr>
            <sz val="8"/>
            <color indexed="81"/>
            <rFont val="Tahoma"/>
            <family val="2"/>
          </rPr>
          <t>Enter the Pelmet Depth in mm.</t>
        </r>
      </text>
    </comment>
    <comment ref="S39" authorId="1" shapeId="0" xr:uid="{46830621-ADFE-4179-BBEC-D8D6B40B912E}">
      <text>
        <r>
          <rPr>
            <sz val="8"/>
            <color indexed="81"/>
            <rFont val="Tahoma"/>
            <family val="2"/>
          </rPr>
          <t>Blind Width          Maximum Cut Out Width
For 50mm/63mm PS/PS Privacy
222 - 254mm       50mm
255 - 379mm       75mm
 &gt; 380mm             130mm</t>
        </r>
      </text>
    </comment>
    <comment ref="U39" authorId="1" shapeId="0" xr:uid="{6B6009C0-E4F7-4487-AB12-3845D81E39C5}">
      <text>
        <r>
          <rPr>
            <sz val="8"/>
            <color indexed="81"/>
            <rFont val="Tahoma"/>
            <family val="2"/>
          </rPr>
          <t xml:space="preserve">Blind Width          Maximum Cut Out Width
For 50mm/63mm PS/PS Privacy
222 - 254mm       50mm
255 - 379mm       75mm
 &gt; 380mm             130mm
</t>
        </r>
      </text>
    </comment>
    <comment ref="V39" authorId="1" shapeId="0" xr:uid="{3E001321-EC24-41E8-A242-89CAE809B8FE}">
      <text>
        <r>
          <rPr>
            <sz val="8"/>
            <color indexed="81"/>
            <rFont val="Tahoma"/>
            <family val="2"/>
          </rPr>
          <t>The Maximum m2 is 15m2.</t>
        </r>
      </text>
    </comment>
    <comment ref="D40" authorId="0" shapeId="0" xr:uid="{1670D5ED-B203-4922-AD7E-D47873B550C8}">
      <text>
        <r>
          <rPr>
            <sz val="8"/>
            <color indexed="81"/>
            <rFont val="Tahoma"/>
            <family val="2"/>
          </rPr>
          <t>The Blade options are;
C Profile 60mm Blade C60
C Profile 80mm Blade C80
CR Profile 65mm Blade CR65
CR Profile 80mm Blade CR80
ZR Profile 105mm Blade ZR105</t>
        </r>
      </text>
    </comment>
    <comment ref="E40" authorId="0" shapeId="0" xr:uid="{53B5C3D1-8DB3-4C51-BB12-5D24B7012F5F}">
      <text>
        <r>
          <rPr>
            <sz val="8"/>
            <color indexed="81"/>
            <rFont val="Tahoma"/>
            <family val="2"/>
          </rPr>
          <t>The Blade Colour options are;
C Profile &amp; CR Profile;
Grey PWD 8
Silver PWD 6
ZR Profile;
Silver PWD 6</t>
        </r>
      </text>
    </comment>
    <comment ref="F40" authorId="1" shapeId="0" xr:uid="{AB6ADEE0-4900-4D20-91B5-2A3AF8B5DE81}">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40" authorId="1" shapeId="0" xr:uid="{807CF2AE-795A-480D-84E5-5C261BFCF6A3}">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40" authorId="1" shapeId="0" xr:uid="{EC17502C-B01E-4319-A9AD-7347CB2C4D46}">
      <text>
        <r>
          <rPr>
            <sz val="8"/>
            <color indexed="81"/>
            <rFont val="Tahoma"/>
            <family val="2"/>
          </rPr>
          <t>When selecting a
Corner or Bay 
Window Type, 
the CMB Corner WS 
or the 
CMB Bay WS 
must be completed please.</t>
        </r>
      </text>
    </comment>
    <comment ref="I40" authorId="1" shapeId="0" xr:uid="{C6F6AF36-BE60-468E-9D62-C2C74F7F44B6}">
      <text>
        <r>
          <rPr>
            <sz val="8"/>
            <color indexed="81"/>
            <rFont val="Tahoma"/>
            <family val="2"/>
          </rPr>
          <t>The Mounting options are;
Face Fit
Top Fit</t>
        </r>
      </text>
    </comment>
    <comment ref="J40" authorId="1" shapeId="0" xr:uid="{AD0E4C76-AF86-40EF-A2EA-68F411152F4B}">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0" authorId="1" shapeId="0" xr:uid="{0326BB19-CB80-49FB-92F0-2E6CC419CDBF}">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40" authorId="1" shapeId="0" xr:uid="{1365F787-9F41-472E-B84C-F369BD69221D}">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40" authorId="1" shapeId="0" xr:uid="{DC058FF6-6BDA-4E37-9427-4B65D1FB51C1}">
      <text>
        <r>
          <rPr>
            <sz val="8"/>
            <color indexed="81"/>
            <rFont val="Tahoma"/>
            <family val="2"/>
          </rPr>
          <t>The Pelmet options are;
L Profile
U Profile
No Pelmet</t>
        </r>
      </text>
    </comment>
    <comment ref="O40" authorId="1" shapeId="0" xr:uid="{555A6334-7EC3-47FF-B6F6-444B94798FE6}">
      <text>
        <r>
          <rPr>
            <sz val="8"/>
            <color indexed="81"/>
            <rFont val="Tahoma"/>
            <family val="2"/>
          </rPr>
          <t>Enter the Pelmet Height in mm.
The Heights are below;
Minimum Height 100mm 
Maximum Height 300mm</t>
        </r>
      </text>
    </comment>
    <comment ref="Q40" authorId="1" shapeId="0" xr:uid="{F3AE2433-8524-4468-8EE7-784F73CDD46D}">
      <text>
        <r>
          <rPr>
            <sz val="8"/>
            <color indexed="81"/>
            <rFont val="Tahoma"/>
            <family val="2"/>
          </rPr>
          <t>Enter the Pelmet Depth in mm.</t>
        </r>
      </text>
    </comment>
    <comment ref="S40" authorId="1" shapeId="0" xr:uid="{FBBE3729-C96E-4DC8-B584-17F836BDBD3D}">
      <text>
        <r>
          <rPr>
            <sz val="8"/>
            <color indexed="81"/>
            <rFont val="Tahoma"/>
            <family val="2"/>
          </rPr>
          <t>Blind Width          Maximum Cut Out Width
For 50mm/63mm PS/PS Privacy
222 - 254mm       50mm
255 - 379mm       75mm
 &gt; 380mm             130mm</t>
        </r>
      </text>
    </comment>
    <comment ref="U40" authorId="1" shapeId="0" xr:uid="{76F54E67-EE39-4B01-8B11-7F8D25CB8996}">
      <text>
        <r>
          <rPr>
            <sz val="8"/>
            <color indexed="81"/>
            <rFont val="Tahoma"/>
            <family val="2"/>
          </rPr>
          <t xml:space="preserve">Blind Width          Maximum Cut Out Width
For 50mm/63mm PS/PS Privacy
222 - 254mm       50mm
255 - 379mm       75mm
 &gt; 380mm             130mm
</t>
        </r>
      </text>
    </comment>
    <comment ref="V40" authorId="1" shapeId="0" xr:uid="{893A56E1-37D7-4066-8333-79494C184B8A}">
      <text>
        <r>
          <rPr>
            <sz val="8"/>
            <color indexed="81"/>
            <rFont val="Tahoma"/>
            <family val="2"/>
          </rPr>
          <t>The Maximum m2 is 15m2.</t>
        </r>
      </text>
    </comment>
    <comment ref="D41" authorId="0" shapeId="0" xr:uid="{E006D475-FF35-4644-9F19-BFD5E8D2692E}">
      <text>
        <r>
          <rPr>
            <sz val="8"/>
            <color indexed="81"/>
            <rFont val="Tahoma"/>
            <family val="2"/>
          </rPr>
          <t>The Blade options are;
C Profile 60mm Blade C60
C Profile 80mm Blade C80
CR Profile 65mm Blade CR65
CR Profile 80mm Blade CR80
ZR Profile 105mm Blade ZR105</t>
        </r>
      </text>
    </comment>
    <comment ref="E41" authorId="0" shapeId="0" xr:uid="{1A516A8A-9204-431D-BBFE-81F14D7FBC3B}">
      <text>
        <r>
          <rPr>
            <sz val="8"/>
            <color indexed="81"/>
            <rFont val="Tahoma"/>
            <family val="2"/>
          </rPr>
          <t>The Blade Colour options are;
C Profile &amp; CR Profile;
Grey PWD 8
Silver PWD 6
ZR Profile;
Silver PWD 6</t>
        </r>
      </text>
    </comment>
    <comment ref="F41" authorId="1" shapeId="0" xr:uid="{16665EB6-5C6B-43F6-9D1A-199EB178E401}">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41" authorId="1" shapeId="0" xr:uid="{D160C3FC-59F5-4844-9017-313B2F5B7040}">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41" authorId="1" shapeId="0" xr:uid="{0FFE57A8-B9E5-40FC-B682-7C4F49492436}">
      <text>
        <r>
          <rPr>
            <sz val="8"/>
            <color indexed="81"/>
            <rFont val="Tahoma"/>
            <family val="2"/>
          </rPr>
          <t>When selecting a
Corner or Bay 
Window Type, 
the CMB Corner WS 
or the 
CMB Bay WS 
must be completed please.</t>
        </r>
      </text>
    </comment>
    <comment ref="I41" authorId="1" shapeId="0" xr:uid="{FFB7F5C4-D3E4-4DCE-88D9-3C73025D1024}">
      <text>
        <r>
          <rPr>
            <sz val="8"/>
            <color indexed="81"/>
            <rFont val="Tahoma"/>
            <family val="2"/>
          </rPr>
          <t>The Mounting options are;
Face Fit
Top Fit</t>
        </r>
      </text>
    </comment>
    <comment ref="J41" authorId="1" shapeId="0" xr:uid="{725A96E8-B8F6-4944-A8F7-1B34342AAA43}">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1" authorId="1" shapeId="0" xr:uid="{18DFE395-091A-4C30-9C44-55A9EF0CA144}">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41" authorId="1" shapeId="0" xr:uid="{20F026D9-63D1-4957-B284-08A2D292DD5A}">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41" authorId="1" shapeId="0" xr:uid="{12DE622D-1089-4236-89B9-57B6B7754320}">
      <text>
        <r>
          <rPr>
            <sz val="8"/>
            <color indexed="81"/>
            <rFont val="Tahoma"/>
            <family val="2"/>
          </rPr>
          <t>The Pelmet options are;
L Profile
U Profile
No Pelmet</t>
        </r>
      </text>
    </comment>
    <comment ref="O41" authorId="1" shapeId="0" xr:uid="{AB452F29-F986-4D38-A3D7-5729A66DEB7F}">
      <text>
        <r>
          <rPr>
            <sz val="8"/>
            <color indexed="81"/>
            <rFont val="Tahoma"/>
            <family val="2"/>
          </rPr>
          <t>Enter the Pelmet Height in mm.
The Heights are below;
Minimum Height 100mm 
Maximum Height 300mm</t>
        </r>
      </text>
    </comment>
    <comment ref="Q41" authorId="1" shapeId="0" xr:uid="{3A33D4AB-AB76-4895-B703-0270544B4A93}">
      <text>
        <r>
          <rPr>
            <sz val="8"/>
            <color indexed="81"/>
            <rFont val="Tahoma"/>
            <family val="2"/>
          </rPr>
          <t>Enter the Pelmet Depth in mm.</t>
        </r>
      </text>
    </comment>
    <comment ref="S41" authorId="1" shapeId="0" xr:uid="{F974B95B-CF66-4FB1-BE01-49D1D6D177D7}">
      <text>
        <r>
          <rPr>
            <sz val="8"/>
            <color indexed="81"/>
            <rFont val="Tahoma"/>
            <family val="2"/>
          </rPr>
          <t>Blind Width          Maximum Cut Out Width
For 50mm/63mm PS/PS Privacy
222 - 254mm       50mm
255 - 379mm       75mm
 &gt; 380mm             130mm</t>
        </r>
      </text>
    </comment>
    <comment ref="U41" authorId="1" shapeId="0" xr:uid="{8C7658AA-7EDF-4EBD-B845-CAE4CB900A91}">
      <text>
        <r>
          <rPr>
            <sz val="8"/>
            <color indexed="81"/>
            <rFont val="Tahoma"/>
            <family val="2"/>
          </rPr>
          <t xml:space="preserve">Blind Width          Maximum Cut Out Width
For 50mm/63mm PS/PS Privacy
222 - 254mm       50mm
255 - 379mm       75mm
 &gt; 380mm             130mm
</t>
        </r>
      </text>
    </comment>
    <comment ref="V41" authorId="1" shapeId="0" xr:uid="{11E8C440-A453-48A0-9E24-943DBD545C46}">
      <text>
        <r>
          <rPr>
            <sz val="8"/>
            <color indexed="81"/>
            <rFont val="Tahoma"/>
            <family val="2"/>
          </rPr>
          <t>The Maximum m2 is 15m2.</t>
        </r>
      </text>
    </comment>
    <comment ref="D42" authorId="0" shapeId="0" xr:uid="{03620982-902D-4A9D-AB5A-0CC798D153C4}">
      <text>
        <r>
          <rPr>
            <sz val="8"/>
            <color indexed="81"/>
            <rFont val="Tahoma"/>
            <family val="2"/>
          </rPr>
          <t>The Blade options are;
C Profile 60mm Blade C60
C Profile 80mm Blade C80
CR Profile 65mm Blade CR65
CR Profile 80mm Blade CR80
ZR Profile 105mm Blade ZR105</t>
        </r>
      </text>
    </comment>
    <comment ref="E42" authorId="0" shapeId="0" xr:uid="{F8174327-4E62-4741-92F8-3CECA56AD405}">
      <text>
        <r>
          <rPr>
            <sz val="8"/>
            <color indexed="81"/>
            <rFont val="Tahoma"/>
            <family val="2"/>
          </rPr>
          <t>The Blade Colour options are;
C Profile &amp; CR Profile;
Grey PWD 8
Silver PWD 6
ZR Profile;
Silver PWD 6</t>
        </r>
      </text>
    </comment>
    <comment ref="F42" authorId="1" shapeId="0" xr:uid="{8DBBCDF6-53EF-4628-8340-79703BFED7C5}">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42" authorId="1" shapeId="0" xr:uid="{777C0C4F-71BC-477D-A961-879C375FDA63}">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42" authorId="1" shapeId="0" xr:uid="{FCF8C5BB-E31D-4601-9F6C-80B0E3D86F74}">
      <text>
        <r>
          <rPr>
            <sz val="8"/>
            <color indexed="81"/>
            <rFont val="Tahoma"/>
            <family val="2"/>
          </rPr>
          <t>When selecting a
Corner or Bay 
Window Type, 
the CMB Corner WS 
or the 
CMB Bay WS 
must be completed please.</t>
        </r>
      </text>
    </comment>
    <comment ref="I42" authorId="1" shapeId="0" xr:uid="{693D022A-DF27-4E60-8982-7786335F0A70}">
      <text>
        <r>
          <rPr>
            <sz val="8"/>
            <color indexed="81"/>
            <rFont val="Tahoma"/>
            <family val="2"/>
          </rPr>
          <t>The Mounting options are;
Face Fit
Top Fit</t>
        </r>
      </text>
    </comment>
    <comment ref="J42" authorId="1" shapeId="0" xr:uid="{336733CA-0B2A-45E1-99F6-F4F40C05B8F0}">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2" authorId="1" shapeId="0" xr:uid="{B925FBE8-C19B-4DE3-91A0-3015E39A3217}">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42" authorId="1" shapeId="0" xr:uid="{9F6E5E52-5938-457C-B27B-B74ABDEA9D44}">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42" authorId="1" shapeId="0" xr:uid="{1A69A1C2-A323-4BAC-9ECF-CAB29AC0F1BA}">
      <text>
        <r>
          <rPr>
            <sz val="8"/>
            <color indexed="81"/>
            <rFont val="Tahoma"/>
            <family val="2"/>
          </rPr>
          <t>The Pelmet options are;
L Profile
U Profile
No Pelmet</t>
        </r>
      </text>
    </comment>
    <comment ref="O42" authorId="1" shapeId="0" xr:uid="{8454D7CC-2E78-4B3F-883B-84B387E4139F}">
      <text>
        <r>
          <rPr>
            <sz val="8"/>
            <color indexed="81"/>
            <rFont val="Tahoma"/>
            <family val="2"/>
          </rPr>
          <t>Enter the Pelmet Height in mm.
The Heights are below;
Minimum Height 100mm 
Maximum Height 300mm</t>
        </r>
      </text>
    </comment>
    <comment ref="Q42" authorId="1" shapeId="0" xr:uid="{325A37BC-319B-4EDB-ACBB-A304F5CFC551}">
      <text>
        <r>
          <rPr>
            <sz val="8"/>
            <color indexed="81"/>
            <rFont val="Tahoma"/>
            <family val="2"/>
          </rPr>
          <t>Enter the Pelmet Depth in mm.</t>
        </r>
      </text>
    </comment>
    <comment ref="S42" authorId="1" shapeId="0" xr:uid="{936A6EF4-DB68-41BE-9EFD-E6AA261EBFD3}">
      <text>
        <r>
          <rPr>
            <sz val="8"/>
            <color indexed="81"/>
            <rFont val="Tahoma"/>
            <family val="2"/>
          </rPr>
          <t>Blind Width          Maximum Cut Out Width
For 50mm/63mm PS/PS Privacy
222 - 254mm       50mm
255 - 379mm       75mm
 &gt; 380mm             130mm</t>
        </r>
      </text>
    </comment>
    <comment ref="U42" authorId="1" shapeId="0" xr:uid="{43098AA9-E90B-41B7-A4F4-802BF5468C3C}">
      <text>
        <r>
          <rPr>
            <sz val="8"/>
            <color indexed="81"/>
            <rFont val="Tahoma"/>
            <family val="2"/>
          </rPr>
          <t xml:space="preserve">Blind Width          Maximum Cut Out Width
For 50mm/63mm PS/PS Privacy
222 - 254mm       50mm
255 - 379mm       75mm
 &gt; 380mm             130mm
</t>
        </r>
      </text>
    </comment>
    <comment ref="V42" authorId="1" shapeId="0" xr:uid="{462B1B1F-1F78-4108-A6B9-D5DE17CAB081}">
      <text>
        <r>
          <rPr>
            <sz val="8"/>
            <color indexed="81"/>
            <rFont val="Tahoma"/>
            <family val="2"/>
          </rPr>
          <t>The Maximum m2 is 15m2.</t>
        </r>
      </text>
    </comment>
    <comment ref="D43" authorId="0" shapeId="0" xr:uid="{842008BF-E491-492F-A616-53ED2FCC062C}">
      <text>
        <r>
          <rPr>
            <sz val="8"/>
            <color indexed="81"/>
            <rFont val="Tahoma"/>
            <family val="2"/>
          </rPr>
          <t>The Blade options are;
C Profile 60mm Blade C60
C Profile 80mm Blade C80
CR Profile 65mm Blade CR65
CR Profile 80mm Blade CR80
ZR Profile 105mm Blade ZR105</t>
        </r>
      </text>
    </comment>
    <comment ref="E43" authorId="0" shapeId="0" xr:uid="{18BB7F48-4815-4120-8920-686640F6B5E3}">
      <text>
        <r>
          <rPr>
            <sz val="8"/>
            <color indexed="81"/>
            <rFont val="Tahoma"/>
            <family val="2"/>
          </rPr>
          <t>The Blade Colour options are;
C Profile &amp; CR Profile;
Grey PWD 8
Silver PWD 6
ZR Profile;
Silver PWD 6</t>
        </r>
      </text>
    </comment>
    <comment ref="F43" authorId="1" shapeId="0" xr:uid="{A9115908-1D43-46CC-9F61-9E13CC773F3B}">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43" authorId="1" shapeId="0" xr:uid="{9FCB02D6-0880-4BC4-9B05-DCE622DE59AC}">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43" authorId="1" shapeId="0" xr:uid="{BC7CA7E6-0BD0-4920-B610-03DE83BE2D35}">
      <text>
        <r>
          <rPr>
            <sz val="8"/>
            <color indexed="81"/>
            <rFont val="Tahoma"/>
            <family val="2"/>
          </rPr>
          <t>When selecting a
Corner or Bay 
Window Type, 
the CMB Corner WS 
or the 
CMB Bay WS 
must be completed please.</t>
        </r>
      </text>
    </comment>
    <comment ref="I43" authorId="1" shapeId="0" xr:uid="{68BEDCDC-9BEA-4191-A69C-E315D9EC6DBC}">
      <text>
        <r>
          <rPr>
            <sz val="8"/>
            <color indexed="81"/>
            <rFont val="Tahoma"/>
            <family val="2"/>
          </rPr>
          <t>The Mounting options are;
Face Fit
Top Fit</t>
        </r>
      </text>
    </comment>
    <comment ref="J43" authorId="1" shapeId="0" xr:uid="{BDB5F2D1-BBA3-470E-A334-A17BE1B2E964}">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3" authorId="1" shapeId="0" xr:uid="{6EB34484-F8CB-4D16-90E0-BA3B0945905C}">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43" authorId="1" shapeId="0" xr:uid="{8F4DC39F-0EC1-4783-B3BC-922F2BA80537}">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43" authorId="1" shapeId="0" xr:uid="{E0A7BCBE-20C2-4CB1-85B7-C12EA1FB7B93}">
      <text>
        <r>
          <rPr>
            <sz val="8"/>
            <color indexed="81"/>
            <rFont val="Tahoma"/>
            <family val="2"/>
          </rPr>
          <t>The Pelmet options are;
L Profile
U Profile
No Pelmet</t>
        </r>
      </text>
    </comment>
    <comment ref="O43" authorId="1" shapeId="0" xr:uid="{0935324B-842A-479D-9BA5-A8BFEC455F91}">
      <text>
        <r>
          <rPr>
            <sz val="8"/>
            <color indexed="81"/>
            <rFont val="Tahoma"/>
            <family val="2"/>
          </rPr>
          <t>Enter the Pelmet Height in mm.
The Heights are below;
Minimum Height 100mm 
Maximum Height 300mm</t>
        </r>
      </text>
    </comment>
    <comment ref="Q43" authorId="1" shapeId="0" xr:uid="{1405DD5E-6B91-4218-9F1E-1AB3EB776835}">
      <text>
        <r>
          <rPr>
            <sz val="8"/>
            <color indexed="81"/>
            <rFont val="Tahoma"/>
            <family val="2"/>
          </rPr>
          <t>Enter the Pelmet Depth in mm.</t>
        </r>
      </text>
    </comment>
    <comment ref="S43" authorId="1" shapeId="0" xr:uid="{60B8C2E8-28CB-4098-A6DC-8952BBDF6D59}">
      <text>
        <r>
          <rPr>
            <sz val="8"/>
            <color indexed="81"/>
            <rFont val="Tahoma"/>
            <family val="2"/>
          </rPr>
          <t>Blind Width          Maximum Cut Out Width
For 50mm/63mm PS/PS Privacy
222 - 254mm       50mm
255 - 379mm       75mm
 &gt; 380mm             130mm</t>
        </r>
      </text>
    </comment>
    <comment ref="U43" authorId="1" shapeId="0" xr:uid="{2E3125EB-967F-4449-8332-BE5968A79556}">
      <text>
        <r>
          <rPr>
            <sz val="8"/>
            <color indexed="81"/>
            <rFont val="Tahoma"/>
            <family val="2"/>
          </rPr>
          <t xml:space="preserve">Blind Width          Maximum Cut Out Width
For 50mm/63mm PS/PS Privacy
222 - 254mm       50mm
255 - 379mm       75mm
 &gt; 380mm             130mm
</t>
        </r>
      </text>
    </comment>
    <comment ref="V43" authorId="1" shapeId="0" xr:uid="{A94E49B0-0058-4E87-A143-7676B4F94CF8}">
      <text>
        <r>
          <rPr>
            <sz val="8"/>
            <color indexed="81"/>
            <rFont val="Tahoma"/>
            <family val="2"/>
          </rPr>
          <t>The Maximum m2 is 15m2.</t>
        </r>
      </text>
    </comment>
    <comment ref="D44" authorId="0" shapeId="0" xr:uid="{63098775-6F19-473E-8FAE-F5B995946E3D}">
      <text>
        <r>
          <rPr>
            <sz val="8"/>
            <color indexed="81"/>
            <rFont val="Tahoma"/>
            <family val="2"/>
          </rPr>
          <t>The Blade options are;
C Profile 60mm Blade C60
C Profile 80mm Blade C80
CR Profile 65mm Blade CR65
CR Profile 80mm Blade CR80
ZR Profile 105mm Blade ZR105</t>
        </r>
      </text>
    </comment>
    <comment ref="E44" authorId="0" shapeId="0" xr:uid="{6B49BB7A-5A0B-4EAD-B79A-2EE7487AF128}">
      <text>
        <r>
          <rPr>
            <sz val="8"/>
            <color indexed="81"/>
            <rFont val="Tahoma"/>
            <family val="2"/>
          </rPr>
          <t>The Blade Colour options are;
C Profile &amp; CR Profile;
Grey PWD 8
Silver PWD 6
ZR Profile;
Silver PWD 6</t>
        </r>
      </text>
    </comment>
    <comment ref="F44" authorId="1" shapeId="0" xr:uid="{01447DAA-AE31-41F7-919E-D89700EC4680}">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44" authorId="1" shapeId="0" xr:uid="{268A143F-0564-4082-A066-0AAB793C52E7}">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44" authorId="1" shapeId="0" xr:uid="{0D06DE6F-58F3-40A8-B3F7-7373D2F094DA}">
      <text>
        <r>
          <rPr>
            <sz val="8"/>
            <color indexed="81"/>
            <rFont val="Tahoma"/>
            <family val="2"/>
          </rPr>
          <t>When selecting a
Corner or Bay 
Window Type, 
the CMB Corner WS 
or the 
CMB Bay WS 
must be completed please.</t>
        </r>
      </text>
    </comment>
    <comment ref="I44" authorId="1" shapeId="0" xr:uid="{B3C4458E-062C-4C99-AA21-629086B3E3FD}">
      <text>
        <r>
          <rPr>
            <sz val="8"/>
            <color indexed="81"/>
            <rFont val="Tahoma"/>
            <family val="2"/>
          </rPr>
          <t>The Mounting options are;
Face Fit
Top Fit</t>
        </r>
      </text>
    </comment>
    <comment ref="J44" authorId="1" shapeId="0" xr:uid="{FFB156AE-06AA-4118-B563-68ADCE7C3B01}">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4" authorId="1" shapeId="0" xr:uid="{BA48B14A-4F24-4322-8BC5-3A7B8D26D3E2}">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44" authorId="1" shapeId="0" xr:uid="{320DA597-5FB4-431F-A077-7E3DB9ED2D94}">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44" authorId="1" shapeId="0" xr:uid="{9193E338-66B4-46CB-85B0-CE98C1EEC278}">
      <text>
        <r>
          <rPr>
            <sz val="8"/>
            <color indexed="81"/>
            <rFont val="Tahoma"/>
            <family val="2"/>
          </rPr>
          <t>The Pelmet options are;
L Profile
U Profile
No Pelmet</t>
        </r>
      </text>
    </comment>
    <comment ref="O44" authorId="1" shapeId="0" xr:uid="{A3EB169E-E473-473C-B21D-32C7FDC52628}">
      <text>
        <r>
          <rPr>
            <sz val="8"/>
            <color indexed="81"/>
            <rFont val="Tahoma"/>
            <family val="2"/>
          </rPr>
          <t>Enter the Pelmet Height in mm.
The Heights are below;
Minimum Height 100mm 
Maximum Height 300mm</t>
        </r>
      </text>
    </comment>
    <comment ref="Q44" authorId="1" shapeId="0" xr:uid="{EB00577D-5F82-4CCF-8E35-E7E509218645}">
      <text>
        <r>
          <rPr>
            <sz val="8"/>
            <color indexed="81"/>
            <rFont val="Tahoma"/>
            <family val="2"/>
          </rPr>
          <t>Enter the Pelmet Depth in mm.</t>
        </r>
      </text>
    </comment>
    <comment ref="S44" authorId="1" shapeId="0" xr:uid="{BE7C2AFB-387C-438B-BD57-3528637824E9}">
      <text>
        <r>
          <rPr>
            <sz val="8"/>
            <color indexed="81"/>
            <rFont val="Tahoma"/>
            <family val="2"/>
          </rPr>
          <t>Blind Width          Maximum Cut Out Width
For 50mm/63mm PS/PS Privacy
222 - 254mm       50mm
255 - 379mm       75mm
 &gt; 380mm             130mm</t>
        </r>
      </text>
    </comment>
    <comment ref="U44" authorId="1" shapeId="0" xr:uid="{4D4EDD2C-5870-4DE7-8A7B-75135C11D74F}">
      <text>
        <r>
          <rPr>
            <sz val="8"/>
            <color indexed="81"/>
            <rFont val="Tahoma"/>
            <family val="2"/>
          </rPr>
          <t xml:space="preserve">Blind Width          Maximum Cut Out Width
For 50mm/63mm PS/PS Privacy
222 - 254mm       50mm
255 - 379mm       75mm
 &gt; 380mm             130mm
</t>
        </r>
      </text>
    </comment>
    <comment ref="V44" authorId="1" shapeId="0" xr:uid="{EE08594B-14AE-4156-B92F-1E3AF230D993}">
      <text>
        <r>
          <rPr>
            <sz val="8"/>
            <color indexed="81"/>
            <rFont val="Tahoma"/>
            <family val="2"/>
          </rPr>
          <t>The Maximum m2 is 15m2.</t>
        </r>
      </text>
    </comment>
    <comment ref="D45" authorId="0" shapeId="0" xr:uid="{3A54F786-4EAD-407E-AE75-99F941A29CB9}">
      <text>
        <r>
          <rPr>
            <sz val="8"/>
            <color indexed="81"/>
            <rFont val="Tahoma"/>
            <family val="2"/>
          </rPr>
          <t>The Blade options are;
C Profile 60mm Blade C60
C Profile 80mm Blade C80
CR Profile 65mm Blade CR65
CR Profile 80mm Blade CR80
ZR Profile 105mm Blade ZR105</t>
        </r>
      </text>
    </comment>
    <comment ref="E45" authorId="0" shapeId="0" xr:uid="{F6D0C40D-5F60-4229-BC11-1C2D65229C12}">
      <text>
        <r>
          <rPr>
            <sz val="8"/>
            <color indexed="81"/>
            <rFont val="Tahoma"/>
            <family val="2"/>
          </rPr>
          <t>The Blade Colour options are;
C Profile &amp; CR Profile;
Grey PWD 8
Silver PWD 6
ZR Profile;
Silver PWD 6</t>
        </r>
      </text>
    </comment>
    <comment ref="F45" authorId="1" shapeId="0" xr:uid="{A6E95F4C-D6B0-405B-A958-C2E469C2A03C}">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45" authorId="1" shapeId="0" xr:uid="{C10A2B03-1A70-48C3-8777-933FDECF73E3}">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45" authorId="1" shapeId="0" xr:uid="{3AE9F015-B9FD-48CF-9CA1-15727D9A44A6}">
      <text>
        <r>
          <rPr>
            <sz val="8"/>
            <color indexed="81"/>
            <rFont val="Tahoma"/>
            <family val="2"/>
          </rPr>
          <t>When selecting a
Corner or Bay 
Window Type, 
the CMB Corner WS 
or the 
CMB Bay WS 
must be completed please.</t>
        </r>
      </text>
    </comment>
    <comment ref="I45" authorId="1" shapeId="0" xr:uid="{B97A13AE-5316-402D-A07D-4E36F86A0DD7}">
      <text>
        <r>
          <rPr>
            <sz val="8"/>
            <color indexed="81"/>
            <rFont val="Tahoma"/>
            <family val="2"/>
          </rPr>
          <t>The Mounting options are;
Face Fit
Top Fit</t>
        </r>
      </text>
    </comment>
    <comment ref="J45" authorId="1" shapeId="0" xr:uid="{88C230CF-E424-4C07-A24D-0519002305D5}">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5" authorId="1" shapeId="0" xr:uid="{B3A9F3B8-A4C0-4BB7-BAE4-C0BD7B67B986}">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45" authorId="1" shapeId="0" xr:uid="{7B700B4F-3096-4098-9113-AF6F7448B539}">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45" authorId="1" shapeId="0" xr:uid="{C76741BA-D6B4-4168-AA2E-E34D0FF88FA3}">
      <text>
        <r>
          <rPr>
            <sz val="8"/>
            <color indexed="81"/>
            <rFont val="Tahoma"/>
            <family val="2"/>
          </rPr>
          <t>The Pelmet options are;
L Profile
U Profile
No Pelmet</t>
        </r>
      </text>
    </comment>
    <comment ref="O45" authorId="1" shapeId="0" xr:uid="{3C62AC3D-0201-4135-9BB3-D6A086648D0B}">
      <text>
        <r>
          <rPr>
            <sz val="8"/>
            <color indexed="81"/>
            <rFont val="Tahoma"/>
            <family val="2"/>
          </rPr>
          <t>Enter the Pelmet Height in mm.
The Heights are below;
Minimum Height 100mm 
Maximum Height 300mm</t>
        </r>
      </text>
    </comment>
    <comment ref="Q45" authorId="1" shapeId="0" xr:uid="{003ACE29-259C-47BD-8626-CF115D072163}">
      <text>
        <r>
          <rPr>
            <sz val="8"/>
            <color indexed="81"/>
            <rFont val="Tahoma"/>
            <family val="2"/>
          </rPr>
          <t>Enter the Pelmet Depth in mm.</t>
        </r>
      </text>
    </comment>
    <comment ref="S45" authorId="1" shapeId="0" xr:uid="{31680BEF-3FF1-4F26-B996-869ADE4737FE}">
      <text>
        <r>
          <rPr>
            <sz val="8"/>
            <color indexed="81"/>
            <rFont val="Tahoma"/>
            <family val="2"/>
          </rPr>
          <t>Blind Width          Maximum Cut Out Width
For 50mm/63mm PS/PS Privacy
222 - 254mm       50mm
255 - 379mm       75mm
 &gt; 380mm             130mm</t>
        </r>
      </text>
    </comment>
    <comment ref="U45" authorId="1" shapeId="0" xr:uid="{9C32BDA6-A986-4DA6-93DC-F3AAC67A617E}">
      <text>
        <r>
          <rPr>
            <sz val="8"/>
            <color indexed="81"/>
            <rFont val="Tahoma"/>
            <family val="2"/>
          </rPr>
          <t xml:space="preserve">Blind Width          Maximum Cut Out Width
For 50mm/63mm PS/PS Privacy
222 - 254mm       50mm
255 - 379mm       75mm
 &gt; 380mm             130mm
</t>
        </r>
      </text>
    </comment>
    <comment ref="V45" authorId="1" shapeId="0" xr:uid="{B64A22BF-035D-46D2-96FC-F472ACDD7093}">
      <text>
        <r>
          <rPr>
            <sz val="8"/>
            <color indexed="81"/>
            <rFont val="Tahoma"/>
            <family val="2"/>
          </rPr>
          <t>The Maximum m2 is 15m2.</t>
        </r>
      </text>
    </comment>
    <comment ref="D46" authorId="0" shapeId="0" xr:uid="{0490A8EE-427C-464E-AF0F-1D8C26BDB436}">
      <text>
        <r>
          <rPr>
            <sz val="8"/>
            <color indexed="81"/>
            <rFont val="Tahoma"/>
            <family val="2"/>
          </rPr>
          <t>The Blade options are;
C Profile 60mm Blade C60
C Profile 80mm Blade C80
CR Profile 65mm Blade CR65
CR Profile 80mm Blade CR80
ZR Profile 105mm Blade ZR105</t>
        </r>
      </text>
    </comment>
    <comment ref="E46" authorId="0" shapeId="0" xr:uid="{65C502A5-7ECD-425B-851A-6F0F4F71BBE2}">
      <text>
        <r>
          <rPr>
            <sz val="8"/>
            <color indexed="81"/>
            <rFont val="Tahoma"/>
            <family val="2"/>
          </rPr>
          <t>The Blade Colour options are;
C Profile &amp; CR Profile;
Grey PWD 8
Silver PWD 6
ZR Profile;
Silver PWD 6</t>
        </r>
      </text>
    </comment>
    <comment ref="F46" authorId="1" shapeId="0" xr:uid="{F0B50953-C34A-4515-8F65-31BABC6B82D2}">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46" authorId="1" shapeId="0" xr:uid="{ACAF7241-1248-4903-8F2E-92A0918820A0}">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46" authorId="1" shapeId="0" xr:uid="{66D049BF-DDE3-424E-B2A8-05C6A21E8196}">
      <text>
        <r>
          <rPr>
            <sz val="8"/>
            <color indexed="81"/>
            <rFont val="Tahoma"/>
            <family val="2"/>
          </rPr>
          <t>When selecting a
Corner or Bay 
Window Type, 
the CMB Corner WS 
or the 
CMB Bay WS 
must be completed please.</t>
        </r>
      </text>
    </comment>
    <comment ref="I46" authorId="1" shapeId="0" xr:uid="{A44CA51E-BBD5-4C3C-8E8A-90E0FF6BDDA4}">
      <text>
        <r>
          <rPr>
            <sz val="8"/>
            <color indexed="81"/>
            <rFont val="Tahoma"/>
            <family val="2"/>
          </rPr>
          <t>The Mounting options are;
Face Fit
Top Fit</t>
        </r>
      </text>
    </comment>
    <comment ref="J46" authorId="1" shapeId="0" xr:uid="{999D16E3-2444-4563-89E6-E7DA30D7CC5C}">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6" authorId="1" shapeId="0" xr:uid="{51B1D3FD-9CCF-42AA-9A51-1C6C17D6B0FD}">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46" authorId="1" shapeId="0" xr:uid="{B3589533-746E-4C1D-AFED-C37DCC3040A0}">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46" authorId="1" shapeId="0" xr:uid="{11D3696B-A8BC-4CD1-BFAF-3C4E802C83D0}">
      <text>
        <r>
          <rPr>
            <sz val="8"/>
            <color indexed="81"/>
            <rFont val="Tahoma"/>
            <family val="2"/>
          </rPr>
          <t>The Pelmet options are;
L Profile
U Profile
No Pelmet</t>
        </r>
      </text>
    </comment>
    <comment ref="O46" authorId="1" shapeId="0" xr:uid="{E00C6AEA-3A5F-4E19-AFF6-2F5C61072532}">
      <text>
        <r>
          <rPr>
            <sz val="8"/>
            <color indexed="81"/>
            <rFont val="Tahoma"/>
            <family val="2"/>
          </rPr>
          <t>Enter the Pelmet Height in mm.
The Heights are below;
Minimum Height 100mm 
Maximum Height 300mm</t>
        </r>
      </text>
    </comment>
    <comment ref="Q46" authorId="1" shapeId="0" xr:uid="{5977DBF3-8CF2-40D2-BB77-873083A2973E}">
      <text>
        <r>
          <rPr>
            <sz val="8"/>
            <color indexed="81"/>
            <rFont val="Tahoma"/>
            <family val="2"/>
          </rPr>
          <t>Enter the Pelmet Depth in mm.</t>
        </r>
      </text>
    </comment>
    <comment ref="S46" authorId="1" shapeId="0" xr:uid="{9858763A-AD0F-428B-90C8-13F0EAAAAC8A}">
      <text>
        <r>
          <rPr>
            <sz val="8"/>
            <color indexed="81"/>
            <rFont val="Tahoma"/>
            <family val="2"/>
          </rPr>
          <t>Blind Width          Maximum Cut Out Width
For 50mm/63mm PS/PS Privacy
222 - 254mm       50mm
255 - 379mm       75mm
 &gt; 380mm             130mm</t>
        </r>
      </text>
    </comment>
    <comment ref="U46" authorId="1" shapeId="0" xr:uid="{52EA8E34-86FE-4DEE-B387-3F9E678C8281}">
      <text>
        <r>
          <rPr>
            <sz val="8"/>
            <color indexed="81"/>
            <rFont val="Tahoma"/>
            <family val="2"/>
          </rPr>
          <t xml:space="preserve">Blind Width          Maximum Cut Out Width
For 50mm/63mm PS/PS Privacy
222 - 254mm       50mm
255 - 379mm       75mm
 &gt; 380mm             130mm
</t>
        </r>
      </text>
    </comment>
    <comment ref="V46" authorId="1" shapeId="0" xr:uid="{385B73A2-18E6-4FC9-B906-E5A5D0C243D0}">
      <text>
        <r>
          <rPr>
            <sz val="8"/>
            <color indexed="81"/>
            <rFont val="Tahoma"/>
            <family val="2"/>
          </rPr>
          <t>The Maximum m2 is 15m2.</t>
        </r>
      </text>
    </comment>
    <comment ref="D47" authorId="0" shapeId="0" xr:uid="{4B64795F-F525-494D-892E-FE40C52908B1}">
      <text>
        <r>
          <rPr>
            <sz val="8"/>
            <color indexed="81"/>
            <rFont val="Tahoma"/>
            <family val="2"/>
          </rPr>
          <t>The Blade options are;
C Profile 60mm Blade C60
C Profile 80mm Blade C80
CR Profile 65mm Blade CR65
CR Profile 80mm Blade CR80
ZR Profile 105mm Blade ZR105</t>
        </r>
      </text>
    </comment>
    <comment ref="E47" authorId="0" shapeId="0" xr:uid="{5297E58B-CE4F-47F2-96CA-88E7E81994FC}">
      <text>
        <r>
          <rPr>
            <sz val="8"/>
            <color indexed="81"/>
            <rFont val="Tahoma"/>
            <family val="2"/>
          </rPr>
          <t>The Blade Colour options are;
C Profile &amp; CR Profile;
Grey PWD 8
Silver PWD 6
ZR Profile;
Silver PWD 6</t>
        </r>
      </text>
    </comment>
    <comment ref="F47" authorId="1" shapeId="0" xr:uid="{43C08B1E-A2B7-4447-B1C8-F2EDA6B14AF9}">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47" authorId="1" shapeId="0" xr:uid="{17464625-E8E6-4EC2-A6D1-B1C10353173C}">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47" authorId="1" shapeId="0" xr:uid="{F6CA2A6D-C84D-45D2-92D6-121D62ED96D6}">
      <text>
        <r>
          <rPr>
            <sz val="8"/>
            <color indexed="81"/>
            <rFont val="Tahoma"/>
            <family val="2"/>
          </rPr>
          <t>When selecting a
Corner or Bay 
Window Type, 
the CMB Corner WS 
or the 
CMB Bay WS 
must be completed please.</t>
        </r>
      </text>
    </comment>
    <comment ref="I47" authorId="1" shapeId="0" xr:uid="{71898798-0076-4581-88E9-F48010165CFC}">
      <text>
        <r>
          <rPr>
            <sz val="8"/>
            <color indexed="81"/>
            <rFont val="Tahoma"/>
            <family val="2"/>
          </rPr>
          <t>The Mounting options are;
Face Fit
Top Fit</t>
        </r>
      </text>
    </comment>
    <comment ref="J47" authorId="1" shapeId="0" xr:uid="{A13EBB8D-2EFE-49C5-8E05-A62A505C4531}">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7" authorId="1" shapeId="0" xr:uid="{11DBBA8F-62C2-415D-A4EF-D8C442A66BD9}">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47" authorId="1" shapeId="0" xr:uid="{29852310-9C86-41E4-A5DB-65B6EA9CF2E7}">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47" authorId="1" shapeId="0" xr:uid="{2026C0B1-AC29-418D-A845-860ABBFC0D71}">
      <text>
        <r>
          <rPr>
            <sz val="8"/>
            <color indexed="81"/>
            <rFont val="Tahoma"/>
            <family val="2"/>
          </rPr>
          <t>The Pelmet options are;
L Profile
U Profile
No Pelmet</t>
        </r>
      </text>
    </comment>
    <comment ref="O47" authorId="1" shapeId="0" xr:uid="{FDACE340-FBB2-4B0F-94CB-D8C6CC183384}">
      <text>
        <r>
          <rPr>
            <sz val="8"/>
            <color indexed="81"/>
            <rFont val="Tahoma"/>
            <family val="2"/>
          </rPr>
          <t>Enter the Pelmet Height in mm.
The Heights are below;
Minimum Height 100mm 
Maximum Height 300mm</t>
        </r>
      </text>
    </comment>
    <comment ref="Q47" authorId="1" shapeId="0" xr:uid="{FFE568C3-524A-458C-A1D5-15307BE6580F}">
      <text>
        <r>
          <rPr>
            <sz val="8"/>
            <color indexed="81"/>
            <rFont val="Tahoma"/>
            <family val="2"/>
          </rPr>
          <t>Enter the Pelmet Depth in mm.</t>
        </r>
      </text>
    </comment>
    <comment ref="S47" authorId="1" shapeId="0" xr:uid="{883DCB71-E980-469B-969A-1E604CF1C029}">
      <text>
        <r>
          <rPr>
            <sz val="8"/>
            <color indexed="81"/>
            <rFont val="Tahoma"/>
            <family val="2"/>
          </rPr>
          <t>Blind Width          Maximum Cut Out Width
For 50mm/63mm PS/PS Privacy
222 - 254mm       50mm
255 - 379mm       75mm
 &gt; 380mm             130mm</t>
        </r>
      </text>
    </comment>
    <comment ref="U47" authorId="1" shapeId="0" xr:uid="{E1845D9E-3B62-42C7-A47B-84F020332FA9}">
      <text>
        <r>
          <rPr>
            <sz val="8"/>
            <color indexed="81"/>
            <rFont val="Tahoma"/>
            <family val="2"/>
          </rPr>
          <t xml:space="preserve">Blind Width          Maximum Cut Out Width
For 50mm/63mm PS/PS Privacy
222 - 254mm       50mm
255 - 379mm       75mm
 &gt; 380mm             130mm
</t>
        </r>
      </text>
    </comment>
    <comment ref="V47" authorId="1" shapeId="0" xr:uid="{51320AA4-D7E1-4AE0-B0DD-E99B00D2D888}">
      <text>
        <r>
          <rPr>
            <sz val="8"/>
            <color indexed="81"/>
            <rFont val="Tahoma"/>
            <family val="2"/>
          </rPr>
          <t>The Maximum m2 is 15m2.</t>
        </r>
      </text>
    </comment>
    <comment ref="D48" authorId="0" shapeId="0" xr:uid="{6D276A9C-70AE-4B3F-8BF1-5AA137106CE7}">
      <text>
        <r>
          <rPr>
            <sz val="8"/>
            <color indexed="81"/>
            <rFont val="Tahoma"/>
            <family val="2"/>
          </rPr>
          <t>The Blade options are;
C Profile 60mm Blade C60
C Profile 80mm Blade C80
CR Profile 65mm Blade CR65
CR Profile 80mm Blade CR80
ZR Profile 105mm Blade ZR105</t>
        </r>
      </text>
    </comment>
    <comment ref="E48" authorId="0" shapeId="0" xr:uid="{0E67CEF7-5195-4183-B05D-85E53EE625A8}">
      <text>
        <r>
          <rPr>
            <sz val="8"/>
            <color indexed="81"/>
            <rFont val="Tahoma"/>
            <family val="2"/>
          </rPr>
          <t>The Blade Colour options are;
C Profile &amp; CR Profile;
Grey PWD 8
Silver PWD 6
ZR Profile;
Silver PWD 6</t>
        </r>
      </text>
    </comment>
    <comment ref="F48" authorId="1" shapeId="0" xr:uid="{C3555317-FD27-4F41-A6B5-624B1F41050C}">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48" authorId="1" shapeId="0" xr:uid="{0CDC566A-A166-43A5-8AB4-3E73195BAE22}">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48" authorId="1" shapeId="0" xr:uid="{2D703F3F-D661-4594-8800-35F53507FA33}">
      <text>
        <r>
          <rPr>
            <sz val="8"/>
            <color indexed="81"/>
            <rFont val="Tahoma"/>
            <family val="2"/>
          </rPr>
          <t>When selecting a
Corner or Bay 
Window Type, 
the CMB Corner WS 
or the 
CMB Bay WS 
must be completed please.</t>
        </r>
      </text>
    </comment>
    <comment ref="I48" authorId="1" shapeId="0" xr:uid="{D52D3229-F91C-4DF2-B58F-7DDF53A193B9}">
      <text>
        <r>
          <rPr>
            <sz val="8"/>
            <color indexed="81"/>
            <rFont val="Tahoma"/>
            <family val="2"/>
          </rPr>
          <t>The Mounting options are;
Face Fit
Top Fit</t>
        </r>
      </text>
    </comment>
    <comment ref="J48" authorId="1" shapeId="0" xr:uid="{03A90E8A-C6A2-4D50-8A6D-8B71A5622165}">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8" authorId="1" shapeId="0" xr:uid="{448EE73D-E97A-4669-BAF4-47E42B3A8FC0}">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48" authorId="1" shapeId="0" xr:uid="{84E4839D-2204-406B-B982-8A2076399A84}">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48" authorId="1" shapeId="0" xr:uid="{A3FF4CDE-D6A8-44A2-9C87-012E41CAF413}">
      <text>
        <r>
          <rPr>
            <sz val="8"/>
            <color indexed="81"/>
            <rFont val="Tahoma"/>
            <family val="2"/>
          </rPr>
          <t>The Pelmet options are;
L Profile
U Profile
No Pelmet</t>
        </r>
      </text>
    </comment>
    <comment ref="O48" authorId="1" shapeId="0" xr:uid="{9B50330C-E8E4-44DF-843C-7810FD5F839F}">
      <text>
        <r>
          <rPr>
            <sz val="8"/>
            <color indexed="81"/>
            <rFont val="Tahoma"/>
            <family val="2"/>
          </rPr>
          <t>Enter the Pelmet Height in mm.
The Heights are below;
Minimum Height 100mm 
Maximum Height 300mm</t>
        </r>
      </text>
    </comment>
    <comment ref="Q48" authorId="1" shapeId="0" xr:uid="{70A4FD3B-DD0D-4094-BCB6-3E3074F7F642}">
      <text>
        <r>
          <rPr>
            <sz val="8"/>
            <color indexed="81"/>
            <rFont val="Tahoma"/>
            <family val="2"/>
          </rPr>
          <t>Enter the Pelmet Depth in mm.</t>
        </r>
      </text>
    </comment>
    <comment ref="S48" authorId="1" shapeId="0" xr:uid="{8AD3CB38-EA8D-473A-8D65-C867DFF48CC4}">
      <text>
        <r>
          <rPr>
            <sz val="8"/>
            <color indexed="81"/>
            <rFont val="Tahoma"/>
            <family val="2"/>
          </rPr>
          <t>Blind Width          Maximum Cut Out Width
For 50mm/63mm PS/PS Privacy
222 - 254mm       50mm
255 - 379mm       75mm
 &gt; 380mm             130mm</t>
        </r>
      </text>
    </comment>
    <comment ref="U48" authorId="1" shapeId="0" xr:uid="{C9427801-71BD-4D39-9DF4-C733ACE54208}">
      <text>
        <r>
          <rPr>
            <sz val="8"/>
            <color indexed="81"/>
            <rFont val="Tahoma"/>
            <family val="2"/>
          </rPr>
          <t xml:space="preserve">Blind Width          Maximum Cut Out Width
For 50mm/63mm PS/PS Privacy
222 - 254mm       50mm
255 - 379mm       75mm
 &gt; 380mm             130mm
</t>
        </r>
      </text>
    </comment>
    <comment ref="V48" authorId="1" shapeId="0" xr:uid="{10DCCD07-0646-4878-9508-24571987A869}">
      <text>
        <r>
          <rPr>
            <sz val="8"/>
            <color indexed="81"/>
            <rFont val="Tahoma"/>
            <family val="2"/>
          </rPr>
          <t>The Maximum m2 is 15m2.</t>
        </r>
      </text>
    </comment>
    <comment ref="D49" authorId="0" shapeId="0" xr:uid="{B487B46F-8C88-4350-92F4-EFEFE15DF3E6}">
      <text>
        <r>
          <rPr>
            <sz val="8"/>
            <color indexed="81"/>
            <rFont val="Tahoma"/>
            <family val="2"/>
          </rPr>
          <t>The Blade options are;
C Profile 60mm Blade C60
C Profile 80mm Blade C80
CR Profile 65mm Blade CR65
CR Profile 80mm Blade CR80
ZR Profile 105mm Blade ZR105</t>
        </r>
      </text>
    </comment>
    <comment ref="E49" authorId="0" shapeId="0" xr:uid="{C9B66768-B7CC-496C-8556-EE031B6CB423}">
      <text>
        <r>
          <rPr>
            <sz val="8"/>
            <color indexed="81"/>
            <rFont val="Tahoma"/>
            <family val="2"/>
          </rPr>
          <t>The Blade Colour options are;
C Profile &amp; CR Profile;
Grey PWD 8
Silver PWD 6
ZR Profile;
Silver PWD 6</t>
        </r>
      </text>
    </comment>
    <comment ref="F49" authorId="1" shapeId="0" xr:uid="{5A11B935-B6D8-4A9B-86EA-05694F864A60}">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49" authorId="1" shapeId="0" xr:uid="{AD847766-B9F1-4C74-85E0-8B49BA879C6A}">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49" authorId="1" shapeId="0" xr:uid="{D63F32E1-AD15-41A9-9351-4B446DC0260A}">
      <text>
        <r>
          <rPr>
            <sz val="8"/>
            <color indexed="81"/>
            <rFont val="Tahoma"/>
            <family val="2"/>
          </rPr>
          <t>When selecting a
Corner or Bay 
Window Type, 
the CMB Corner WS 
or the 
CMB Bay WS 
must be completed please.</t>
        </r>
      </text>
    </comment>
    <comment ref="I49" authorId="1" shapeId="0" xr:uid="{35EC559E-9FB4-4330-AD02-BCD4D71598B7}">
      <text>
        <r>
          <rPr>
            <sz val="8"/>
            <color indexed="81"/>
            <rFont val="Tahoma"/>
            <family val="2"/>
          </rPr>
          <t>The Mounting options are;
Face Fit
Top Fit</t>
        </r>
      </text>
    </comment>
    <comment ref="J49" authorId="1" shapeId="0" xr:uid="{FDD1B495-2CDF-474C-A701-A577EAB9A160}">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9" authorId="1" shapeId="0" xr:uid="{F384AB5B-6A40-49B5-A48E-9ABAAFC9BB39}">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49" authorId="1" shapeId="0" xr:uid="{8BCE15EF-5EB4-4469-9B31-BC801EB5465C}">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49" authorId="1" shapeId="0" xr:uid="{BBBEA051-D152-4F60-83AD-27BFA8033E3D}">
      <text>
        <r>
          <rPr>
            <sz val="8"/>
            <color indexed="81"/>
            <rFont val="Tahoma"/>
            <family val="2"/>
          </rPr>
          <t>The Pelmet options are;
L Profile
U Profile
No Pelmet</t>
        </r>
      </text>
    </comment>
    <comment ref="O49" authorId="1" shapeId="0" xr:uid="{BE21256E-FBDA-49D5-B4F1-2267CF8E4607}">
      <text>
        <r>
          <rPr>
            <sz val="8"/>
            <color indexed="81"/>
            <rFont val="Tahoma"/>
            <family val="2"/>
          </rPr>
          <t>Enter the Pelmet Height in mm.
The Heights are below;
Minimum Height 100mm 
Maximum Height 300mm</t>
        </r>
      </text>
    </comment>
    <comment ref="Q49" authorId="1" shapeId="0" xr:uid="{D3826A85-4DF2-4FC9-82E1-2A09C7B9EB06}">
      <text>
        <r>
          <rPr>
            <sz val="8"/>
            <color indexed="81"/>
            <rFont val="Tahoma"/>
            <family val="2"/>
          </rPr>
          <t>Enter the Pelmet Depth in mm.</t>
        </r>
      </text>
    </comment>
    <comment ref="S49" authorId="1" shapeId="0" xr:uid="{D04D1B5E-3663-4B7F-8679-D2D1BC98CEC4}">
      <text>
        <r>
          <rPr>
            <sz val="8"/>
            <color indexed="81"/>
            <rFont val="Tahoma"/>
            <family val="2"/>
          </rPr>
          <t>Blind Width          Maximum Cut Out Width
For 50mm/63mm PS/PS Privacy
222 - 254mm       50mm
255 - 379mm       75mm
 &gt; 380mm             130mm</t>
        </r>
      </text>
    </comment>
    <comment ref="U49" authorId="1" shapeId="0" xr:uid="{C7362F74-25A8-4E47-AAB4-161B7E7A5D5D}">
      <text>
        <r>
          <rPr>
            <sz val="8"/>
            <color indexed="81"/>
            <rFont val="Tahoma"/>
            <family val="2"/>
          </rPr>
          <t xml:space="preserve">Blind Width          Maximum Cut Out Width
For 50mm/63mm PS/PS Privacy
222 - 254mm       50mm
255 - 379mm       75mm
 &gt; 380mm             130mm
</t>
        </r>
      </text>
    </comment>
    <comment ref="V49" authorId="1" shapeId="0" xr:uid="{EDFDF1EA-6E19-4560-8758-95902A6FE9D6}">
      <text>
        <r>
          <rPr>
            <sz val="8"/>
            <color indexed="81"/>
            <rFont val="Tahoma"/>
            <family val="2"/>
          </rPr>
          <t>The Maximum m2 is 15m2.</t>
        </r>
      </text>
    </comment>
    <comment ref="D50" authorId="0" shapeId="0" xr:uid="{00C36C5F-5FE3-486B-AD5C-516A0051B91D}">
      <text>
        <r>
          <rPr>
            <sz val="8"/>
            <color indexed="81"/>
            <rFont val="Tahoma"/>
            <family val="2"/>
          </rPr>
          <t>The Blade options are;
C Profile 60mm Blade C60
C Profile 80mm Blade C80
CR Profile 65mm Blade CR65
CR Profile 80mm Blade CR80
ZR Profile 105mm Blade ZR105</t>
        </r>
      </text>
    </comment>
    <comment ref="E50" authorId="0" shapeId="0" xr:uid="{C147EFA1-E1BA-4D07-9C25-7D1B6F598433}">
      <text>
        <r>
          <rPr>
            <sz val="8"/>
            <color indexed="81"/>
            <rFont val="Tahoma"/>
            <family val="2"/>
          </rPr>
          <t>The Blade Colour options are;
C Profile &amp; CR Profile;
Grey PWD 8
Silver PWD 6
ZR Profile;
Silver PWD 6</t>
        </r>
      </text>
    </comment>
    <comment ref="F50" authorId="1" shapeId="0" xr:uid="{292DDFD7-707A-4522-BDBA-17ED16505B08}">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50" authorId="1" shapeId="0" xr:uid="{1A4B72AE-F2F6-4F1D-A99C-B93821A72B3C}">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50" authorId="1" shapeId="0" xr:uid="{E8246D79-9485-451D-AAEB-5A5A3C7F9F1D}">
      <text>
        <r>
          <rPr>
            <sz val="8"/>
            <color indexed="81"/>
            <rFont val="Tahoma"/>
            <family val="2"/>
          </rPr>
          <t>When selecting a
Corner or Bay 
Window Type, 
the CMB Corner WS 
or the 
CMB Bay WS 
must be completed please.</t>
        </r>
      </text>
    </comment>
    <comment ref="I50" authorId="1" shapeId="0" xr:uid="{0175693D-B151-4F58-9BA7-87EFCA9C7BBF}">
      <text>
        <r>
          <rPr>
            <sz val="8"/>
            <color indexed="81"/>
            <rFont val="Tahoma"/>
            <family val="2"/>
          </rPr>
          <t>The Mounting options are;
Face Fit
Top Fit</t>
        </r>
      </text>
    </comment>
    <comment ref="J50" authorId="1" shapeId="0" xr:uid="{DD9B77F0-3586-409B-9FF5-DB65B4AB627C}">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0" authorId="1" shapeId="0" xr:uid="{8FDA3738-F70E-45A3-B210-ED79F109C319}">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50" authorId="1" shapeId="0" xr:uid="{2E4CDE23-9649-44F1-A3D3-2A1CAFA8C5B1}">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50" authorId="1" shapeId="0" xr:uid="{EA80FB64-1B6B-45F5-B5FA-C9AB025D0C66}">
      <text>
        <r>
          <rPr>
            <sz val="8"/>
            <color indexed="81"/>
            <rFont val="Tahoma"/>
            <family val="2"/>
          </rPr>
          <t>The Pelmet options are;
L Profile
U Profile
No Pelmet</t>
        </r>
      </text>
    </comment>
    <comment ref="O50" authorId="1" shapeId="0" xr:uid="{C2C06EE0-306A-40DE-828F-47CAA27FAA5C}">
      <text>
        <r>
          <rPr>
            <sz val="8"/>
            <color indexed="81"/>
            <rFont val="Tahoma"/>
            <family val="2"/>
          </rPr>
          <t>Enter the Pelmet Height in mm.
The Heights are below;
Minimum Height 100mm 
Maximum Height 300mm</t>
        </r>
      </text>
    </comment>
    <comment ref="Q50" authorId="1" shapeId="0" xr:uid="{EE9719C0-F1D2-4AEC-9CBA-97B2F6877CBE}">
      <text>
        <r>
          <rPr>
            <sz val="8"/>
            <color indexed="81"/>
            <rFont val="Tahoma"/>
            <family val="2"/>
          </rPr>
          <t>Enter the Pelmet Depth in mm.</t>
        </r>
      </text>
    </comment>
    <comment ref="S50" authorId="1" shapeId="0" xr:uid="{FC4B7A5B-6DC7-44A1-B17C-37B2CB1F8D2E}">
      <text>
        <r>
          <rPr>
            <sz val="8"/>
            <color indexed="81"/>
            <rFont val="Tahoma"/>
            <family val="2"/>
          </rPr>
          <t>Blind Width          Maximum Cut Out Width
For 50mm/63mm PS/PS Privacy
222 - 254mm       50mm
255 - 379mm       75mm
 &gt; 380mm             130mm</t>
        </r>
      </text>
    </comment>
    <comment ref="U50" authorId="1" shapeId="0" xr:uid="{21B6D826-0C93-49C6-A266-AA068F36F6BE}">
      <text>
        <r>
          <rPr>
            <sz val="8"/>
            <color indexed="81"/>
            <rFont val="Tahoma"/>
            <family val="2"/>
          </rPr>
          <t xml:space="preserve">Blind Width          Maximum Cut Out Width
For 50mm/63mm PS/PS Privacy
222 - 254mm       50mm
255 - 379mm       75mm
 &gt; 380mm             130mm
</t>
        </r>
      </text>
    </comment>
    <comment ref="V50" authorId="1" shapeId="0" xr:uid="{C1E89C40-80EF-4DAF-8B5F-9852C15DC3A2}">
      <text>
        <r>
          <rPr>
            <sz val="8"/>
            <color indexed="81"/>
            <rFont val="Tahoma"/>
            <family val="2"/>
          </rPr>
          <t>The Maximum m2 is 15m2.</t>
        </r>
      </text>
    </comment>
    <comment ref="D51" authorId="0" shapeId="0" xr:uid="{6D383109-8F71-4B1D-BD18-E0CBA90CA975}">
      <text>
        <r>
          <rPr>
            <sz val="8"/>
            <color indexed="81"/>
            <rFont val="Tahoma"/>
            <family val="2"/>
          </rPr>
          <t>The Blade options are;
C Profile 60mm Blade C60
C Profile 80mm Blade C80
CR Profile 65mm Blade CR65
CR Profile 80mm Blade CR80
ZR Profile 105mm Blade ZR105</t>
        </r>
      </text>
    </comment>
    <comment ref="E51" authorId="0" shapeId="0" xr:uid="{60C00A07-35C2-480A-90DC-19F65383635D}">
      <text>
        <r>
          <rPr>
            <sz val="8"/>
            <color indexed="81"/>
            <rFont val="Tahoma"/>
            <family val="2"/>
          </rPr>
          <t>The Blade Colour options are;
C Profile &amp; CR Profile;
Grey PWD 8
Silver PWD 6
ZR Profile;
Silver PWD 6</t>
        </r>
      </text>
    </comment>
    <comment ref="F51" authorId="1" shapeId="0" xr:uid="{0A6672A0-68FF-43AD-A106-15C29F187476}">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51" authorId="1" shapeId="0" xr:uid="{24121C75-FF38-4D7E-B02E-27889DDB8A01}">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51" authorId="1" shapeId="0" xr:uid="{3AE2C9E6-763A-49FB-8545-8258CDB1772C}">
      <text>
        <r>
          <rPr>
            <sz val="8"/>
            <color indexed="81"/>
            <rFont val="Tahoma"/>
            <family val="2"/>
          </rPr>
          <t>When selecting a
Corner or Bay 
Window Type, 
the CMB Corner WS 
or the 
CMB Bay WS 
must be completed please.</t>
        </r>
      </text>
    </comment>
    <comment ref="I51" authorId="1" shapeId="0" xr:uid="{840005B0-CCC2-4F1A-A4D3-A4F44DC52FF3}">
      <text>
        <r>
          <rPr>
            <sz val="8"/>
            <color indexed="81"/>
            <rFont val="Tahoma"/>
            <family val="2"/>
          </rPr>
          <t>The Mounting options are;
Face Fit
Top Fit</t>
        </r>
      </text>
    </comment>
    <comment ref="J51" authorId="1" shapeId="0" xr:uid="{4C8C0499-584D-4ED4-A753-35345D84FB71}">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1" authorId="1" shapeId="0" xr:uid="{4F26E8E7-01DA-4313-8D7E-5B0E8544011E}">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51" authorId="1" shapeId="0" xr:uid="{5025F150-4FDF-4FB4-B510-C7AE2E4842C6}">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51" authorId="1" shapeId="0" xr:uid="{122EEC3B-1C2F-408C-8F8A-A26E01AE00C8}">
      <text>
        <r>
          <rPr>
            <sz val="8"/>
            <color indexed="81"/>
            <rFont val="Tahoma"/>
            <family val="2"/>
          </rPr>
          <t>The Pelmet options are;
L Profile
U Profile
No Pelmet</t>
        </r>
      </text>
    </comment>
    <comment ref="O51" authorId="1" shapeId="0" xr:uid="{14A4306F-AA11-4580-97E5-D30761B479C5}">
      <text>
        <r>
          <rPr>
            <sz val="8"/>
            <color indexed="81"/>
            <rFont val="Tahoma"/>
            <family val="2"/>
          </rPr>
          <t>Enter the Pelmet Height in mm.
The Heights are below;
Minimum Height 100mm 
Maximum Height 300mm</t>
        </r>
      </text>
    </comment>
    <comment ref="Q51" authorId="1" shapeId="0" xr:uid="{05ED06C4-E97D-4734-9A50-97C2054FD6BD}">
      <text>
        <r>
          <rPr>
            <sz val="8"/>
            <color indexed="81"/>
            <rFont val="Tahoma"/>
            <family val="2"/>
          </rPr>
          <t>Enter the Pelmet Depth in mm.</t>
        </r>
      </text>
    </comment>
    <comment ref="S51" authorId="1" shapeId="0" xr:uid="{8CFE329C-19D7-4790-BC57-F2AF547576E1}">
      <text>
        <r>
          <rPr>
            <sz val="8"/>
            <color indexed="81"/>
            <rFont val="Tahoma"/>
            <family val="2"/>
          </rPr>
          <t>Blind Width          Maximum Cut Out Width
For 50mm/63mm PS/PS Privacy
222 - 254mm       50mm
255 - 379mm       75mm
 &gt; 380mm             130mm</t>
        </r>
      </text>
    </comment>
    <comment ref="U51" authorId="1" shapeId="0" xr:uid="{6FFDEF7D-F135-41C9-89E2-C11D47781B51}">
      <text>
        <r>
          <rPr>
            <sz val="8"/>
            <color indexed="81"/>
            <rFont val="Tahoma"/>
            <family val="2"/>
          </rPr>
          <t xml:space="preserve">Blind Width          Maximum Cut Out Width
For 50mm/63mm PS/PS Privacy
222 - 254mm       50mm
255 - 379mm       75mm
 &gt; 380mm             130mm
</t>
        </r>
      </text>
    </comment>
    <comment ref="V51" authorId="1" shapeId="0" xr:uid="{E3B673AD-F6DB-4B68-97D6-23A8FF506BBF}">
      <text>
        <r>
          <rPr>
            <sz val="8"/>
            <color indexed="81"/>
            <rFont val="Tahoma"/>
            <family val="2"/>
          </rPr>
          <t>The Maximum m2 is 15m2.</t>
        </r>
      </text>
    </comment>
    <comment ref="D52" authorId="0" shapeId="0" xr:uid="{A89EA5A5-A811-49EB-8CD2-36D21B5C0137}">
      <text>
        <r>
          <rPr>
            <sz val="8"/>
            <color indexed="81"/>
            <rFont val="Tahoma"/>
            <family val="2"/>
          </rPr>
          <t>The Blade options are;
C Profile 60mm Blade C60
C Profile 80mm Blade C80
CR Profile 65mm Blade CR65
CR Profile 80mm Blade CR80
ZR Profile 105mm Blade ZR105</t>
        </r>
      </text>
    </comment>
    <comment ref="E52" authorId="0" shapeId="0" xr:uid="{EC232B3B-E95A-4289-A782-A7E0BBBC6449}">
      <text>
        <r>
          <rPr>
            <sz val="8"/>
            <color indexed="81"/>
            <rFont val="Tahoma"/>
            <family val="2"/>
          </rPr>
          <t>The Blade Colour options are;
C Profile &amp; CR Profile;
Grey PWD 8
Silver PWD 6
ZR Profile;
Silver PWD 6</t>
        </r>
      </text>
    </comment>
    <comment ref="F52" authorId="1" shapeId="0" xr:uid="{7440BEE9-60C5-44B4-9C02-204747BBBB21}">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52" authorId="1" shapeId="0" xr:uid="{4BF8494D-6606-4D3E-9C21-ED46187DD88F}">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52" authorId="1" shapeId="0" xr:uid="{5A3E14AE-5A7E-4521-A31C-843B7553349F}">
      <text>
        <r>
          <rPr>
            <sz val="8"/>
            <color indexed="81"/>
            <rFont val="Tahoma"/>
            <family val="2"/>
          </rPr>
          <t>When selecting a
Corner or Bay 
Window Type, 
the CMB Corner WS 
or the 
CMB Bay WS 
must be completed please.</t>
        </r>
      </text>
    </comment>
    <comment ref="I52" authorId="1" shapeId="0" xr:uid="{434EA5BC-B01C-4A3C-95AF-2A944E9375C3}">
      <text>
        <r>
          <rPr>
            <sz val="8"/>
            <color indexed="81"/>
            <rFont val="Tahoma"/>
            <family val="2"/>
          </rPr>
          <t>The Mounting options are;
Face Fit
Top Fit</t>
        </r>
      </text>
    </comment>
    <comment ref="J52" authorId="1" shapeId="0" xr:uid="{272589B0-5E04-4C9F-894F-F375B4D98A79}">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2" authorId="1" shapeId="0" xr:uid="{144B6060-C103-4C85-8460-9798DF6FB430}">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52" authorId="1" shapeId="0" xr:uid="{2BDD5EED-365D-4813-A99B-9EE50FADCA9C}">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52" authorId="1" shapeId="0" xr:uid="{6CCE792F-9177-4ACC-97D9-0F07B1B8E02F}">
      <text>
        <r>
          <rPr>
            <sz val="8"/>
            <color indexed="81"/>
            <rFont val="Tahoma"/>
            <family val="2"/>
          </rPr>
          <t>The Pelmet options are;
L Profile
U Profile
No Pelmet</t>
        </r>
      </text>
    </comment>
    <comment ref="O52" authorId="1" shapeId="0" xr:uid="{336FACBA-F310-4D23-BDAA-2B0F7F9D89DB}">
      <text>
        <r>
          <rPr>
            <sz val="8"/>
            <color indexed="81"/>
            <rFont val="Tahoma"/>
            <family val="2"/>
          </rPr>
          <t>Enter the Pelmet Height in mm.
The Heights are below;
Minimum Height 100mm 
Maximum Height 300mm</t>
        </r>
      </text>
    </comment>
    <comment ref="Q52" authorId="1" shapeId="0" xr:uid="{D3534738-48E5-4FA4-BA32-313449179C34}">
      <text>
        <r>
          <rPr>
            <sz val="8"/>
            <color indexed="81"/>
            <rFont val="Tahoma"/>
            <family val="2"/>
          </rPr>
          <t>Enter the Pelmet Depth in mm.</t>
        </r>
      </text>
    </comment>
    <comment ref="S52" authorId="1" shapeId="0" xr:uid="{FC2EC253-B06E-47A7-A744-9BAA91C3B4F7}">
      <text>
        <r>
          <rPr>
            <sz val="8"/>
            <color indexed="81"/>
            <rFont val="Tahoma"/>
            <family val="2"/>
          </rPr>
          <t>Blind Width          Maximum Cut Out Width
For 50mm/63mm PS/PS Privacy
222 - 254mm       50mm
255 - 379mm       75mm
 &gt; 380mm             130mm</t>
        </r>
      </text>
    </comment>
    <comment ref="U52" authorId="1" shapeId="0" xr:uid="{A162331B-CD7C-43D6-9B63-76E4F07E120B}">
      <text>
        <r>
          <rPr>
            <sz val="8"/>
            <color indexed="81"/>
            <rFont val="Tahoma"/>
            <family val="2"/>
          </rPr>
          <t xml:space="preserve">Blind Width          Maximum Cut Out Width
For 50mm/63mm PS/PS Privacy
222 - 254mm       50mm
255 - 379mm       75mm
 &gt; 380mm             130mm
</t>
        </r>
      </text>
    </comment>
    <comment ref="V52" authorId="1" shapeId="0" xr:uid="{FE28234C-76D1-4F72-8AC5-FB6AEC78E4EF}">
      <text>
        <r>
          <rPr>
            <sz val="8"/>
            <color indexed="81"/>
            <rFont val="Tahoma"/>
            <family val="2"/>
          </rPr>
          <t>The Maximum m2 is 15m2.</t>
        </r>
      </text>
    </comment>
    <comment ref="D53" authorId="0" shapeId="0" xr:uid="{41C8EABD-5A53-4593-8B74-3951F04966DE}">
      <text>
        <r>
          <rPr>
            <sz val="8"/>
            <color indexed="81"/>
            <rFont val="Tahoma"/>
            <family val="2"/>
          </rPr>
          <t>The Blade options are;
C Profile 60mm Blade C60
C Profile 80mm Blade C80
CR Profile 65mm Blade CR65
CR Profile 80mm Blade CR80
ZR Profile 105mm Blade ZR105</t>
        </r>
      </text>
    </comment>
    <comment ref="E53" authorId="0" shapeId="0" xr:uid="{8A5E180A-4554-4849-8226-289EEDD4B5A9}">
      <text>
        <r>
          <rPr>
            <sz val="8"/>
            <color indexed="81"/>
            <rFont val="Tahoma"/>
            <family val="2"/>
          </rPr>
          <t>The Blade Colour options are;
C Profile &amp; CR Profile;
Grey PWD 8
Silver PWD 6
ZR Profile;
Silver PWD 6</t>
        </r>
      </text>
    </comment>
    <comment ref="F53" authorId="1" shapeId="0" xr:uid="{70345295-FF94-45EB-85A9-811C37FD83A1}">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53" authorId="1" shapeId="0" xr:uid="{0CA62A0F-C2B3-4FF7-B024-9FAD41C5EF7D}">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53" authorId="1" shapeId="0" xr:uid="{DC8AF210-FF7C-4F45-98A8-D9EA8E538258}">
      <text>
        <r>
          <rPr>
            <sz val="8"/>
            <color indexed="81"/>
            <rFont val="Tahoma"/>
            <family val="2"/>
          </rPr>
          <t>When selecting a
Corner or Bay 
Window Type, 
the CMB Corner WS 
or the 
CMB Bay WS 
must be completed please.</t>
        </r>
      </text>
    </comment>
    <comment ref="I53" authorId="1" shapeId="0" xr:uid="{4E9C13F8-FFB7-45CB-B08B-5A9661419760}">
      <text>
        <r>
          <rPr>
            <sz val="8"/>
            <color indexed="81"/>
            <rFont val="Tahoma"/>
            <family val="2"/>
          </rPr>
          <t>The Mounting options are;
Face Fit
Top Fit</t>
        </r>
      </text>
    </comment>
    <comment ref="J53" authorId="1" shapeId="0" xr:uid="{F8ADBE33-8F07-4A4B-8726-FADFC29D9DB8}">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3" authorId="1" shapeId="0" xr:uid="{3DE7D6C7-B50A-4EC8-BE78-AA5B93046F17}">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53" authorId="1" shapeId="0" xr:uid="{036EE576-81D0-4052-9599-C8D375BF1A65}">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53" authorId="1" shapeId="0" xr:uid="{D5C78F82-2827-41F9-BEC7-EBF08F32E302}">
      <text>
        <r>
          <rPr>
            <sz val="8"/>
            <color indexed="81"/>
            <rFont val="Tahoma"/>
            <family val="2"/>
          </rPr>
          <t>The Pelmet options are;
L Profile
U Profile
No Pelmet</t>
        </r>
      </text>
    </comment>
    <comment ref="O53" authorId="1" shapeId="0" xr:uid="{BE511AB6-B15B-4AEB-A24B-DB2E3DB46B2C}">
      <text>
        <r>
          <rPr>
            <sz val="8"/>
            <color indexed="81"/>
            <rFont val="Tahoma"/>
            <family val="2"/>
          </rPr>
          <t>Enter the Pelmet Height in mm.
The Heights are below;
Minimum Height 100mm 
Maximum Height 300mm</t>
        </r>
      </text>
    </comment>
    <comment ref="Q53" authorId="1" shapeId="0" xr:uid="{784983A3-B49D-464B-8BA8-B3D4C99E557E}">
      <text>
        <r>
          <rPr>
            <sz val="8"/>
            <color indexed="81"/>
            <rFont val="Tahoma"/>
            <family val="2"/>
          </rPr>
          <t>Enter the Pelmet Depth in mm.</t>
        </r>
      </text>
    </comment>
    <comment ref="S53" authorId="1" shapeId="0" xr:uid="{021BC891-A668-428C-854F-3D7DE1A53002}">
      <text>
        <r>
          <rPr>
            <sz val="8"/>
            <color indexed="81"/>
            <rFont val="Tahoma"/>
            <family val="2"/>
          </rPr>
          <t>Blind Width          Maximum Cut Out Width
For 50mm/63mm PS/PS Privacy
222 - 254mm       50mm
255 - 379mm       75mm
 &gt; 380mm             130mm</t>
        </r>
      </text>
    </comment>
    <comment ref="U53" authorId="1" shapeId="0" xr:uid="{14E14337-D5E4-4AD0-8BC9-F85609BE45F4}">
      <text>
        <r>
          <rPr>
            <sz val="8"/>
            <color indexed="81"/>
            <rFont val="Tahoma"/>
            <family val="2"/>
          </rPr>
          <t xml:space="preserve">Blind Width          Maximum Cut Out Width
For 50mm/63mm PS/PS Privacy
222 - 254mm       50mm
255 - 379mm       75mm
 &gt; 380mm             130mm
</t>
        </r>
      </text>
    </comment>
    <comment ref="V53" authorId="1" shapeId="0" xr:uid="{F7C95C57-8673-46CB-9D3F-E03C14DC025D}">
      <text>
        <r>
          <rPr>
            <sz val="8"/>
            <color indexed="81"/>
            <rFont val="Tahoma"/>
            <family val="2"/>
          </rPr>
          <t>The Maximum m2 is 15m2.</t>
        </r>
      </text>
    </comment>
    <comment ref="D54" authorId="0" shapeId="0" xr:uid="{A8209D3B-D590-451C-90B4-1DE3C4723924}">
      <text>
        <r>
          <rPr>
            <sz val="8"/>
            <color indexed="81"/>
            <rFont val="Tahoma"/>
            <family val="2"/>
          </rPr>
          <t>The Blade options are;
C Profile 60mm Blade C60
C Profile 80mm Blade C80
CR Profile 65mm Blade CR65
CR Profile 80mm Blade CR80
ZR Profile 105mm Blade ZR105</t>
        </r>
      </text>
    </comment>
    <comment ref="E54" authorId="0" shapeId="0" xr:uid="{1533350B-DB74-4F9D-B2DC-C4ADAFE5CF6C}">
      <text>
        <r>
          <rPr>
            <sz val="8"/>
            <color indexed="81"/>
            <rFont val="Tahoma"/>
            <family val="2"/>
          </rPr>
          <t>The Blade Colour options are;
C Profile &amp; CR Profile;
Grey PWD 8
Silver PWD 6
ZR Profile;
Silver PWD 6</t>
        </r>
      </text>
    </comment>
    <comment ref="F54" authorId="1" shapeId="0" xr:uid="{075EB3AC-24C6-432F-A614-EBE6A8A641E6}">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54" authorId="1" shapeId="0" xr:uid="{C1B4DC29-36ED-4BA4-9292-9602C12F8B5A}">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54" authorId="1" shapeId="0" xr:uid="{9000F832-2206-4919-8620-4ED79743780B}">
      <text>
        <r>
          <rPr>
            <sz val="8"/>
            <color indexed="81"/>
            <rFont val="Tahoma"/>
            <family val="2"/>
          </rPr>
          <t>When selecting a
Corner or Bay 
Window Type, 
the CMB Corner WS 
or the 
CMB Bay WS 
must be completed please.</t>
        </r>
      </text>
    </comment>
    <comment ref="I54" authorId="1" shapeId="0" xr:uid="{A342C982-2E21-4C95-BA63-48B97A9D4FC0}">
      <text>
        <r>
          <rPr>
            <sz val="8"/>
            <color indexed="81"/>
            <rFont val="Tahoma"/>
            <family val="2"/>
          </rPr>
          <t>The Mounting options are;
Face Fit
Top Fit</t>
        </r>
      </text>
    </comment>
    <comment ref="J54" authorId="1" shapeId="0" xr:uid="{4B55D446-5B58-4302-9FEC-C978338F37BD}">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4" authorId="1" shapeId="0" xr:uid="{FA171DA8-6893-4D7D-8F67-6C7FDD06F60E}">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54" authorId="1" shapeId="0" xr:uid="{4925A746-858C-4DC9-9BCA-51B525CAD2C5}">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54" authorId="1" shapeId="0" xr:uid="{32791C7E-3A65-419C-918D-BF4006D1B48C}">
      <text>
        <r>
          <rPr>
            <sz val="8"/>
            <color indexed="81"/>
            <rFont val="Tahoma"/>
            <family val="2"/>
          </rPr>
          <t>The Pelmet options are;
L Profile
U Profile
No Pelmet</t>
        </r>
      </text>
    </comment>
    <comment ref="O54" authorId="1" shapeId="0" xr:uid="{4431BA96-2E33-4222-B347-848611E87A8B}">
      <text>
        <r>
          <rPr>
            <sz val="8"/>
            <color indexed="81"/>
            <rFont val="Tahoma"/>
            <family val="2"/>
          </rPr>
          <t>Enter the Pelmet Height in mm.
The Heights are below;
Minimum Height 100mm 
Maximum Height 300mm</t>
        </r>
      </text>
    </comment>
    <comment ref="Q54" authorId="1" shapeId="0" xr:uid="{1230D678-6EC3-440E-B847-6AAB86F4D827}">
      <text>
        <r>
          <rPr>
            <sz val="8"/>
            <color indexed="81"/>
            <rFont val="Tahoma"/>
            <family val="2"/>
          </rPr>
          <t>Enter the Pelmet Depth in mm.</t>
        </r>
      </text>
    </comment>
    <comment ref="S54" authorId="1" shapeId="0" xr:uid="{AEBFB151-ECD8-46CA-818C-DF7322ED054E}">
      <text>
        <r>
          <rPr>
            <sz val="8"/>
            <color indexed="81"/>
            <rFont val="Tahoma"/>
            <family val="2"/>
          </rPr>
          <t>Blind Width          Maximum Cut Out Width
For 50mm/63mm PS/PS Privacy
222 - 254mm       50mm
255 - 379mm       75mm
 &gt; 380mm             130mm</t>
        </r>
      </text>
    </comment>
    <comment ref="U54" authorId="1" shapeId="0" xr:uid="{5FCA9D36-EE6F-4223-BCF8-93CC544B6A2F}">
      <text>
        <r>
          <rPr>
            <sz val="8"/>
            <color indexed="81"/>
            <rFont val="Tahoma"/>
            <family val="2"/>
          </rPr>
          <t xml:space="preserve">Blind Width          Maximum Cut Out Width
For 50mm/63mm PS/PS Privacy
222 - 254mm       50mm
255 - 379mm       75mm
 &gt; 380mm             130mm
</t>
        </r>
      </text>
    </comment>
    <comment ref="V54" authorId="1" shapeId="0" xr:uid="{A35236EF-1C59-4D6B-97EB-2F7FC2747B4A}">
      <text>
        <r>
          <rPr>
            <sz val="8"/>
            <color indexed="81"/>
            <rFont val="Tahoma"/>
            <family val="2"/>
          </rPr>
          <t>The Maximum m2 is 15m2.</t>
        </r>
      </text>
    </comment>
    <comment ref="D55" authorId="0" shapeId="0" xr:uid="{96AE5B66-74FB-4E09-8DA1-3D1735475378}">
      <text>
        <r>
          <rPr>
            <sz val="8"/>
            <color indexed="81"/>
            <rFont val="Tahoma"/>
            <family val="2"/>
          </rPr>
          <t>The Blade options are;
C Profile 60mm Blade C60
C Profile 80mm Blade C80
CR Profile 65mm Blade CR65
CR Profile 80mm Blade CR80
ZR Profile 105mm Blade ZR105</t>
        </r>
      </text>
    </comment>
    <comment ref="E55" authorId="0" shapeId="0" xr:uid="{ECA19CB9-DCB2-4F59-A6D6-1C673874B31D}">
      <text>
        <r>
          <rPr>
            <sz val="8"/>
            <color indexed="81"/>
            <rFont val="Tahoma"/>
            <family val="2"/>
          </rPr>
          <t>The Blade Colour options are;
C Profile &amp; CR Profile;
Grey PWD 8
Silver PWD 6
ZR Profile;
Silver PWD 6</t>
        </r>
      </text>
    </comment>
    <comment ref="F55" authorId="1" shapeId="0" xr:uid="{76B55E11-85A8-4BC9-83F9-8753B278FBDE}">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55" authorId="1" shapeId="0" xr:uid="{A0935900-D734-439C-AD85-D1EB5A316901}">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55" authorId="1" shapeId="0" xr:uid="{B4C385D6-4AD6-4EEC-9F89-715B50BE0B90}">
      <text>
        <r>
          <rPr>
            <sz val="8"/>
            <color indexed="81"/>
            <rFont val="Tahoma"/>
            <family val="2"/>
          </rPr>
          <t>When selecting a
Corner or Bay 
Window Type, 
the CMB Corner WS 
or the 
CMB Bay WS 
must be completed please.</t>
        </r>
      </text>
    </comment>
    <comment ref="I55" authorId="1" shapeId="0" xr:uid="{047827D2-24AD-4FD9-BB9A-BA02A4E6AC90}">
      <text>
        <r>
          <rPr>
            <sz val="8"/>
            <color indexed="81"/>
            <rFont val="Tahoma"/>
            <family val="2"/>
          </rPr>
          <t>The Mounting options are;
Face Fit
Top Fit</t>
        </r>
      </text>
    </comment>
    <comment ref="J55" authorId="1" shapeId="0" xr:uid="{E499140E-E3A8-427E-8606-955841A63EE8}">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5" authorId="1" shapeId="0" xr:uid="{60F0F719-A95A-49A5-B15D-DAC1C8FDF7EC}">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55" authorId="1" shapeId="0" xr:uid="{3B60002D-7D7E-4041-8ED5-E10B0B8D3048}">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55" authorId="1" shapeId="0" xr:uid="{C3A67E83-E343-4FDD-8661-99DCFE5A255A}">
      <text>
        <r>
          <rPr>
            <sz val="8"/>
            <color indexed="81"/>
            <rFont val="Tahoma"/>
            <family val="2"/>
          </rPr>
          <t>The Pelmet options are;
L Profile
U Profile
No Pelmet</t>
        </r>
      </text>
    </comment>
    <comment ref="O55" authorId="1" shapeId="0" xr:uid="{4B0A16E1-0F3A-4867-A522-66B6BC899069}">
      <text>
        <r>
          <rPr>
            <sz val="8"/>
            <color indexed="81"/>
            <rFont val="Tahoma"/>
            <family val="2"/>
          </rPr>
          <t>Enter the Pelmet Height in mm.
The Heights are below;
Minimum Height 100mm 
Maximum Height 300mm</t>
        </r>
      </text>
    </comment>
    <comment ref="Q55" authorId="1" shapeId="0" xr:uid="{8157A60F-B76B-4C36-B8FF-7660866D1A60}">
      <text>
        <r>
          <rPr>
            <sz val="8"/>
            <color indexed="81"/>
            <rFont val="Tahoma"/>
            <family val="2"/>
          </rPr>
          <t>Enter the Pelmet Depth in mm.</t>
        </r>
      </text>
    </comment>
    <comment ref="S55" authorId="1" shapeId="0" xr:uid="{7198F878-3DFE-4E57-B8B2-B6430D533912}">
      <text>
        <r>
          <rPr>
            <sz val="8"/>
            <color indexed="81"/>
            <rFont val="Tahoma"/>
            <family val="2"/>
          </rPr>
          <t>Blind Width          Maximum Cut Out Width
For 50mm/63mm PS/PS Privacy
222 - 254mm       50mm
255 - 379mm       75mm
 &gt; 380mm             130mm</t>
        </r>
      </text>
    </comment>
    <comment ref="U55" authorId="1" shapeId="0" xr:uid="{14D5D952-7D91-447E-8AA6-1164625B7DF1}">
      <text>
        <r>
          <rPr>
            <sz val="8"/>
            <color indexed="81"/>
            <rFont val="Tahoma"/>
            <family val="2"/>
          </rPr>
          <t xml:space="preserve">Blind Width          Maximum Cut Out Width
For 50mm/63mm PS/PS Privacy
222 - 254mm       50mm
255 - 379mm       75mm
 &gt; 380mm             130mm
</t>
        </r>
      </text>
    </comment>
    <comment ref="V55" authorId="1" shapeId="0" xr:uid="{EF66AAD7-C287-44CB-A6B1-90EAA92B5F4E}">
      <text>
        <r>
          <rPr>
            <sz val="8"/>
            <color indexed="81"/>
            <rFont val="Tahoma"/>
            <family val="2"/>
          </rPr>
          <t>The Maximum m2 is 15m2.</t>
        </r>
      </text>
    </comment>
    <comment ref="D56" authorId="0" shapeId="0" xr:uid="{A8D2B65B-643B-452E-8365-7E3F9A2DF684}">
      <text>
        <r>
          <rPr>
            <sz val="8"/>
            <color indexed="81"/>
            <rFont val="Tahoma"/>
            <family val="2"/>
          </rPr>
          <t>The Blade options are;
C Profile 60mm Blade C60
C Profile 80mm Blade C80
CR Profile 65mm Blade CR65
CR Profile 80mm Blade CR80
ZR Profile 105mm Blade ZR105</t>
        </r>
      </text>
    </comment>
    <comment ref="E56" authorId="0" shapeId="0" xr:uid="{80DA0409-4351-4B0A-AE38-704E37AE6B7C}">
      <text>
        <r>
          <rPr>
            <sz val="8"/>
            <color indexed="81"/>
            <rFont val="Tahoma"/>
            <family val="2"/>
          </rPr>
          <t>The Blade Colour options are;
C Profile &amp; CR Profile;
Grey PWD 8
Silver PWD 6
ZR Profile;
Silver PWD 6</t>
        </r>
      </text>
    </comment>
    <comment ref="F56" authorId="1" shapeId="0" xr:uid="{66164218-179B-46C1-A535-DA84C5EDB94A}">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56" authorId="1" shapeId="0" xr:uid="{FB9D5C9E-0F22-4DAE-A31F-8387E9E10E26}">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56" authorId="1" shapeId="0" xr:uid="{DB66C96F-DADA-4D9F-BA36-25A8B0BA66C9}">
      <text>
        <r>
          <rPr>
            <sz val="8"/>
            <color indexed="81"/>
            <rFont val="Tahoma"/>
            <family val="2"/>
          </rPr>
          <t>When selecting a
Corner or Bay 
Window Type, 
the CMB Corner WS 
or the 
CMB Bay WS 
must be completed please.</t>
        </r>
      </text>
    </comment>
    <comment ref="I56" authorId="1" shapeId="0" xr:uid="{FB2E28D9-A305-4C9E-A901-53C6A58340A3}">
      <text>
        <r>
          <rPr>
            <sz val="8"/>
            <color indexed="81"/>
            <rFont val="Tahoma"/>
            <family val="2"/>
          </rPr>
          <t>The Mounting options are;
Face Fit
Top Fit</t>
        </r>
      </text>
    </comment>
    <comment ref="J56" authorId="1" shapeId="0" xr:uid="{16C95A67-DD75-443D-AB71-7A2B04B8A163}">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6" authorId="1" shapeId="0" xr:uid="{65B962AB-40E1-4898-95F0-072DD25C4590}">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56" authorId="1" shapeId="0" xr:uid="{83B4E452-353D-418B-9FF2-4C6B4913EDBE}">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56" authorId="1" shapeId="0" xr:uid="{80DB2573-4356-4D41-88F2-26B926874795}">
      <text>
        <r>
          <rPr>
            <sz val="8"/>
            <color indexed="81"/>
            <rFont val="Tahoma"/>
            <family val="2"/>
          </rPr>
          <t>The Pelmet options are;
L Profile
U Profile
No Pelmet</t>
        </r>
      </text>
    </comment>
    <comment ref="O56" authorId="1" shapeId="0" xr:uid="{CE0871BE-B373-4707-9372-F22170F651AC}">
      <text>
        <r>
          <rPr>
            <sz val="8"/>
            <color indexed="81"/>
            <rFont val="Tahoma"/>
            <family val="2"/>
          </rPr>
          <t>Enter the Pelmet Height in mm.
The Heights are below;
Minimum Height 100mm 
Maximum Height 300mm</t>
        </r>
      </text>
    </comment>
    <comment ref="Q56" authorId="1" shapeId="0" xr:uid="{88CDA7C9-8483-4143-94FE-C7C34E5D5785}">
      <text>
        <r>
          <rPr>
            <sz val="8"/>
            <color indexed="81"/>
            <rFont val="Tahoma"/>
            <family val="2"/>
          </rPr>
          <t>Enter the Pelmet Depth in mm.</t>
        </r>
      </text>
    </comment>
    <comment ref="S56" authorId="1" shapeId="0" xr:uid="{AF4B84CA-A8C3-40BA-A6F5-C00E300830F1}">
      <text>
        <r>
          <rPr>
            <sz val="8"/>
            <color indexed="81"/>
            <rFont val="Tahoma"/>
            <family val="2"/>
          </rPr>
          <t>Blind Width          Maximum Cut Out Width
For 50mm/63mm PS/PS Privacy
222 - 254mm       50mm
255 - 379mm       75mm
 &gt; 380mm             130mm</t>
        </r>
      </text>
    </comment>
    <comment ref="U56" authorId="1" shapeId="0" xr:uid="{8BAC4DDE-369B-4988-AA5B-4CB387721F71}">
      <text>
        <r>
          <rPr>
            <sz val="8"/>
            <color indexed="81"/>
            <rFont val="Tahoma"/>
            <family val="2"/>
          </rPr>
          <t xml:space="preserve">Blind Width          Maximum Cut Out Width
For 50mm/63mm PS/PS Privacy
222 - 254mm       50mm
255 - 379mm       75mm
 &gt; 380mm             130mm
</t>
        </r>
      </text>
    </comment>
    <comment ref="V56" authorId="1" shapeId="0" xr:uid="{36136C58-F1C5-40D2-8A48-8C61C9BACC47}">
      <text>
        <r>
          <rPr>
            <sz val="8"/>
            <color indexed="81"/>
            <rFont val="Tahoma"/>
            <family val="2"/>
          </rPr>
          <t>The Maximum m2 is 15m2.</t>
        </r>
      </text>
    </comment>
    <comment ref="D57" authorId="0" shapeId="0" xr:uid="{70256358-F989-4E0A-8A56-0714C6DF3C53}">
      <text>
        <r>
          <rPr>
            <sz val="8"/>
            <color indexed="81"/>
            <rFont val="Tahoma"/>
            <family val="2"/>
          </rPr>
          <t>The Blade options are;
C Profile 60mm Blade C60
C Profile 80mm Blade C80
CR Profile 65mm Blade CR65
CR Profile 80mm Blade CR80
ZR Profile 105mm Blade ZR105</t>
        </r>
      </text>
    </comment>
    <comment ref="E57" authorId="0" shapeId="0" xr:uid="{B0119D72-C483-43BA-825D-BA637EC68934}">
      <text>
        <r>
          <rPr>
            <sz val="8"/>
            <color indexed="81"/>
            <rFont val="Tahoma"/>
            <family val="2"/>
          </rPr>
          <t>The Blade Colour options are;
C Profile &amp; CR Profile;
Grey PWD 8
Silver PWD 6
ZR Profile;
Silver PWD 6</t>
        </r>
      </text>
    </comment>
    <comment ref="F57" authorId="1" shapeId="0" xr:uid="{51987B05-6C43-4734-A5AD-3F9096E5CFF0}">
      <text>
        <r>
          <rPr>
            <sz val="8"/>
            <color indexed="81"/>
            <rFont val="Tahoma"/>
            <family val="2"/>
          </rPr>
          <t xml:space="preserve">The Minimum Width is 600mm.
The Maximum Width is 4500mm. 
</t>
        </r>
        <r>
          <rPr>
            <i/>
            <sz val="8"/>
            <color indexed="81"/>
            <rFont val="Tahoma"/>
            <family val="2"/>
          </rPr>
          <t>The Maximum m2 is 15m2.</t>
        </r>
        <r>
          <rPr>
            <sz val="8"/>
            <color indexed="81"/>
            <rFont val="Tahoma"/>
            <family val="2"/>
          </rPr>
          <t xml:space="preserve">
All openings over the Maximum Widths  
will require Multiple Blinds.
</t>
        </r>
        <r>
          <rPr>
            <i/>
            <sz val="8"/>
            <color indexed="81"/>
            <rFont val="Tahoma"/>
            <family val="2"/>
          </rPr>
          <t>Please note; when Blinds are ordered 
near the maximum size specifications, 
the weight can affect the operation of the Blind.</t>
        </r>
      </text>
    </comment>
    <comment ref="G57" authorId="1" shapeId="0" xr:uid="{878ACA9E-4A88-4DB2-82AD-8376A63F18BE}">
      <text>
        <r>
          <rPr>
            <sz val="8"/>
            <color indexed="81"/>
            <rFont val="Tahoma"/>
            <family val="2"/>
          </rPr>
          <t xml:space="preserve">The Minimum Height/Drop 
is 600mm.
The Maximum Height/Drop 
is 5000mm. 
</t>
        </r>
        <r>
          <rPr>
            <i/>
            <sz val="8"/>
            <color indexed="81"/>
            <rFont val="Tahoma"/>
            <family val="2"/>
          </rPr>
          <t>The Maximum m2 is 15m2.
All openings over the Maximum Widths  
will require Multiple Blinds.
Please note; when Blinds are ordered 
near the maximum size specifications, 
the weight can affect the operation of the Blind.</t>
        </r>
      </text>
    </comment>
    <comment ref="H57" authorId="1" shapeId="0" xr:uid="{F0B28FB4-1B19-4BB4-B7B7-98BE3BA16F83}">
      <text>
        <r>
          <rPr>
            <sz val="8"/>
            <color indexed="81"/>
            <rFont val="Tahoma"/>
            <family val="2"/>
          </rPr>
          <t>When selecting a
Corner or Bay 
Window Type, 
the CMB Corner WS 
or the 
CMB Bay WS 
must be completed please.</t>
        </r>
      </text>
    </comment>
    <comment ref="I57" authorId="1" shapeId="0" xr:uid="{045B1FF0-CB9B-405A-81DD-FAF90AE258BC}">
      <text>
        <r>
          <rPr>
            <sz val="8"/>
            <color indexed="81"/>
            <rFont val="Tahoma"/>
            <family val="2"/>
          </rPr>
          <t>The Mounting options are;
Face Fit
Top Fit</t>
        </r>
      </text>
    </comment>
    <comment ref="J57" authorId="1" shapeId="0" xr:uid="{4A002E92-102D-4A96-A945-5A987FC4DBDD}">
      <text>
        <r>
          <rPr>
            <sz val="8"/>
            <color indexed="81"/>
            <rFont val="Tahoma"/>
            <family val="2"/>
          </rPr>
          <t xml:space="preserve">The Allowance options are;
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7" authorId="1" shapeId="0" xr:uid="{BC5435AC-A25A-4425-A311-16C74EE7F703}">
      <text>
        <r>
          <rPr>
            <sz val="8"/>
            <color indexed="81"/>
            <rFont val="Tahoma"/>
            <family val="2"/>
          </rPr>
          <t>The Motor Position options are;
Left
Right
Centre
A Single Channel Remote is supplied with the 
Blind as standard. 
A Multi-Channel Remote is also available. 
Please specify if you require a Multi-Channel Remote and 
also the Quantity required in the Special Comments.</t>
        </r>
      </text>
    </comment>
    <comment ref="M57" authorId="1" shapeId="0" xr:uid="{B41D63E5-2326-4542-8CB2-3E117348AF21}">
      <text>
        <r>
          <rPr>
            <sz val="8"/>
            <color indexed="81"/>
            <rFont val="Tahoma"/>
            <family val="2"/>
          </rPr>
          <t xml:space="preserve">The Guide options are;
C Profile;
Cable Guide
CR Profiles;
Cable Guide
Guide Profile
ZR Profile;
Guide Profile
</t>
        </r>
        <r>
          <rPr>
            <i/>
            <sz val="8"/>
            <color indexed="81"/>
            <rFont val="Tahoma"/>
            <family val="2"/>
          </rPr>
          <t>The Cable Guide is supplied as Grey.</t>
        </r>
      </text>
    </comment>
    <comment ref="N57" authorId="1" shapeId="0" xr:uid="{8CB5720E-516E-4D1F-A802-F7100770DA11}">
      <text>
        <r>
          <rPr>
            <sz val="8"/>
            <color indexed="81"/>
            <rFont val="Tahoma"/>
            <family val="2"/>
          </rPr>
          <t>The Pelmet options are;
L Profile
U Profile
No Pelmet</t>
        </r>
      </text>
    </comment>
    <comment ref="O57" authorId="1" shapeId="0" xr:uid="{EB4855FA-3F34-41E2-9ABB-33E76A88EF11}">
      <text>
        <r>
          <rPr>
            <sz val="8"/>
            <color indexed="81"/>
            <rFont val="Tahoma"/>
            <family val="2"/>
          </rPr>
          <t>Enter the Pelmet Height in mm.
The Heights are below;
Minimum Height 100mm 
Maximum Height 300mm</t>
        </r>
      </text>
    </comment>
    <comment ref="Q57" authorId="1" shapeId="0" xr:uid="{BD6B8E77-C3D3-4960-B949-3B5405467846}">
      <text>
        <r>
          <rPr>
            <sz val="8"/>
            <color indexed="81"/>
            <rFont val="Tahoma"/>
            <family val="2"/>
          </rPr>
          <t>Enter the Pelmet Depth in mm.</t>
        </r>
      </text>
    </comment>
    <comment ref="S57" authorId="1" shapeId="0" xr:uid="{132E6752-2FC6-42DD-A747-25A5D0502B7B}">
      <text>
        <r>
          <rPr>
            <sz val="8"/>
            <color indexed="81"/>
            <rFont val="Tahoma"/>
            <family val="2"/>
          </rPr>
          <t>Blind Width          Maximum Cut Out Width
For 50mm/63mm PS/PS Privacy
222 - 254mm       50mm
255 - 379mm       75mm
 &gt; 380mm             130mm</t>
        </r>
      </text>
    </comment>
    <comment ref="U57" authorId="1" shapeId="0" xr:uid="{51DA54A0-3B0A-4C3B-AFA8-4A2BD52850E6}">
      <text>
        <r>
          <rPr>
            <sz val="8"/>
            <color indexed="81"/>
            <rFont val="Tahoma"/>
            <family val="2"/>
          </rPr>
          <t xml:space="preserve">Blind Width          Maximum Cut Out Width
For 50mm/63mm PS/PS Privacy
222 - 254mm       50mm
255 - 379mm       75mm
 &gt; 380mm             130mm
</t>
        </r>
      </text>
    </comment>
    <comment ref="V57" authorId="1" shapeId="0" xr:uid="{1310F7D7-23FE-48F5-A6CA-5EF43364DF64}">
      <text>
        <r>
          <rPr>
            <sz val="8"/>
            <color indexed="81"/>
            <rFont val="Tahoma"/>
            <family val="2"/>
          </rPr>
          <t>The Maximum m2 is 15m2.</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E25" authorId="0" shapeId="0" xr:uid="{00000000-0006-0000-0B00-000001000000}">
      <text>
        <r>
          <rPr>
            <sz val="8"/>
            <color indexed="81"/>
            <rFont val="Tahoma"/>
            <family val="2"/>
          </rPr>
          <t>ACT 
Actual Measurements
You have made the allowances.
NAM
No Allowances Made 
The factory will make the deductions.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D25" authorId="0" shapeId="0" xr:uid="{00000000-0006-0000-0C00-000001000000}">
      <text>
        <r>
          <rPr>
            <sz val="8"/>
            <color indexed="81"/>
            <rFont val="Tahoma"/>
            <family val="2"/>
          </rPr>
          <t>ACT 
Actual Measurements
You have made the allowances.
NAM
No Allowances Made 
The factory will make the deductions.</t>
        </r>
      </text>
    </comment>
    <comment ref="E25" authorId="0" shapeId="0" xr:uid="{00000000-0006-0000-0C00-000002000000}">
      <text>
        <r>
          <rPr>
            <sz val="8"/>
            <color indexed="81"/>
            <rFont val="Tahoma"/>
            <family val="2"/>
          </rPr>
          <t>Has the Window been measured from the Front or Back.</t>
        </r>
      </text>
    </comment>
    <comment ref="F25" authorId="0" shapeId="0" xr:uid="{00000000-0006-0000-0C00-000003000000}">
      <text>
        <r>
          <rPr>
            <sz val="8"/>
            <color indexed="81"/>
            <rFont val="Tahoma"/>
            <family val="2"/>
          </rPr>
          <t>Enter the Angle 
of the Blind.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J7" authorId="0" shapeId="0" xr:uid="{00000000-0006-0000-0200-000001000000}">
      <text>
        <r>
          <rPr>
            <sz val="8"/>
            <color indexed="81"/>
            <rFont val="Tahoma"/>
            <family val="2"/>
          </rPr>
          <t>ACT 
Actual Measurements
You have made the allowances.
NAM
No Allowances Made 
The factory will make the deductions.</t>
        </r>
      </text>
    </comment>
    <comment ref="O7" authorId="0" shapeId="0" xr:uid="{00000000-0006-0000-0200-000002000000}">
      <text>
        <r>
          <rPr>
            <sz val="8"/>
            <color indexed="81"/>
            <rFont val="Tahoma"/>
            <family val="2"/>
          </rPr>
          <t>When left blank, 
no Cut Out applies.</t>
        </r>
      </text>
    </comment>
    <comment ref="F8" authorId="0" shapeId="0" xr:uid="{00000000-0006-0000-0200-000003000000}">
      <text>
        <r>
          <rPr>
            <sz val="8"/>
            <color indexed="81"/>
            <rFont val="Tahoma"/>
            <family val="2"/>
          </rPr>
          <t>Minimum Width is 270mm.
Maximum Width is 2700mm.
All openings over 2700mm wide will require 
multiple Blinds.</t>
        </r>
      </text>
    </comment>
    <comment ref="G8" authorId="0" shapeId="0" xr:uid="{00000000-0006-0000-0200-000004000000}">
      <text>
        <r>
          <rPr>
            <sz val="8"/>
            <color indexed="81"/>
            <rFont val="Tahoma"/>
            <family val="2"/>
          </rPr>
          <t>Maximum Height/Drop is 3600mm.</t>
        </r>
      </text>
    </comment>
    <comment ref="H8" authorId="0" shapeId="0" xr:uid="{00000000-0006-0000-0200-000005000000}">
      <text>
        <r>
          <rPr>
            <sz val="8"/>
            <color indexed="81"/>
            <rFont val="Tahoma"/>
            <family val="2"/>
          </rPr>
          <t>When selecting a
Corner or Bay Window Type, 
the CMB Corner WS or CMB Bay WS 
must be completed.</t>
        </r>
      </text>
    </comment>
    <comment ref="J8" authorId="0" shapeId="0" xr:uid="{00000000-0006-0000-0200-000006000000}">
      <text>
        <r>
          <rPr>
            <sz val="8"/>
            <color indexed="81"/>
            <rFont val="Tahoma"/>
            <family val="2"/>
          </rPr>
          <t>ACT 
Actual Measurements
You have made the allowances.
NAM
No Allowances Made 
The factory will make the deductions.</t>
        </r>
      </text>
    </comment>
    <comment ref="O8" authorId="0" shapeId="0" xr:uid="{00000000-0006-0000-0200-000007000000}">
      <text>
        <r>
          <rPr>
            <sz val="8"/>
            <color indexed="81"/>
            <rFont val="Tahoma"/>
            <family val="2"/>
          </rPr>
          <t>When Yes, Cut Out measurements must be supplied in the next cells.</t>
        </r>
      </text>
    </comment>
    <comment ref="R8" authorId="0" shapeId="0" xr:uid="{00000000-0006-0000-0200-000008000000}">
      <text>
        <r>
          <rPr>
            <sz val="8"/>
            <color indexed="81"/>
            <rFont val="Tahoma"/>
            <family val="2"/>
          </rPr>
          <t>Blind Width          Maximum Cut Out Width
270 - 299mm       80mm
300 - 400mm       90mm
401 - 527mm        110mm
528 - 850mm       140mm
  &gt; 851mm              165mm</t>
        </r>
      </text>
    </comment>
    <comment ref="T8" authorId="0" shapeId="0" xr:uid="{00000000-0006-0000-0200-000009000000}">
      <text>
        <r>
          <rPr>
            <sz val="8"/>
            <color indexed="81"/>
            <rFont val="Tahoma"/>
            <family val="2"/>
          </rPr>
          <t>Blind Width          Maximum Cut Out Width
270 - 299mm       80mm
300 - 400mm       90mm
401 - 527mm        110mm
528 - 850mm       140mm
  &gt; 851mm              165mm</t>
        </r>
      </text>
    </comment>
    <comment ref="F9" authorId="0" shapeId="0" xr:uid="{00000000-0006-0000-0200-00000A000000}">
      <text>
        <r>
          <rPr>
            <sz val="8"/>
            <color indexed="81"/>
            <rFont val="Tahoma"/>
            <family val="2"/>
          </rPr>
          <t>Minimum Width is 270mm.
Maximum Width is 2700mm.
All openings over 2700mm wide will require 
multiple Blinds.</t>
        </r>
      </text>
    </comment>
    <comment ref="G9" authorId="0" shapeId="0" xr:uid="{00000000-0006-0000-0200-00000B000000}">
      <text>
        <r>
          <rPr>
            <sz val="8"/>
            <color indexed="81"/>
            <rFont val="Tahoma"/>
            <family val="2"/>
          </rPr>
          <t>Maximum Height/Drop is 3600mm.</t>
        </r>
      </text>
    </comment>
    <comment ref="H9" authorId="0" shapeId="0" xr:uid="{00000000-0006-0000-0200-00000C000000}">
      <text>
        <r>
          <rPr>
            <sz val="8"/>
            <color indexed="81"/>
            <rFont val="Tahoma"/>
            <family val="2"/>
          </rPr>
          <t>When selecting a
Corner or Bay Window Type, 
the CMB Corner WS or CMB Bay WS 
must be completed.</t>
        </r>
      </text>
    </comment>
    <comment ref="J9" authorId="0" shapeId="0" xr:uid="{00000000-0006-0000-0200-00000D000000}">
      <text>
        <r>
          <rPr>
            <sz val="8"/>
            <color indexed="81"/>
            <rFont val="Tahoma"/>
            <family val="2"/>
          </rPr>
          <t>ACT 
Actual Measurements
You have made the allowances.
NAM
No Allowances Made 
The factory will make the deductions.</t>
        </r>
      </text>
    </comment>
    <comment ref="O9" authorId="0" shapeId="0" xr:uid="{00000000-0006-0000-0200-00000E000000}">
      <text>
        <r>
          <rPr>
            <sz val="8"/>
            <color indexed="81"/>
            <rFont val="Tahoma"/>
            <family val="2"/>
          </rPr>
          <t>When Yes, Cut Out measurements must be supplied in the next cells.</t>
        </r>
      </text>
    </comment>
    <comment ref="R9" authorId="0" shapeId="0" xr:uid="{00000000-0006-0000-0200-00000F000000}">
      <text>
        <r>
          <rPr>
            <sz val="8"/>
            <color indexed="81"/>
            <rFont val="Tahoma"/>
            <family val="2"/>
          </rPr>
          <t>Blind Width          Maximum Cut Out Width
270 - 299mm       80mm
300 - 400mm       90mm
401 - 527mm        110mm
528 - 850mm       140mm
  &gt; 851mm              165mm</t>
        </r>
      </text>
    </comment>
    <comment ref="T9" authorId="0" shapeId="0" xr:uid="{00000000-0006-0000-0200-000010000000}">
      <text>
        <r>
          <rPr>
            <sz val="8"/>
            <color indexed="81"/>
            <rFont val="Tahoma"/>
            <family val="2"/>
          </rPr>
          <t>Blind Width          Maximum Cut Out Width
270 - 299mm       80mm
300 - 400mm       90mm
401 - 527mm        110mm
528 - 850mm       140mm
  &gt; 851mm              165mm</t>
        </r>
      </text>
    </comment>
    <comment ref="F10" authorId="0" shapeId="0" xr:uid="{00000000-0006-0000-0200-000011000000}">
      <text>
        <r>
          <rPr>
            <sz val="8"/>
            <color indexed="81"/>
            <rFont val="Tahoma"/>
            <family val="2"/>
          </rPr>
          <t>Minimum Width is 270mm.
Maximum Width is 2700mm.
All openings over 2700mm wide will require 
multiple Blinds.</t>
        </r>
      </text>
    </comment>
    <comment ref="G10" authorId="0" shapeId="0" xr:uid="{00000000-0006-0000-0200-000012000000}">
      <text>
        <r>
          <rPr>
            <sz val="8"/>
            <color indexed="81"/>
            <rFont val="Tahoma"/>
            <family val="2"/>
          </rPr>
          <t>Maximum Height/Drop is 3600mm.</t>
        </r>
      </text>
    </comment>
    <comment ref="H10" authorId="0" shapeId="0" xr:uid="{00000000-0006-0000-0200-000013000000}">
      <text>
        <r>
          <rPr>
            <sz val="8"/>
            <color indexed="81"/>
            <rFont val="Tahoma"/>
            <family val="2"/>
          </rPr>
          <t>When selecting a
Corner or Bay Window Type, 
the CMB Corner WS or CMB Bay WS 
must be completed.</t>
        </r>
      </text>
    </comment>
    <comment ref="J10" authorId="0" shapeId="0" xr:uid="{00000000-0006-0000-0200-000014000000}">
      <text>
        <r>
          <rPr>
            <sz val="8"/>
            <color indexed="81"/>
            <rFont val="Tahoma"/>
            <family val="2"/>
          </rPr>
          <t>ACT 
Actual Measurements
You have made the allowances.
NAM
No Allowances Made 
The factory will make the deductions.</t>
        </r>
      </text>
    </comment>
    <comment ref="O10" authorId="0" shapeId="0" xr:uid="{00000000-0006-0000-0200-000015000000}">
      <text>
        <r>
          <rPr>
            <sz val="8"/>
            <color indexed="81"/>
            <rFont val="Tahoma"/>
            <family val="2"/>
          </rPr>
          <t>When Yes, Cut Out measurements must be supplied in the next cells.</t>
        </r>
      </text>
    </comment>
    <comment ref="R10" authorId="0" shapeId="0" xr:uid="{00000000-0006-0000-0200-000016000000}">
      <text>
        <r>
          <rPr>
            <sz val="8"/>
            <color indexed="81"/>
            <rFont val="Tahoma"/>
            <family val="2"/>
          </rPr>
          <t>Blind Width          Maximum Cut Out Width
270 - 299mm       80mm
300 - 400mm       90mm
401 - 527mm        110mm
528 - 850mm       140mm
  &gt; 851mm              165mm</t>
        </r>
      </text>
    </comment>
    <comment ref="T10" authorId="0" shapeId="0" xr:uid="{00000000-0006-0000-0200-000017000000}">
      <text>
        <r>
          <rPr>
            <sz val="8"/>
            <color indexed="81"/>
            <rFont val="Tahoma"/>
            <family val="2"/>
          </rPr>
          <t>Blind Width          Maximum Cut Out Width
270 - 299mm       80mm
300 - 400mm       90mm
401 - 527mm        110mm
528 - 850mm       140mm
  &gt; 851mm              165mm</t>
        </r>
      </text>
    </comment>
    <comment ref="F11" authorId="0" shapeId="0" xr:uid="{00000000-0006-0000-0200-000018000000}">
      <text>
        <r>
          <rPr>
            <sz val="8"/>
            <color indexed="81"/>
            <rFont val="Tahoma"/>
            <family val="2"/>
          </rPr>
          <t>Minimum Width is 270mm.
Maximum Width is 2700mm.
All openings over 2700mm wide will require 
multiple Blinds.</t>
        </r>
      </text>
    </comment>
    <comment ref="G11" authorId="0" shapeId="0" xr:uid="{00000000-0006-0000-0200-000019000000}">
      <text>
        <r>
          <rPr>
            <sz val="8"/>
            <color indexed="81"/>
            <rFont val="Tahoma"/>
            <family val="2"/>
          </rPr>
          <t>Maximum Height/Drop is 3600mm.</t>
        </r>
      </text>
    </comment>
    <comment ref="H11" authorId="0" shapeId="0" xr:uid="{00000000-0006-0000-0200-00001A000000}">
      <text>
        <r>
          <rPr>
            <sz val="8"/>
            <color indexed="81"/>
            <rFont val="Tahoma"/>
            <family val="2"/>
          </rPr>
          <t>When selecting a
Corner or Bay Window Type, 
the CMB Corner WS or CMB Bay WS 
must be completed.</t>
        </r>
      </text>
    </comment>
    <comment ref="J11" authorId="0" shapeId="0" xr:uid="{00000000-0006-0000-0200-00001B000000}">
      <text>
        <r>
          <rPr>
            <sz val="8"/>
            <color indexed="81"/>
            <rFont val="Tahoma"/>
            <family val="2"/>
          </rPr>
          <t>ACT 
Actual Measurements
You have made the allowances.
NAM
No Allowances Made 
The factory will make the deductions.</t>
        </r>
      </text>
    </comment>
    <comment ref="O11" authorId="0" shapeId="0" xr:uid="{00000000-0006-0000-0200-00001C000000}">
      <text>
        <r>
          <rPr>
            <sz val="8"/>
            <color indexed="81"/>
            <rFont val="Tahoma"/>
            <family val="2"/>
          </rPr>
          <t>When Yes, Cut Out measurements must be supplied in the next cells.</t>
        </r>
      </text>
    </comment>
    <comment ref="R11" authorId="0" shapeId="0" xr:uid="{00000000-0006-0000-0200-00001D000000}">
      <text>
        <r>
          <rPr>
            <sz val="8"/>
            <color indexed="81"/>
            <rFont val="Tahoma"/>
            <family val="2"/>
          </rPr>
          <t>Blind Width          Maximum Cut Out Width
270 - 299mm       80mm
300 - 400mm       90mm
401 - 527mm        110mm
528 - 850mm       140mm
  &gt; 851mm              165mm</t>
        </r>
      </text>
    </comment>
    <comment ref="T11" authorId="0" shapeId="0" xr:uid="{00000000-0006-0000-0200-00001E000000}">
      <text>
        <r>
          <rPr>
            <sz val="8"/>
            <color indexed="81"/>
            <rFont val="Tahoma"/>
            <family val="2"/>
          </rPr>
          <t>Blind Width          Maximum Cut Out Width
270 - 299mm       80mm
300 - 400mm       90mm
401 - 527mm        110mm
528 - 850mm       140mm
  &gt; 851mm              165mm</t>
        </r>
      </text>
    </comment>
    <comment ref="F12" authorId="0" shapeId="0" xr:uid="{00000000-0006-0000-0200-00001F000000}">
      <text>
        <r>
          <rPr>
            <sz val="8"/>
            <color indexed="81"/>
            <rFont val="Tahoma"/>
            <family val="2"/>
          </rPr>
          <t>Minimum Width is 270mm.
Maximum Width is 2700mm.
All openings over 2700mm wide will require 
multiple Blinds.</t>
        </r>
      </text>
    </comment>
    <comment ref="G12" authorId="0" shapeId="0" xr:uid="{00000000-0006-0000-0200-000020000000}">
      <text>
        <r>
          <rPr>
            <sz val="8"/>
            <color indexed="81"/>
            <rFont val="Tahoma"/>
            <family val="2"/>
          </rPr>
          <t>Maximum Height/Drop is 3600mm.</t>
        </r>
      </text>
    </comment>
    <comment ref="H12" authorId="0" shapeId="0" xr:uid="{00000000-0006-0000-0200-000021000000}">
      <text>
        <r>
          <rPr>
            <sz val="8"/>
            <color indexed="81"/>
            <rFont val="Tahoma"/>
            <family val="2"/>
          </rPr>
          <t>When selecting a
Corner or Bay Window Type, 
the CMB Corner WS or CMB Bay WS 
must be completed.</t>
        </r>
      </text>
    </comment>
    <comment ref="J12" authorId="0" shapeId="0" xr:uid="{00000000-0006-0000-0200-000022000000}">
      <text>
        <r>
          <rPr>
            <sz val="8"/>
            <color indexed="81"/>
            <rFont val="Tahoma"/>
            <family val="2"/>
          </rPr>
          <t>ACT 
Actual Measurements
You have made the allowances.
NAM
No Allowances Made 
The factory will make the deductions.</t>
        </r>
      </text>
    </comment>
    <comment ref="O12" authorId="0" shapeId="0" xr:uid="{00000000-0006-0000-0200-000023000000}">
      <text>
        <r>
          <rPr>
            <sz val="8"/>
            <color indexed="81"/>
            <rFont val="Tahoma"/>
            <family val="2"/>
          </rPr>
          <t>When Yes, Cut Out measurements must be supplied in the next cells.</t>
        </r>
      </text>
    </comment>
    <comment ref="R12" authorId="0" shapeId="0" xr:uid="{00000000-0006-0000-0200-000024000000}">
      <text>
        <r>
          <rPr>
            <sz val="8"/>
            <color indexed="81"/>
            <rFont val="Tahoma"/>
            <family val="2"/>
          </rPr>
          <t>Blind Width          Maximum Cut Out Width
270 - 299mm       80mm
300 - 400mm       90mm
401 - 527mm        110mm
528 - 850mm       140mm
  &gt; 851mm              165mm</t>
        </r>
      </text>
    </comment>
    <comment ref="T12" authorId="0" shapeId="0" xr:uid="{00000000-0006-0000-0200-000025000000}">
      <text>
        <r>
          <rPr>
            <sz val="8"/>
            <color indexed="81"/>
            <rFont val="Tahoma"/>
            <family val="2"/>
          </rPr>
          <t>Blind Width          Maximum Cut Out Width
270 - 299mm       80mm
300 - 400mm       90mm
401 - 527mm        110mm
528 - 850mm       140mm
  &gt; 851mm              165mm</t>
        </r>
      </text>
    </comment>
    <comment ref="F13" authorId="0" shapeId="0" xr:uid="{00000000-0006-0000-0200-000026000000}">
      <text>
        <r>
          <rPr>
            <sz val="8"/>
            <color indexed="81"/>
            <rFont val="Tahoma"/>
            <family val="2"/>
          </rPr>
          <t>Minimum Width is 270mm.
Maximum Width is 2700mm.
All openings over 2700mm wide will require 
multiple Blinds.</t>
        </r>
      </text>
    </comment>
    <comment ref="G13" authorId="0" shapeId="0" xr:uid="{00000000-0006-0000-0200-000027000000}">
      <text>
        <r>
          <rPr>
            <sz val="8"/>
            <color indexed="81"/>
            <rFont val="Tahoma"/>
            <family val="2"/>
          </rPr>
          <t>Maximum Height/Drop is 3600mm.</t>
        </r>
      </text>
    </comment>
    <comment ref="H13" authorId="0" shapeId="0" xr:uid="{00000000-0006-0000-0200-000028000000}">
      <text>
        <r>
          <rPr>
            <sz val="8"/>
            <color indexed="81"/>
            <rFont val="Tahoma"/>
            <family val="2"/>
          </rPr>
          <t>When selecting a
Corner or Bay Window Type, 
the CMB Corner WS or CMB Bay WS 
must be completed.</t>
        </r>
      </text>
    </comment>
    <comment ref="J13" authorId="0" shapeId="0" xr:uid="{00000000-0006-0000-0200-000029000000}">
      <text>
        <r>
          <rPr>
            <sz val="8"/>
            <color indexed="81"/>
            <rFont val="Tahoma"/>
            <family val="2"/>
          </rPr>
          <t>ACT 
Actual Measurements
You have made the allowances.
NAM
No Allowances Made 
The factory will make the deductions.</t>
        </r>
      </text>
    </comment>
    <comment ref="O13" authorId="0" shapeId="0" xr:uid="{00000000-0006-0000-0200-00002A000000}">
      <text>
        <r>
          <rPr>
            <sz val="8"/>
            <color indexed="81"/>
            <rFont val="Tahoma"/>
            <family val="2"/>
          </rPr>
          <t>When Yes, Cut Out measurements must be supplied in the next cells.</t>
        </r>
      </text>
    </comment>
    <comment ref="R13" authorId="0" shapeId="0" xr:uid="{00000000-0006-0000-0200-00002B000000}">
      <text>
        <r>
          <rPr>
            <sz val="8"/>
            <color indexed="81"/>
            <rFont val="Tahoma"/>
            <family val="2"/>
          </rPr>
          <t>Blind Width          Maximum Cut Out Width
270 - 299mm       80mm
300 - 400mm       90mm
401 - 527mm        110mm
528 - 850mm       140mm
  &gt; 851mm              165mm</t>
        </r>
      </text>
    </comment>
    <comment ref="T13" authorId="0" shapeId="0" xr:uid="{00000000-0006-0000-0200-00002C000000}">
      <text>
        <r>
          <rPr>
            <sz val="8"/>
            <color indexed="81"/>
            <rFont val="Tahoma"/>
            <family val="2"/>
          </rPr>
          <t>Blind Width          Maximum Cut Out Width
270 - 299mm       80mm
300 - 400mm       90mm
401 - 527mm        110mm
528 - 850mm       140mm
  &gt; 851mm              165mm</t>
        </r>
      </text>
    </comment>
    <comment ref="F14" authorId="0" shapeId="0" xr:uid="{00000000-0006-0000-0200-00002D000000}">
      <text>
        <r>
          <rPr>
            <sz val="8"/>
            <color indexed="81"/>
            <rFont val="Tahoma"/>
            <family val="2"/>
          </rPr>
          <t>Minimum Width is 270mm.
Maximum Width is 2700mm.
All openings over 2700mm wide will require 
multiple Blinds.</t>
        </r>
      </text>
    </comment>
    <comment ref="G14" authorId="0" shapeId="0" xr:uid="{00000000-0006-0000-0200-00002E000000}">
      <text>
        <r>
          <rPr>
            <sz val="8"/>
            <color indexed="81"/>
            <rFont val="Tahoma"/>
            <family val="2"/>
          </rPr>
          <t>Maximum Height/Drop is 3600mm.</t>
        </r>
      </text>
    </comment>
    <comment ref="H14" authorId="0" shapeId="0" xr:uid="{00000000-0006-0000-0200-00002F000000}">
      <text>
        <r>
          <rPr>
            <sz val="8"/>
            <color indexed="81"/>
            <rFont val="Tahoma"/>
            <family val="2"/>
          </rPr>
          <t>When selecting a
Corner or Bay Window Type, 
the CMB Corner WS or CMB Bay WS 
must be completed.</t>
        </r>
      </text>
    </comment>
    <comment ref="J14" authorId="0" shapeId="0" xr:uid="{00000000-0006-0000-0200-000030000000}">
      <text>
        <r>
          <rPr>
            <sz val="8"/>
            <color indexed="81"/>
            <rFont val="Tahoma"/>
            <family val="2"/>
          </rPr>
          <t>ACT 
Actual Measurements
You have made the allowances.
NAM
No Allowances Made 
The factory will make the deductions.</t>
        </r>
      </text>
    </comment>
    <comment ref="O14" authorId="0" shapeId="0" xr:uid="{00000000-0006-0000-0200-000031000000}">
      <text>
        <r>
          <rPr>
            <sz val="8"/>
            <color indexed="81"/>
            <rFont val="Tahoma"/>
            <family val="2"/>
          </rPr>
          <t>When Yes, Cut Out measurements must be supplied in the next cells.</t>
        </r>
      </text>
    </comment>
    <comment ref="R14" authorId="0" shapeId="0" xr:uid="{00000000-0006-0000-0200-000032000000}">
      <text>
        <r>
          <rPr>
            <sz val="8"/>
            <color indexed="81"/>
            <rFont val="Tahoma"/>
            <family val="2"/>
          </rPr>
          <t>Blind Width          Maximum Cut Out Width
270 - 299mm       80mm
300 - 400mm       90mm
401 - 527mm        110mm
528 - 850mm       140mm
  &gt; 851mm              165mm</t>
        </r>
      </text>
    </comment>
    <comment ref="T14" authorId="0" shapeId="0" xr:uid="{00000000-0006-0000-0200-000033000000}">
      <text>
        <r>
          <rPr>
            <sz val="8"/>
            <color indexed="81"/>
            <rFont val="Tahoma"/>
            <family val="2"/>
          </rPr>
          <t>Blind Width          Maximum Cut Out Width
270 - 299mm       80mm
300 - 400mm       90mm
401 - 527mm        110mm
528 - 850mm       140mm
  &gt; 851mm              165mm</t>
        </r>
      </text>
    </comment>
    <comment ref="F15" authorId="0" shapeId="0" xr:uid="{00000000-0006-0000-0200-000034000000}">
      <text>
        <r>
          <rPr>
            <sz val="8"/>
            <color indexed="81"/>
            <rFont val="Tahoma"/>
            <family val="2"/>
          </rPr>
          <t>Minimum Width is 270mm.
Maximum Width is 2700mm.
All openings over 2700mm wide will require 
multiple Blinds.</t>
        </r>
      </text>
    </comment>
    <comment ref="G15" authorId="0" shapeId="0" xr:uid="{00000000-0006-0000-0200-000035000000}">
      <text>
        <r>
          <rPr>
            <sz val="8"/>
            <color indexed="81"/>
            <rFont val="Tahoma"/>
            <family val="2"/>
          </rPr>
          <t>Maximum Height/Drop is 3600mm.</t>
        </r>
      </text>
    </comment>
    <comment ref="H15" authorId="0" shapeId="0" xr:uid="{00000000-0006-0000-0200-000036000000}">
      <text>
        <r>
          <rPr>
            <sz val="8"/>
            <color indexed="81"/>
            <rFont val="Tahoma"/>
            <family val="2"/>
          </rPr>
          <t>When selecting a
Corner or Bay Window Type, 
the CMB Corner WS or CMB Bay WS 
must be completed.</t>
        </r>
      </text>
    </comment>
    <comment ref="J15" authorId="0" shapeId="0" xr:uid="{00000000-0006-0000-0200-000037000000}">
      <text>
        <r>
          <rPr>
            <sz val="8"/>
            <color indexed="81"/>
            <rFont val="Tahoma"/>
            <family val="2"/>
          </rPr>
          <t>ACT 
Actual Measurements
You have made the allowances.
NAM
No Allowances Made 
The factory will make the deductions.</t>
        </r>
      </text>
    </comment>
    <comment ref="O15" authorId="0" shapeId="0" xr:uid="{00000000-0006-0000-0200-000038000000}">
      <text>
        <r>
          <rPr>
            <sz val="8"/>
            <color indexed="81"/>
            <rFont val="Tahoma"/>
            <family val="2"/>
          </rPr>
          <t>When Yes, Cut Out measurements must be supplied in the next cells.</t>
        </r>
      </text>
    </comment>
    <comment ref="R15" authorId="0" shapeId="0" xr:uid="{00000000-0006-0000-0200-000039000000}">
      <text>
        <r>
          <rPr>
            <sz val="8"/>
            <color indexed="81"/>
            <rFont val="Tahoma"/>
            <family val="2"/>
          </rPr>
          <t>Blind Width          Maximum Cut Out Width
270 - 299mm       80mm
300 - 400mm       90mm
401 - 527mm        110mm
528 - 850mm       140mm
  &gt; 851mm              165mm</t>
        </r>
      </text>
    </comment>
    <comment ref="T15" authorId="0" shapeId="0" xr:uid="{00000000-0006-0000-0200-00003A000000}">
      <text>
        <r>
          <rPr>
            <sz val="8"/>
            <color indexed="81"/>
            <rFont val="Tahoma"/>
            <family val="2"/>
          </rPr>
          <t>Blind Width          Maximum Cut Out Width
270 - 299mm       80mm
300 - 400mm       90mm
401 - 527mm        110mm
528 - 850mm       140mm
  &gt; 851mm              165mm</t>
        </r>
      </text>
    </comment>
    <comment ref="F16" authorId="0" shapeId="0" xr:uid="{00000000-0006-0000-0200-00003B000000}">
      <text>
        <r>
          <rPr>
            <sz val="8"/>
            <color indexed="81"/>
            <rFont val="Tahoma"/>
            <family val="2"/>
          </rPr>
          <t>Minimum Width is 270mm.
Maximum Width is 2700mm.
All openings over 2700mm wide will require 
multiple Blinds.</t>
        </r>
      </text>
    </comment>
    <comment ref="G16" authorId="0" shapeId="0" xr:uid="{00000000-0006-0000-0200-00003C000000}">
      <text>
        <r>
          <rPr>
            <sz val="8"/>
            <color indexed="81"/>
            <rFont val="Tahoma"/>
            <family val="2"/>
          </rPr>
          <t>Maximum Height/Drop is 3600mm.</t>
        </r>
      </text>
    </comment>
    <comment ref="H16" authorId="0" shapeId="0" xr:uid="{00000000-0006-0000-0200-00003D000000}">
      <text>
        <r>
          <rPr>
            <sz val="8"/>
            <color indexed="81"/>
            <rFont val="Tahoma"/>
            <family val="2"/>
          </rPr>
          <t>When selecting a
Corner or Bay Window Type, 
the CMB Corner WS or CMB Bay WS 
must be completed.</t>
        </r>
      </text>
    </comment>
    <comment ref="J16" authorId="0" shapeId="0" xr:uid="{00000000-0006-0000-0200-00003E000000}">
      <text>
        <r>
          <rPr>
            <sz val="8"/>
            <color indexed="81"/>
            <rFont val="Tahoma"/>
            <family val="2"/>
          </rPr>
          <t>ACT 
Actual Measurements
You have made the allowances.
NAM
No Allowances Made 
The factory will make the deductions.</t>
        </r>
      </text>
    </comment>
    <comment ref="O16" authorId="0" shapeId="0" xr:uid="{00000000-0006-0000-0200-00003F000000}">
      <text>
        <r>
          <rPr>
            <sz val="8"/>
            <color indexed="81"/>
            <rFont val="Tahoma"/>
            <family val="2"/>
          </rPr>
          <t>When Yes, Cut Out measurements must be supplied in the next cells.</t>
        </r>
      </text>
    </comment>
    <comment ref="R16" authorId="0" shapeId="0" xr:uid="{00000000-0006-0000-0200-000040000000}">
      <text>
        <r>
          <rPr>
            <sz val="8"/>
            <color indexed="81"/>
            <rFont val="Tahoma"/>
            <family val="2"/>
          </rPr>
          <t>Blind Width          Maximum Cut Out Width
270 - 299mm       80mm
300 - 400mm       90mm
401 - 527mm        110mm
528 - 850mm       140mm
  &gt; 851mm              165mm</t>
        </r>
      </text>
    </comment>
    <comment ref="T16" authorId="0" shapeId="0" xr:uid="{00000000-0006-0000-0200-000041000000}">
      <text>
        <r>
          <rPr>
            <sz val="8"/>
            <color indexed="81"/>
            <rFont val="Tahoma"/>
            <family val="2"/>
          </rPr>
          <t>Blind Width          Maximum Cut Out Width
270 - 299mm       80mm
300 - 400mm       90mm
401 - 527mm        110mm
528 - 850mm       140mm
  &gt; 851mm              165mm</t>
        </r>
      </text>
    </comment>
    <comment ref="F17" authorId="0" shapeId="0" xr:uid="{00000000-0006-0000-0200-000042000000}">
      <text>
        <r>
          <rPr>
            <sz val="8"/>
            <color indexed="81"/>
            <rFont val="Tahoma"/>
            <family val="2"/>
          </rPr>
          <t>Minimum Width is 270mm.
Maximum Width is 2700mm.
All openings over 2700mm wide will require 
multiple Blinds.</t>
        </r>
      </text>
    </comment>
    <comment ref="G17" authorId="0" shapeId="0" xr:uid="{00000000-0006-0000-0200-000043000000}">
      <text>
        <r>
          <rPr>
            <sz val="8"/>
            <color indexed="81"/>
            <rFont val="Tahoma"/>
            <family val="2"/>
          </rPr>
          <t>Maximum Height/Drop is 3600mm.</t>
        </r>
      </text>
    </comment>
    <comment ref="H17" authorId="0" shapeId="0" xr:uid="{00000000-0006-0000-0200-000044000000}">
      <text>
        <r>
          <rPr>
            <sz val="8"/>
            <color indexed="81"/>
            <rFont val="Tahoma"/>
            <family val="2"/>
          </rPr>
          <t>When selecting a
Corner or Bay Window Type, 
the CMB Corner WS or CMB Bay WS 
must be completed.</t>
        </r>
      </text>
    </comment>
    <comment ref="J17" authorId="0" shapeId="0" xr:uid="{00000000-0006-0000-0200-000045000000}">
      <text>
        <r>
          <rPr>
            <sz val="8"/>
            <color indexed="81"/>
            <rFont val="Tahoma"/>
            <family val="2"/>
          </rPr>
          <t>ACT 
Actual Measurements
You have made the allowances.
NAM
No Allowances Made 
The factory will make the deductions.</t>
        </r>
      </text>
    </comment>
    <comment ref="O17" authorId="0" shapeId="0" xr:uid="{00000000-0006-0000-0200-000046000000}">
      <text>
        <r>
          <rPr>
            <sz val="8"/>
            <color indexed="81"/>
            <rFont val="Tahoma"/>
            <family val="2"/>
          </rPr>
          <t>When Yes, Cut Out measurements must be supplied in the next cells.</t>
        </r>
      </text>
    </comment>
    <comment ref="R17" authorId="0" shapeId="0" xr:uid="{00000000-0006-0000-0200-000047000000}">
      <text>
        <r>
          <rPr>
            <sz val="8"/>
            <color indexed="81"/>
            <rFont val="Tahoma"/>
            <family val="2"/>
          </rPr>
          <t>Blind Width          Maximum Cut Out Width
270 - 299mm       80mm
300 - 400mm       90mm
401 - 527mm        110mm
528 - 850mm       140mm
  &gt; 851mm              165mm</t>
        </r>
      </text>
    </comment>
    <comment ref="T17" authorId="0" shapeId="0" xr:uid="{00000000-0006-0000-0200-000048000000}">
      <text>
        <r>
          <rPr>
            <sz val="8"/>
            <color indexed="81"/>
            <rFont val="Tahoma"/>
            <family val="2"/>
          </rPr>
          <t>Blind Width          Maximum Cut Out Width
270 - 299mm       80mm
300 - 400mm       90mm
401 - 527mm        110mm
528 - 850mm       140mm
  &gt; 851mm              165mm</t>
        </r>
      </text>
    </comment>
    <comment ref="F18" authorId="0" shapeId="0" xr:uid="{00000000-0006-0000-0200-000049000000}">
      <text>
        <r>
          <rPr>
            <sz val="8"/>
            <color indexed="81"/>
            <rFont val="Tahoma"/>
            <family val="2"/>
          </rPr>
          <t>Minimum Width is 270mm.
Maximum Width is 2700mm.
All openings over 2700mm wide will require 
multiple Blinds.</t>
        </r>
      </text>
    </comment>
    <comment ref="G18" authorId="0" shapeId="0" xr:uid="{00000000-0006-0000-0200-00004A000000}">
      <text>
        <r>
          <rPr>
            <sz val="8"/>
            <color indexed="81"/>
            <rFont val="Tahoma"/>
            <family val="2"/>
          </rPr>
          <t>Maximum Height/Drop is 3600mm.</t>
        </r>
      </text>
    </comment>
    <comment ref="H18" authorId="0" shapeId="0" xr:uid="{00000000-0006-0000-0200-00004B000000}">
      <text>
        <r>
          <rPr>
            <sz val="8"/>
            <color indexed="81"/>
            <rFont val="Tahoma"/>
            <family val="2"/>
          </rPr>
          <t>When selecting a
Corner or Bay Window Type, 
the CMB Corner WS or CMB Bay WS 
must be completed.</t>
        </r>
      </text>
    </comment>
    <comment ref="J18" authorId="0" shapeId="0" xr:uid="{00000000-0006-0000-0200-00004C000000}">
      <text>
        <r>
          <rPr>
            <sz val="8"/>
            <color indexed="81"/>
            <rFont val="Tahoma"/>
            <family val="2"/>
          </rPr>
          <t>ACT 
Actual Measurements
You have made the allowances.
NAM
No Allowances Made 
The factory will make the deductions.</t>
        </r>
      </text>
    </comment>
    <comment ref="O18" authorId="0" shapeId="0" xr:uid="{00000000-0006-0000-0200-00004D000000}">
      <text>
        <r>
          <rPr>
            <sz val="8"/>
            <color indexed="81"/>
            <rFont val="Tahoma"/>
            <family val="2"/>
          </rPr>
          <t>When Yes, Cut Out measurements must be supplied in the next cells.</t>
        </r>
      </text>
    </comment>
    <comment ref="R18" authorId="0" shapeId="0" xr:uid="{00000000-0006-0000-0200-00004E000000}">
      <text>
        <r>
          <rPr>
            <sz val="8"/>
            <color indexed="81"/>
            <rFont val="Tahoma"/>
            <family val="2"/>
          </rPr>
          <t>Blind Width          Maximum Cut Out Width
270 - 299mm       80mm
300 - 400mm       90mm
401 - 527mm        110mm
528 - 850mm       140mm
  &gt; 851mm              165mm</t>
        </r>
      </text>
    </comment>
    <comment ref="T18" authorId="0" shapeId="0" xr:uid="{00000000-0006-0000-0200-00004F000000}">
      <text>
        <r>
          <rPr>
            <sz val="8"/>
            <color indexed="81"/>
            <rFont val="Tahoma"/>
            <family val="2"/>
          </rPr>
          <t>Blind Width          Maximum Cut Out Width
270 - 299mm       80mm
300 - 400mm       90mm
401 - 527mm        110mm
528 - 850mm       140mm
  &gt; 851mm              165mm</t>
        </r>
      </text>
    </comment>
    <comment ref="F19" authorId="0" shapeId="0" xr:uid="{00000000-0006-0000-0200-000050000000}">
      <text>
        <r>
          <rPr>
            <sz val="8"/>
            <color indexed="81"/>
            <rFont val="Tahoma"/>
            <family val="2"/>
          </rPr>
          <t>Minimum Width is 270mm.
Maximum Width is 2700mm.
All openings over 2700mm wide will require 
multiple Blinds.</t>
        </r>
      </text>
    </comment>
    <comment ref="G19" authorId="0" shapeId="0" xr:uid="{00000000-0006-0000-0200-000051000000}">
      <text>
        <r>
          <rPr>
            <sz val="8"/>
            <color indexed="81"/>
            <rFont val="Tahoma"/>
            <family val="2"/>
          </rPr>
          <t>Maximum Height/Drop is 3600mm.</t>
        </r>
      </text>
    </comment>
    <comment ref="H19" authorId="0" shapeId="0" xr:uid="{00000000-0006-0000-0200-000052000000}">
      <text>
        <r>
          <rPr>
            <sz val="8"/>
            <color indexed="81"/>
            <rFont val="Tahoma"/>
            <family val="2"/>
          </rPr>
          <t>When selecting a
Corner or Bay Window Type, 
the CMB Corner WS or CMB Bay WS 
must be completed.</t>
        </r>
      </text>
    </comment>
    <comment ref="J19" authorId="0" shapeId="0" xr:uid="{00000000-0006-0000-0200-000053000000}">
      <text>
        <r>
          <rPr>
            <sz val="8"/>
            <color indexed="81"/>
            <rFont val="Tahoma"/>
            <family val="2"/>
          </rPr>
          <t>ACT 
Actual Measurements
You have made the allowances.
NAM
No Allowances Made 
The factory will make the deductions.</t>
        </r>
      </text>
    </comment>
    <comment ref="O19" authorId="0" shapeId="0" xr:uid="{00000000-0006-0000-0200-000054000000}">
      <text>
        <r>
          <rPr>
            <sz val="8"/>
            <color indexed="81"/>
            <rFont val="Tahoma"/>
            <family val="2"/>
          </rPr>
          <t>When Yes, Cut Out measurements must be supplied in the next cells.</t>
        </r>
      </text>
    </comment>
    <comment ref="R19" authorId="0" shapeId="0" xr:uid="{00000000-0006-0000-0200-000055000000}">
      <text>
        <r>
          <rPr>
            <sz val="8"/>
            <color indexed="81"/>
            <rFont val="Tahoma"/>
            <family val="2"/>
          </rPr>
          <t>Blind Width          Maximum Cut Out Width
270 - 299mm       80mm
300 - 400mm       90mm
401 - 527mm        110mm
528 - 850mm       140mm
  &gt; 851mm              165mm</t>
        </r>
      </text>
    </comment>
    <comment ref="T19" authorId="0" shapeId="0" xr:uid="{00000000-0006-0000-0200-000056000000}">
      <text>
        <r>
          <rPr>
            <sz val="8"/>
            <color indexed="81"/>
            <rFont val="Tahoma"/>
            <family val="2"/>
          </rPr>
          <t>Blind Width          Maximum Cut Out Width
270 - 299mm       80mm
300 - 400mm       90mm
401 - 527mm        110mm
528 - 850mm       140mm
  &gt; 851mm              165mm</t>
        </r>
      </text>
    </comment>
    <comment ref="F20" authorId="0" shapeId="0" xr:uid="{00000000-0006-0000-0200-000057000000}">
      <text>
        <r>
          <rPr>
            <sz val="8"/>
            <color indexed="81"/>
            <rFont val="Tahoma"/>
            <family val="2"/>
          </rPr>
          <t>Minimum Width is 270mm.
Maximum Width is 2700mm.
All openings over 2700mm wide will require 
multiple Blinds.</t>
        </r>
      </text>
    </comment>
    <comment ref="G20" authorId="0" shapeId="0" xr:uid="{00000000-0006-0000-0200-000058000000}">
      <text>
        <r>
          <rPr>
            <sz val="8"/>
            <color indexed="81"/>
            <rFont val="Tahoma"/>
            <family val="2"/>
          </rPr>
          <t>Maximum Height/Drop is 3600mm.</t>
        </r>
      </text>
    </comment>
    <comment ref="H20" authorId="0" shapeId="0" xr:uid="{00000000-0006-0000-0200-000059000000}">
      <text>
        <r>
          <rPr>
            <sz val="8"/>
            <color indexed="81"/>
            <rFont val="Tahoma"/>
            <family val="2"/>
          </rPr>
          <t>When selecting a
Corner or Bay Window Type, 
the CMB Corner WS or CMB Bay WS 
must be completed.</t>
        </r>
      </text>
    </comment>
    <comment ref="J20" authorId="0" shapeId="0" xr:uid="{00000000-0006-0000-0200-00005A000000}">
      <text>
        <r>
          <rPr>
            <sz val="8"/>
            <color indexed="81"/>
            <rFont val="Tahoma"/>
            <family val="2"/>
          </rPr>
          <t>ACT 
Actual Measurements
You have made the allowances.
NAM
No Allowances Made 
The factory will make the deductions.</t>
        </r>
      </text>
    </comment>
    <comment ref="O20" authorId="0" shapeId="0" xr:uid="{00000000-0006-0000-0200-00005B000000}">
      <text>
        <r>
          <rPr>
            <sz val="8"/>
            <color indexed="81"/>
            <rFont val="Tahoma"/>
            <family val="2"/>
          </rPr>
          <t>When Yes, Cut Out measurements must be supplied in the next cells.</t>
        </r>
      </text>
    </comment>
    <comment ref="R20" authorId="0" shapeId="0" xr:uid="{00000000-0006-0000-0200-00005C000000}">
      <text>
        <r>
          <rPr>
            <sz val="8"/>
            <color indexed="81"/>
            <rFont val="Tahoma"/>
            <family val="2"/>
          </rPr>
          <t>Blind Width          Maximum Cut Out Width
270 - 299mm       80mm
300 - 400mm       90mm
401 - 527mm        110mm
528 - 850mm       140mm
  &gt; 851mm              165mm</t>
        </r>
      </text>
    </comment>
    <comment ref="T20" authorId="0" shapeId="0" xr:uid="{00000000-0006-0000-0200-00005D000000}">
      <text>
        <r>
          <rPr>
            <sz val="8"/>
            <color indexed="81"/>
            <rFont val="Tahoma"/>
            <family val="2"/>
          </rPr>
          <t>Blind Width          Maximum Cut Out Width
270 - 299mm       80mm
300 - 400mm       90mm
401 - 527mm        110mm
528 - 850mm       140mm
  &gt; 851mm              165mm</t>
        </r>
      </text>
    </comment>
    <comment ref="F21" authorId="0" shapeId="0" xr:uid="{00000000-0006-0000-0200-00005E000000}">
      <text>
        <r>
          <rPr>
            <sz val="8"/>
            <color indexed="81"/>
            <rFont val="Tahoma"/>
            <family val="2"/>
          </rPr>
          <t>Minimum Width is 270mm.
Maximum Width is 2700mm.
All openings over 2700mm wide will require 
multiple Blinds.</t>
        </r>
      </text>
    </comment>
    <comment ref="G21" authorId="0" shapeId="0" xr:uid="{00000000-0006-0000-0200-00005F000000}">
      <text>
        <r>
          <rPr>
            <sz val="8"/>
            <color indexed="81"/>
            <rFont val="Tahoma"/>
            <family val="2"/>
          </rPr>
          <t>Maximum Height/Drop is 3600mm.</t>
        </r>
      </text>
    </comment>
    <comment ref="H21" authorId="0" shapeId="0" xr:uid="{00000000-0006-0000-0200-000060000000}">
      <text>
        <r>
          <rPr>
            <sz val="8"/>
            <color indexed="81"/>
            <rFont val="Tahoma"/>
            <family val="2"/>
          </rPr>
          <t>When selecting a
Corner or Bay Window Type, 
the CMB Corner WS or CMB Bay WS 
must be completed.</t>
        </r>
      </text>
    </comment>
    <comment ref="J21" authorId="0" shapeId="0" xr:uid="{00000000-0006-0000-0200-000061000000}">
      <text>
        <r>
          <rPr>
            <sz val="8"/>
            <color indexed="81"/>
            <rFont val="Tahoma"/>
            <family val="2"/>
          </rPr>
          <t>ACT 
Actual Measurements
You have made the allowances.
NAM
No Allowances Made 
The factory will make the deductions.</t>
        </r>
      </text>
    </comment>
    <comment ref="O21" authorId="0" shapeId="0" xr:uid="{00000000-0006-0000-0200-000062000000}">
      <text>
        <r>
          <rPr>
            <sz val="8"/>
            <color indexed="81"/>
            <rFont val="Tahoma"/>
            <family val="2"/>
          </rPr>
          <t>When Yes, Cut Out measurements must be supplied in the next cells.</t>
        </r>
      </text>
    </comment>
    <comment ref="R21" authorId="0" shapeId="0" xr:uid="{00000000-0006-0000-0200-000063000000}">
      <text>
        <r>
          <rPr>
            <sz val="8"/>
            <color indexed="81"/>
            <rFont val="Tahoma"/>
            <family val="2"/>
          </rPr>
          <t>Blind Width          Maximum Cut Out Width
270 - 299mm       80mm
300 - 400mm       90mm
401 - 527mm        110mm
528 - 850mm       140mm
  &gt; 851mm              165mm</t>
        </r>
      </text>
    </comment>
    <comment ref="T21" authorId="0" shapeId="0" xr:uid="{00000000-0006-0000-0200-000064000000}">
      <text>
        <r>
          <rPr>
            <sz val="8"/>
            <color indexed="81"/>
            <rFont val="Tahoma"/>
            <family val="2"/>
          </rPr>
          <t>Blind Width          Maximum Cut Out Width
270 - 299mm       80mm
300 - 400mm       90mm
401 - 527mm        110mm
528 - 850mm       140mm
  &gt; 851mm              165mm</t>
        </r>
      </text>
    </comment>
    <comment ref="F22" authorId="0" shapeId="0" xr:uid="{00000000-0006-0000-0200-000065000000}">
      <text>
        <r>
          <rPr>
            <sz val="8"/>
            <color indexed="81"/>
            <rFont val="Tahoma"/>
            <family val="2"/>
          </rPr>
          <t>Minimum Width is 270mm.
Maximum Width is 2700mm.
All openings over 2700mm wide will require 
multiple Blinds.</t>
        </r>
      </text>
    </comment>
    <comment ref="G22" authorId="0" shapeId="0" xr:uid="{00000000-0006-0000-0200-000066000000}">
      <text>
        <r>
          <rPr>
            <sz val="8"/>
            <color indexed="81"/>
            <rFont val="Tahoma"/>
            <family val="2"/>
          </rPr>
          <t>Maximum Height/Drop is 3600mm.</t>
        </r>
      </text>
    </comment>
    <comment ref="H22" authorId="0" shapeId="0" xr:uid="{00000000-0006-0000-0200-000067000000}">
      <text>
        <r>
          <rPr>
            <sz val="8"/>
            <color indexed="81"/>
            <rFont val="Tahoma"/>
            <family val="2"/>
          </rPr>
          <t>When selecting a
Corner or Bay Window Type, 
the CMB Corner WS or CMB Bay WS 
must be completed.</t>
        </r>
      </text>
    </comment>
    <comment ref="J22" authorId="0" shapeId="0" xr:uid="{00000000-0006-0000-0200-000068000000}">
      <text>
        <r>
          <rPr>
            <sz val="8"/>
            <color indexed="81"/>
            <rFont val="Tahoma"/>
            <family val="2"/>
          </rPr>
          <t>ACT 
Actual Measurements
You have made the allowances.
NAM
No Allowances Made 
The factory will make the deductions.</t>
        </r>
      </text>
    </comment>
    <comment ref="O22" authorId="0" shapeId="0" xr:uid="{00000000-0006-0000-0200-000069000000}">
      <text>
        <r>
          <rPr>
            <sz val="8"/>
            <color indexed="81"/>
            <rFont val="Tahoma"/>
            <family val="2"/>
          </rPr>
          <t>When Yes, Cut Out measurements must be supplied in the next cells.</t>
        </r>
      </text>
    </comment>
    <comment ref="R22" authorId="0" shapeId="0" xr:uid="{00000000-0006-0000-0200-00006A000000}">
      <text>
        <r>
          <rPr>
            <sz val="8"/>
            <color indexed="81"/>
            <rFont val="Tahoma"/>
            <family val="2"/>
          </rPr>
          <t>Blind Width          Maximum Cut Out Width
270 - 299mm       80mm
300 - 400mm       90mm
401 - 527mm        110mm
528 - 850mm       140mm
  &gt; 851mm              165mm</t>
        </r>
      </text>
    </comment>
    <comment ref="T22" authorId="0" shapeId="0" xr:uid="{00000000-0006-0000-0200-00006B000000}">
      <text>
        <r>
          <rPr>
            <sz val="8"/>
            <color indexed="81"/>
            <rFont val="Tahoma"/>
            <family val="2"/>
          </rPr>
          <t>Blind Width          Maximum Cut Out Width
270 - 299mm       80mm
300 - 400mm       90mm
401 - 527mm        110mm
528 - 850mm       140mm
  &gt; 851mm              165mm</t>
        </r>
      </text>
    </comment>
    <comment ref="F23" authorId="0" shapeId="0" xr:uid="{00000000-0006-0000-0200-00006C000000}">
      <text>
        <r>
          <rPr>
            <sz val="8"/>
            <color indexed="81"/>
            <rFont val="Tahoma"/>
            <family val="2"/>
          </rPr>
          <t>Minimum Width is 270mm.
Maximum Width is 2700mm.
All openings over 2700mm wide will require 
multiple Blinds.</t>
        </r>
      </text>
    </comment>
    <comment ref="G23" authorId="0" shapeId="0" xr:uid="{00000000-0006-0000-0200-00006D000000}">
      <text>
        <r>
          <rPr>
            <sz val="8"/>
            <color indexed="81"/>
            <rFont val="Tahoma"/>
            <family val="2"/>
          </rPr>
          <t>Maximum Height/Drop is 3600mm.</t>
        </r>
      </text>
    </comment>
    <comment ref="H23" authorId="0" shapeId="0" xr:uid="{00000000-0006-0000-0200-00006E000000}">
      <text>
        <r>
          <rPr>
            <sz val="8"/>
            <color indexed="81"/>
            <rFont val="Tahoma"/>
            <family val="2"/>
          </rPr>
          <t>When selecting a
Corner or Bay Window Type, 
the CMB Corner WS or CMB Bay WS 
must be completed.</t>
        </r>
      </text>
    </comment>
    <comment ref="J23" authorId="0" shapeId="0" xr:uid="{00000000-0006-0000-0200-00006F000000}">
      <text>
        <r>
          <rPr>
            <sz val="8"/>
            <color indexed="81"/>
            <rFont val="Tahoma"/>
            <family val="2"/>
          </rPr>
          <t>ACT 
Actual Measurements
You have made the allowances.
NAM
No Allowances Made 
The factory will make the deductions.</t>
        </r>
      </text>
    </comment>
    <comment ref="O23" authorId="0" shapeId="0" xr:uid="{00000000-0006-0000-0200-000070000000}">
      <text>
        <r>
          <rPr>
            <sz val="8"/>
            <color indexed="81"/>
            <rFont val="Tahoma"/>
            <family val="2"/>
          </rPr>
          <t>When Yes, Cut Out measurements must be supplied in the next cells.</t>
        </r>
      </text>
    </comment>
    <comment ref="R23" authorId="0" shapeId="0" xr:uid="{00000000-0006-0000-0200-000071000000}">
      <text>
        <r>
          <rPr>
            <sz val="8"/>
            <color indexed="81"/>
            <rFont val="Tahoma"/>
            <family val="2"/>
          </rPr>
          <t>Blind Width          Maximum Cut Out Width
270 - 299mm       80mm
300 - 400mm       90mm
401 - 527mm        110mm
528 - 850mm       140mm
  &gt; 851mm              165mm</t>
        </r>
      </text>
    </comment>
    <comment ref="T23" authorId="0" shapeId="0" xr:uid="{00000000-0006-0000-0200-000072000000}">
      <text>
        <r>
          <rPr>
            <sz val="8"/>
            <color indexed="81"/>
            <rFont val="Tahoma"/>
            <family val="2"/>
          </rPr>
          <t>Blind Width          Maximum Cut Out Width
270 - 299mm       80mm
300 - 400mm       90mm
401 - 527mm        110mm
528 - 850mm       140mm
  &gt; 851mm              165mm</t>
        </r>
      </text>
    </comment>
    <comment ref="F24" authorId="0" shapeId="0" xr:uid="{00000000-0006-0000-0200-000073000000}">
      <text>
        <r>
          <rPr>
            <sz val="8"/>
            <color indexed="81"/>
            <rFont val="Tahoma"/>
            <family val="2"/>
          </rPr>
          <t>Minimum Width is 270mm.
Maximum Width is 2700mm.
All openings over 2700mm wide will require 
multiple Blinds.</t>
        </r>
      </text>
    </comment>
    <comment ref="G24" authorId="0" shapeId="0" xr:uid="{00000000-0006-0000-0200-000074000000}">
      <text>
        <r>
          <rPr>
            <sz val="8"/>
            <color indexed="81"/>
            <rFont val="Tahoma"/>
            <family val="2"/>
          </rPr>
          <t>Maximum Height/Drop is 3600mm.</t>
        </r>
      </text>
    </comment>
    <comment ref="H24" authorId="0" shapeId="0" xr:uid="{00000000-0006-0000-0200-000075000000}">
      <text>
        <r>
          <rPr>
            <sz val="8"/>
            <color indexed="81"/>
            <rFont val="Tahoma"/>
            <family val="2"/>
          </rPr>
          <t>When selecting a
Corner or Bay Window Type, 
the CMB Corner WS or CMB Bay WS 
must be completed.</t>
        </r>
      </text>
    </comment>
    <comment ref="J24" authorId="0" shapeId="0" xr:uid="{00000000-0006-0000-0200-000076000000}">
      <text>
        <r>
          <rPr>
            <sz val="8"/>
            <color indexed="81"/>
            <rFont val="Tahoma"/>
            <family val="2"/>
          </rPr>
          <t>ACT 
Actual Measurements
You have made the allowances.
NAM
No Allowances Made 
The factory will make the deductions.</t>
        </r>
      </text>
    </comment>
    <comment ref="O24" authorId="0" shapeId="0" xr:uid="{00000000-0006-0000-0200-000077000000}">
      <text>
        <r>
          <rPr>
            <sz val="8"/>
            <color indexed="81"/>
            <rFont val="Tahoma"/>
            <family val="2"/>
          </rPr>
          <t>When Yes, Cut Out measurements must be supplied in the next cells.</t>
        </r>
      </text>
    </comment>
    <comment ref="R24" authorId="0" shapeId="0" xr:uid="{00000000-0006-0000-0200-000078000000}">
      <text>
        <r>
          <rPr>
            <sz val="8"/>
            <color indexed="81"/>
            <rFont val="Tahoma"/>
            <family val="2"/>
          </rPr>
          <t>Blind Width          Maximum Cut Out Width
270 - 299mm       80mm
300 - 400mm       90mm
401 - 527mm        110mm
528 - 850mm       140mm
  &gt; 851mm              165mm</t>
        </r>
      </text>
    </comment>
    <comment ref="T24" authorId="0" shapeId="0" xr:uid="{00000000-0006-0000-0200-000079000000}">
      <text>
        <r>
          <rPr>
            <sz val="8"/>
            <color indexed="81"/>
            <rFont val="Tahoma"/>
            <family val="2"/>
          </rPr>
          <t>Blind Width          Maximum Cut Out Width
270 - 299mm       80mm
300 - 400mm       90mm
401 - 527mm        110mm
528 - 850mm       140mm
  &gt; 851mm              165mm</t>
        </r>
      </text>
    </comment>
    <comment ref="F25" authorId="0" shapeId="0" xr:uid="{00000000-0006-0000-0200-00007A000000}">
      <text>
        <r>
          <rPr>
            <sz val="8"/>
            <color indexed="81"/>
            <rFont val="Tahoma"/>
            <family val="2"/>
          </rPr>
          <t>Minimum Width is 270mm.
Maximum Width is 2700mm.
All openings over 2700mm wide will require 
multiple Blinds.</t>
        </r>
      </text>
    </comment>
    <comment ref="G25" authorId="0" shapeId="0" xr:uid="{00000000-0006-0000-0200-00007B000000}">
      <text>
        <r>
          <rPr>
            <sz val="8"/>
            <color indexed="81"/>
            <rFont val="Tahoma"/>
            <family val="2"/>
          </rPr>
          <t>Maximum Height/Drop is 3600mm.</t>
        </r>
      </text>
    </comment>
    <comment ref="H25" authorId="0" shapeId="0" xr:uid="{00000000-0006-0000-0200-00007C000000}">
      <text>
        <r>
          <rPr>
            <sz val="8"/>
            <color indexed="81"/>
            <rFont val="Tahoma"/>
            <family val="2"/>
          </rPr>
          <t>When selecting a
Corner or Bay Window Type, 
the CMB Corner WS or CMB Bay WS 
must be completed.</t>
        </r>
      </text>
    </comment>
    <comment ref="J25" authorId="0" shapeId="0" xr:uid="{00000000-0006-0000-0200-00007D000000}">
      <text>
        <r>
          <rPr>
            <sz val="8"/>
            <color indexed="81"/>
            <rFont val="Tahoma"/>
            <family val="2"/>
          </rPr>
          <t>ACT 
Actual Measurements
You have made the allowances.
NAM
No Allowances Made 
The factory will make the deductions.</t>
        </r>
      </text>
    </comment>
    <comment ref="O25" authorId="0" shapeId="0" xr:uid="{00000000-0006-0000-0200-00007E000000}">
      <text>
        <r>
          <rPr>
            <sz val="8"/>
            <color indexed="81"/>
            <rFont val="Tahoma"/>
            <family val="2"/>
          </rPr>
          <t>When Yes, Cut Out measurements must be supplied in the next cells.</t>
        </r>
      </text>
    </comment>
    <comment ref="R25" authorId="0" shapeId="0" xr:uid="{00000000-0006-0000-0200-00007F000000}">
      <text>
        <r>
          <rPr>
            <sz val="8"/>
            <color indexed="81"/>
            <rFont val="Tahoma"/>
            <family val="2"/>
          </rPr>
          <t>Blind Width          Maximum Cut Out Width
270 - 299mm       80mm
300 - 400mm       90mm
401 - 527mm        110mm
528 - 850mm       140mm
  &gt; 851mm              165mm</t>
        </r>
      </text>
    </comment>
    <comment ref="T25" authorId="0" shapeId="0" xr:uid="{00000000-0006-0000-0200-000080000000}">
      <text>
        <r>
          <rPr>
            <sz val="8"/>
            <color indexed="81"/>
            <rFont val="Tahoma"/>
            <family val="2"/>
          </rPr>
          <t>Blind Width          Maximum Cut Out Width
270 - 299mm       80mm
300 - 400mm       90mm
401 - 527mm        110mm
528 - 850mm       140mm
  &gt; 851mm              165mm</t>
        </r>
      </text>
    </comment>
    <comment ref="F26" authorId="0" shapeId="0" xr:uid="{00000000-0006-0000-0200-000081000000}">
      <text>
        <r>
          <rPr>
            <sz val="8"/>
            <color indexed="81"/>
            <rFont val="Tahoma"/>
            <family val="2"/>
          </rPr>
          <t>Minimum Width is 270mm.
Maximum Width is 2700mm.
All openings over 2700mm wide will require 
multiple Blinds.</t>
        </r>
      </text>
    </comment>
    <comment ref="G26" authorId="0" shapeId="0" xr:uid="{00000000-0006-0000-0200-000082000000}">
      <text>
        <r>
          <rPr>
            <sz val="8"/>
            <color indexed="81"/>
            <rFont val="Tahoma"/>
            <family val="2"/>
          </rPr>
          <t>Maximum Height/Drop is 3600mm.</t>
        </r>
      </text>
    </comment>
    <comment ref="H26" authorId="0" shapeId="0" xr:uid="{00000000-0006-0000-0200-000083000000}">
      <text>
        <r>
          <rPr>
            <sz val="8"/>
            <color indexed="81"/>
            <rFont val="Tahoma"/>
            <family val="2"/>
          </rPr>
          <t>When selecting a
Corner or Bay Window Type, 
the CMB Corner WS or CMB Bay WS 
must be completed.</t>
        </r>
      </text>
    </comment>
    <comment ref="J26" authorId="0" shapeId="0" xr:uid="{00000000-0006-0000-0200-000084000000}">
      <text>
        <r>
          <rPr>
            <sz val="8"/>
            <color indexed="81"/>
            <rFont val="Tahoma"/>
            <family val="2"/>
          </rPr>
          <t>ACT 
Actual Measurements
You have made the allowances.
NAM
No Allowances Made 
The factory will make the deductions.</t>
        </r>
      </text>
    </comment>
    <comment ref="O26" authorId="0" shapeId="0" xr:uid="{00000000-0006-0000-0200-000085000000}">
      <text>
        <r>
          <rPr>
            <sz val="8"/>
            <color indexed="81"/>
            <rFont val="Tahoma"/>
            <family val="2"/>
          </rPr>
          <t>When Yes, Cut Out measurements must be supplied in the next cells.</t>
        </r>
      </text>
    </comment>
    <comment ref="R26" authorId="0" shapeId="0" xr:uid="{00000000-0006-0000-0200-000086000000}">
      <text>
        <r>
          <rPr>
            <sz val="8"/>
            <color indexed="81"/>
            <rFont val="Tahoma"/>
            <family val="2"/>
          </rPr>
          <t>Blind Width          Maximum Cut Out Width
270 - 299mm       80mm
300 - 400mm       90mm
401 - 527mm        110mm
528 - 850mm       140mm
  &gt; 851mm              165mm</t>
        </r>
      </text>
    </comment>
    <comment ref="T26" authorId="0" shapeId="0" xr:uid="{00000000-0006-0000-0200-000087000000}">
      <text>
        <r>
          <rPr>
            <sz val="8"/>
            <color indexed="81"/>
            <rFont val="Tahoma"/>
            <family val="2"/>
          </rPr>
          <t>Blind Width          Maximum Cut Out Width
270 - 299mm       80mm
300 - 400mm       90mm
401 - 527mm        110mm
528 - 850mm       140mm
  &gt; 851mm              165mm</t>
        </r>
      </text>
    </comment>
    <comment ref="F27" authorId="0" shapeId="0" xr:uid="{00000000-0006-0000-0200-000088000000}">
      <text>
        <r>
          <rPr>
            <sz val="8"/>
            <color indexed="81"/>
            <rFont val="Tahoma"/>
            <family val="2"/>
          </rPr>
          <t>Minimum Width is 270mm.
Maximum Width is 2700mm.
All openings over 2700mm wide will require 
multiple Blinds.</t>
        </r>
      </text>
    </comment>
    <comment ref="G27" authorId="0" shapeId="0" xr:uid="{00000000-0006-0000-0200-000089000000}">
      <text>
        <r>
          <rPr>
            <sz val="8"/>
            <color indexed="81"/>
            <rFont val="Tahoma"/>
            <family val="2"/>
          </rPr>
          <t>Maximum Height/Drop is 3600mm.</t>
        </r>
      </text>
    </comment>
    <comment ref="H27" authorId="0" shapeId="0" xr:uid="{00000000-0006-0000-0200-00008A000000}">
      <text>
        <r>
          <rPr>
            <sz val="8"/>
            <color indexed="81"/>
            <rFont val="Tahoma"/>
            <family val="2"/>
          </rPr>
          <t>When selecting a
Corner or Bay Window Type, 
the CMB Corner WS or CMB Bay WS 
must be completed.</t>
        </r>
      </text>
    </comment>
    <comment ref="J27" authorId="0" shapeId="0" xr:uid="{00000000-0006-0000-0200-00008B000000}">
      <text>
        <r>
          <rPr>
            <sz val="8"/>
            <color indexed="81"/>
            <rFont val="Tahoma"/>
            <family val="2"/>
          </rPr>
          <t>ACT 
Actual Measurements
You have made the allowances.
NAM
No Allowances Made 
The factory will make the deductions.</t>
        </r>
      </text>
    </comment>
    <comment ref="O27" authorId="0" shapeId="0" xr:uid="{00000000-0006-0000-0200-00008C000000}">
      <text>
        <r>
          <rPr>
            <sz val="8"/>
            <color indexed="81"/>
            <rFont val="Tahoma"/>
            <family val="2"/>
          </rPr>
          <t>When Yes, Cut Out measurements must be supplied in the next cells.</t>
        </r>
      </text>
    </comment>
    <comment ref="R27" authorId="0" shapeId="0" xr:uid="{00000000-0006-0000-0200-00008D000000}">
      <text>
        <r>
          <rPr>
            <sz val="8"/>
            <color indexed="81"/>
            <rFont val="Tahoma"/>
            <family val="2"/>
          </rPr>
          <t>Blind Width          Maximum Cut Out Width
270 - 299mm       80mm
300 - 400mm       90mm
401 - 527mm        110mm
528 - 850mm       140mm
  &gt; 851mm              165mm</t>
        </r>
      </text>
    </comment>
    <comment ref="T27" authorId="0" shapeId="0" xr:uid="{00000000-0006-0000-0200-00008E000000}">
      <text>
        <r>
          <rPr>
            <sz val="8"/>
            <color indexed="81"/>
            <rFont val="Tahoma"/>
            <family val="2"/>
          </rPr>
          <t>Blind Width          Maximum Cut Out Width
270 - 299mm       80mm
300 - 400mm       90mm
401 - 527mm        110mm
528 - 850mm       140mm
  &gt; 851mm              165mm</t>
        </r>
      </text>
    </comment>
    <comment ref="F28" authorId="0" shapeId="0" xr:uid="{00000000-0006-0000-0200-00008F000000}">
      <text>
        <r>
          <rPr>
            <sz val="8"/>
            <color indexed="81"/>
            <rFont val="Tahoma"/>
            <family val="2"/>
          </rPr>
          <t>Minimum Width is 270mm.
Maximum Width is 2700mm.
All openings over 2700mm wide will require 
multiple Blinds.</t>
        </r>
      </text>
    </comment>
    <comment ref="G28" authorId="0" shapeId="0" xr:uid="{00000000-0006-0000-0200-000090000000}">
      <text>
        <r>
          <rPr>
            <sz val="8"/>
            <color indexed="81"/>
            <rFont val="Tahoma"/>
            <family val="2"/>
          </rPr>
          <t>Maximum Height/Drop is 3600mm.</t>
        </r>
      </text>
    </comment>
    <comment ref="H28" authorId="0" shapeId="0" xr:uid="{00000000-0006-0000-0200-000091000000}">
      <text>
        <r>
          <rPr>
            <sz val="8"/>
            <color indexed="81"/>
            <rFont val="Tahoma"/>
            <family val="2"/>
          </rPr>
          <t>When selecting a
Corner or Bay Window Type, 
the CMB Corner WS or CMB Bay WS 
must be completed.</t>
        </r>
      </text>
    </comment>
    <comment ref="J28" authorId="0" shapeId="0" xr:uid="{00000000-0006-0000-0200-000092000000}">
      <text>
        <r>
          <rPr>
            <sz val="8"/>
            <color indexed="81"/>
            <rFont val="Tahoma"/>
            <family val="2"/>
          </rPr>
          <t>ACT 
Actual Measurements
You have made the allowances.
NAM
No Allowances Made 
The factory will make the deductions.</t>
        </r>
      </text>
    </comment>
    <comment ref="O28" authorId="0" shapeId="0" xr:uid="{00000000-0006-0000-0200-000093000000}">
      <text>
        <r>
          <rPr>
            <sz val="8"/>
            <color indexed="81"/>
            <rFont val="Tahoma"/>
            <family val="2"/>
          </rPr>
          <t>When Yes, Cut Out measurements must be supplied in the next cells.</t>
        </r>
      </text>
    </comment>
    <comment ref="R28" authorId="0" shapeId="0" xr:uid="{00000000-0006-0000-0200-000094000000}">
      <text>
        <r>
          <rPr>
            <sz val="8"/>
            <color indexed="81"/>
            <rFont val="Tahoma"/>
            <family val="2"/>
          </rPr>
          <t>Blind Width          Maximum Cut Out Width
270 - 299mm       80mm
300 - 400mm       90mm
401 - 527mm        110mm
528 - 850mm       140mm
  &gt; 851mm              165mm</t>
        </r>
      </text>
    </comment>
    <comment ref="T28" authorId="0" shapeId="0" xr:uid="{00000000-0006-0000-0200-000095000000}">
      <text>
        <r>
          <rPr>
            <sz val="8"/>
            <color indexed="81"/>
            <rFont val="Tahoma"/>
            <family val="2"/>
          </rPr>
          <t>Blind Width          Maximum Cut Out Width
270 - 299mm       80mm
300 - 400mm       90mm
401 - 527mm        110mm
528 - 850mm       140mm
  &gt; 851mm              165mm</t>
        </r>
      </text>
    </comment>
    <comment ref="F29" authorId="0" shapeId="0" xr:uid="{00000000-0006-0000-0200-000096000000}">
      <text>
        <r>
          <rPr>
            <sz val="8"/>
            <color indexed="81"/>
            <rFont val="Tahoma"/>
            <family val="2"/>
          </rPr>
          <t>Minimum Width is 270mm.
Maximum Width is 2700mm.
All openings over 2700mm wide will require 
multiple Blinds.</t>
        </r>
      </text>
    </comment>
    <comment ref="G29" authorId="0" shapeId="0" xr:uid="{00000000-0006-0000-0200-000097000000}">
      <text>
        <r>
          <rPr>
            <sz val="8"/>
            <color indexed="81"/>
            <rFont val="Tahoma"/>
            <family val="2"/>
          </rPr>
          <t>Maximum Height/Drop is 3600mm.</t>
        </r>
      </text>
    </comment>
    <comment ref="H29" authorId="0" shapeId="0" xr:uid="{00000000-0006-0000-0200-000098000000}">
      <text>
        <r>
          <rPr>
            <sz val="8"/>
            <color indexed="81"/>
            <rFont val="Tahoma"/>
            <family val="2"/>
          </rPr>
          <t>When selecting a
Corner or Bay Window Type, 
the CMB Corner WS or CMB Bay WS 
must be completed.</t>
        </r>
      </text>
    </comment>
    <comment ref="J29" authorId="0" shapeId="0" xr:uid="{00000000-0006-0000-0200-000099000000}">
      <text>
        <r>
          <rPr>
            <sz val="8"/>
            <color indexed="81"/>
            <rFont val="Tahoma"/>
            <family val="2"/>
          </rPr>
          <t>ACT 
Actual Measurements
You have made the allowances.
NAM
No Allowances Made 
The factory will make the deductions.</t>
        </r>
      </text>
    </comment>
    <comment ref="O29" authorId="0" shapeId="0" xr:uid="{00000000-0006-0000-0200-00009A000000}">
      <text>
        <r>
          <rPr>
            <sz val="8"/>
            <color indexed="81"/>
            <rFont val="Tahoma"/>
            <family val="2"/>
          </rPr>
          <t>When Yes, Cut Out measurements must be supplied in the next cells.</t>
        </r>
      </text>
    </comment>
    <comment ref="R29" authorId="0" shapeId="0" xr:uid="{00000000-0006-0000-0200-00009B000000}">
      <text>
        <r>
          <rPr>
            <sz val="8"/>
            <color indexed="81"/>
            <rFont val="Tahoma"/>
            <family val="2"/>
          </rPr>
          <t>Blind Width          Maximum Cut Out Width
270 - 299mm       80mm
300 - 400mm       90mm
401 - 527mm        110mm
528 - 850mm       140mm
  &gt; 851mm              165mm</t>
        </r>
      </text>
    </comment>
    <comment ref="T29" authorId="0" shapeId="0" xr:uid="{00000000-0006-0000-0200-00009C000000}">
      <text>
        <r>
          <rPr>
            <sz val="8"/>
            <color indexed="81"/>
            <rFont val="Tahoma"/>
            <family val="2"/>
          </rPr>
          <t>Blind Width          Maximum Cut Out Width
270 - 299mm       80mm
300 - 400mm       90mm
401 - 527mm        110mm
528 - 850mm       140mm
  &gt; 851mm              165mm</t>
        </r>
      </text>
    </comment>
    <comment ref="F30" authorId="0" shapeId="0" xr:uid="{00000000-0006-0000-0200-00009D000000}">
      <text>
        <r>
          <rPr>
            <sz val="8"/>
            <color indexed="81"/>
            <rFont val="Tahoma"/>
            <family val="2"/>
          </rPr>
          <t>Minimum Width is 270mm.
Maximum Width is 2700mm.
All openings over 2700mm wide will require 
multiple Blinds.</t>
        </r>
      </text>
    </comment>
    <comment ref="G30" authorId="0" shapeId="0" xr:uid="{00000000-0006-0000-0200-00009E000000}">
      <text>
        <r>
          <rPr>
            <sz val="8"/>
            <color indexed="81"/>
            <rFont val="Tahoma"/>
            <family val="2"/>
          </rPr>
          <t>Maximum Height/Drop is 3600mm.</t>
        </r>
      </text>
    </comment>
    <comment ref="H30" authorId="0" shapeId="0" xr:uid="{00000000-0006-0000-0200-00009F000000}">
      <text>
        <r>
          <rPr>
            <sz val="8"/>
            <color indexed="81"/>
            <rFont val="Tahoma"/>
            <family val="2"/>
          </rPr>
          <t>When selecting a
Corner or Bay Window Type, 
the CMB Corner WS or CMB Bay WS 
must be completed.</t>
        </r>
      </text>
    </comment>
    <comment ref="J30" authorId="0" shapeId="0" xr:uid="{00000000-0006-0000-0200-0000A0000000}">
      <text>
        <r>
          <rPr>
            <sz val="8"/>
            <color indexed="81"/>
            <rFont val="Tahoma"/>
            <family val="2"/>
          </rPr>
          <t>ACT 
Actual Measurements
You have made the allowances.
NAM
No Allowances Made 
The factory will make the deductions.</t>
        </r>
      </text>
    </comment>
    <comment ref="O30" authorId="0" shapeId="0" xr:uid="{00000000-0006-0000-0200-0000A1000000}">
      <text>
        <r>
          <rPr>
            <sz val="8"/>
            <color indexed="81"/>
            <rFont val="Tahoma"/>
            <family val="2"/>
          </rPr>
          <t>When Yes, Cut Out measurements must be supplied in the next cells.</t>
        </r>
      </text>
    </comment>
    <comment ref="R30" authorId="0" shapeId="0" xr:uid="{00000000-0006-0000-0200-0000A2000000}">
      <text>
        <r>
          <rPr>
            <sz val="8"/>
            <color indexed="81"/>
            <rFont val="Tahoma"/>
            <family val="2"/>
          </rPr>
          <t>Blind Width          Maximum Cut Out Width
270 - 299mm       80mm
300 - 400mm       90mm
401 - 527mm        110mm
528 - 850mm       140mm
  &gt; 851mm              165mm</t>
        </r>
      </text>
    </comment>
    <comment ref="T30" authorId="0" shapeId="0" xr:uid="{00000000-0006-0000-0200-0000A3000000}">
      <text>
        <r>
          <rPr>
            <sz val="8"/>
            <color indexed="81"/>
            <rFont val="Tahoma"/>
            <family val="2"/>
          </rPr>
          <t>Blind Width          Maximum Cut Out Width
270 - 299mm       80mm
300 - 400mm       90mm
401 - 527mm        110mm
528 - 850mm       140mm
  &gt; 851mm              165mm</t>
        </r>
      </text>
    </comment>
    <comment ref="F31" authorId="0" shapeId="0" xr:uid="{00000000-0006-0000-0200-0000A4000000}">
      <text>
        <r>
          <rPr>
            <sz val="8"/>
            <color indexed="81"/>
            <rFont val="Tahoma"/>
            <family val="2"/>
          </rPr>
          <t>Minimum Width is 270mm.
Maximum Width is 2700mm.
All openings over 2700mm wide will require 
multiple Blinds.</t>
        </r>
      </text>
    </comment>
    <comment ref="G31" authorId="0" shapeId="0" xr:uid="{00000000-0006-0000-0200-0000A5000000}">
      <text>
        <r>
          <rPr>
            <sz val="8"/>
            <color indexed="81"/>
            <rFont val="Tahoma"/>
            <family val="2"/>
          </rPr>
          <t>Maximum Height/Drop is 3600mm.</t>
        </r>
      </text>
    </comment>
    <comment ref="H31" authorId="0" shapeId="0" xr:uid="{00000000-0006-0000-0200-0000A6000000}">
      <text>
        <r>
          <rPr>
            <sz val="8"/>
            <color indexed="81"/>
            <rFont val="Tahoma"/>
            <family val="2"/>
          </rPr>
          <t>When selecting a
Corner or Bay Window Type, 
the CMB Corner WS or CMB Bay WS 
must be completed.</t>
        </r>
      </text>
    </comment>
    <comment ref="J31" authorId="0" shapeId="0" xr:uid="{00000000-0006-0000-0200-0000A7000000}">
      <text>
        <r>
          <rPr>
            <sz val="8"/>
            <color indexed="81"/>
            <rFont val="Tahoma"/>
            <family val="2"/>
          </rPr>
          <t>ACT 
Actual Measurements
You have made the allowances.
NAM
No Allowances Made 
The factory will make the deductions.</t>
        </r>
      </text>
    </comment>
    <comment ref="O31" authorId="0" shapeId="0" xr:uid="{00000000-0006-0000-0200-0000A8000000}">
      <text>
        <r>
          <rPr>
            <sz val="8"/>
            <color indexed="81"/>
            <rFont val="Tahoma"/>
            <family val="2"/>
          </rPr>
          <t>When Yes, Cut Out measurements must be supplied in the next cells.</t>
        </r>
      </text>
    </comment>
    <comment ref="R31" authorId="0" shapeId="0" xr:uid="{00000000-0006-0000-0200-0000A9000000}">
      <text>
        <r>
          <rPr>
            <sz val="8"/>
            <color indexed="81"/>
            <rFont val="Tahoma"/>
            <family val="2"/>
          </rPr>
          <t>Blind Width          Maximum Cut Out Width
270 - 299mm       80mm
300 - 400mm       90mm
401 - 527mm        110mm
528 - 850mm       140mm
  &gt; 851mm              165mm</t>
        </r>
      </text>
    </comment>
    <comment ref="T31" authorId="0" shapeId="0" xr:uid="{00000000-0006-0000-0200-0000AA000000}">
      <text>
        <r>
          <rPr>
            <sz val="8"/>
            <color indexed="81"/>
            <rFont val="Tahoma"/>
            <family val="2"/>
          </rPr>
          <t>Blind Width          Maximum Cut Out Width
270 - 299mm       80mm
300 - 400mm       90mm
401 - 527mm        110mm
528 - 850mm       140mm
  &gt; 851mm              165mm</t>
        </r>
      </text>
    </comment>
    <comment ref="F32" authorId="0" shapeId="0" xr:uid="{00000000-0006-0000-0200-0000AB000000}">
      <text>
        <r>
          <rPr>
            <sz val="8"/>
            <color indexed="81"/>
            <rFont val="Tahoma"/>
            <family val="2"/>
          </rPr>
          <t>Minimum Width is 270mm.
Maximum Width is 2700mm.
All openings over 2700mm wide will require 
multiple Blinds.</t>
        </r>
      </text>
    </comment>
    <comment ref="G32" authorId="0" shapeId="0" xr:uid="{00000000-0006-0000-0200-0000AC000000}">
      <text>
        <r>
          <rPr>
            <sz val="8"/>
            <color indexed="81"/>
            <rFont val="Tahoma"/>
            <family val="2"/>
          </rPr>
          <t>Maximum Height/Drop is 3600mm.</t>
        </r>
      </text>
    </comment>
    <comment ref="H32" authorId="0" shapeId="0" xr:uid="{00000000-0006-0000-0200-0000AD000000}">
      <text>
        <r>
          <rPr>
            <sz val="8"/>
            <color indexed="81"/>
            <rFont val="Tahoma"/>
            <family val="2"/>
          </rPr>
          <t>When selecting a
Corner or Bay Window Type, 
the CMB Corner WS or CMB Bay WS 
must be completed.</t>
        </r>
      </text>
    </comment>
    <comment ref="J32" authorId="0" shapeId="0" xr:uid="{00000000-0006-0000-0200-0000AE000000}">
      <text>
        <r>
          <rPr>
            <sz val="8"/>
            <color indexed="81"/>
            <rFont val="Tahoma"/>
            <family val="2"/>
          </rPr>
          <t>ACT 
Actual Measurements
You have made the allowances.
NAM
No Allowances Made 
The factory will make the deductions.</t>
        </r>
      </text>
    </comment>
    <comment ref="O32" authorId="0" shapeId="0" xr:uid="{00000000-0006-0000-0200-0000AF000000}">
      <text>
        <r>
          <rPr>
            <sz val="8"/>
            <color indexed="81"/>
            <rFont val="Tahoma"/>
            <family val="2"/>
          </rPr>
          <t>When Yes, Cut Out measurements must be supplied in the next cells.</t>
        </r>
      </text>
    </comment>
    <comment ref="R32" authorId="0" shapeId="0" xr:uid="{00000000-0006-0000-0200-0000B0000000}">
      <text>
        <r>
          <rPr>
            <sz val="8"/>
            <color indexed="81"/>
            <rFont val="Tahoma"/>
            <family val="2"/>
          </rPr>
          <t>Blind Width          Maximum Cut Out Width
270 - 299mm       80mm
300 - 400mm       90mm
401 - 527mm        110mm
528 - 850mm       140mm
  &gt; 851mm              165mm</t>
        </r>
      </text>
    </comment>
    <comment ref="T32" authorId="0" shapeId="0" xr:uid="{00000000-0006-0000-0200-0000B1000000}">
      <text>
        <r>
          <rPr>
            <sz val="8"/>
            <color indexed="81"/>
            <rFont val="Tahoma"/>
            <family val="2"/>
          </rPr>
          <t>Blind Width          Maximum Cut Out Width
270 - 299mm       80mm
300 - 400mm       90mm
401 - 527mm        110mm
528 - 850mm       140mm
  &gt; 851mm              165mm</t>
        </r>
      </text>
    </comment>
    <comment ref="F33" authorId="0" shapeId="0" xr:uid="{00000000-0006-0000-0200-0000B2000000}">
      <text>
        <r>
          <rPr>
            <sz val="8"/>
            <color indexed="81"/>
            <rFont val="Tahoma"/>
            <family val="2"/>
          </rPr>
          <t>Minimum Width is 270mm.
Maximum Width is 2700mm.
All openings over 2700mm wide will require 
multiple Blinds.</t>
        </r>
      </text>
    </comment>
    <comment ref="G33" authorId="0" shapeId="0" xr:uid="{00000000-0006-0000-0200-0000B3000000}">
      <text>
        <r>
          <rPr>
            <sz val="8"/>
            <color indexed="81"/>
            <rFont val="Tahoma"/>
            <family val="2"/>
          </rPr>
          <t>Maximum Height/Drop is 3600mm.</t>
        </r>
      </text>
    </comment>
    <comment ref="H33" authorId="0" shapeId="0" xr:uid="{00000000-0006-0000-0200-0000B4000000}">
      <text>
        <r>
          <rPr>
            <sz val="8"/>
            <color indexed="81"/>
            <rFont val="Tahoma"/>
            <family val="2"/>
          </rPr>
          <t>When selecting a
Corner or Bay Window Type, 
the CMB Corner WS or CMB Bay WS 
must be completed.</t>
        </r>
      </text>
    </comment>
    <comment ref="J33" authorId="0" shapeId="0" xr:uid="{00000000-0006-0000-0200-0000B5000000}">
      <text>
        <r>
          <rPr>
            <sz val="8"/>
            <color indexed="81"/>
            <rFont val="Tahoma"/>
            <family val="2"/>
          </rPr>
          <t>ACT 
Actual Measurements
You have made the allowances.
NAM
No Allowances Made 
The factory will make the deductions.</t>
        </r>
      </text>
    </comment>
    <comment ref="O33" authorId="0" shapeId="0" xr:uid="{00000000-0006-0000-0200-0000B6000000}">
      <text>
        <r>
          <rPr>
            <sz val="8"/>
            <color indexed="81"/>
            <rFont val="Tahoma"/>
            <family val="2"/>
          </rPr>
          <t>When Yes, Cut Out measurements must be supplied in the next cells.</t>
        </r>
      </text>
    </comment>
    <comment ref="R33" authorId="0" shapeId="0" xr:uid="{00000000-0006-0000-0200-0000B7000000}">
      <text>
        <r>
          <rPr>
            <sz val="8"/>
            <color indexed="81"/>
            <rFont val="Tahoma"/>
            <family val="2"/>
          </rPr>
          <t>Blind Width          Maximum Cut Out Width
270 - 299mm       80mm
300 - 400mm       90mm
401 - 527mm        110mm
528 - 850mm       140mm
  &gt; 851mm              165mm</t>
        </r>
      </text>
    </comment>
    <comment ref="T33" authorId="0" shapeId="0" xr:uid="{00000000-0006-0000-0200-0000B8000000}">
      <text>
        <r>
          <rPr>
            <sz val="8"/>
            <color indexed="81"/>
            <rFont val="Tahoma"/>
            <family val="2"/>
          </rPr>
          <t>Blind Width          Maximum Cut Out Width
270 - 299mm       80mm
300 - 400mm       90mm
401 - 527mm        110mm
528 - 850mm       140mm
  &gt; 851mm              165mm</t>
        </r>
      </text>
    </comment>
    <comment ref="F34" authorId="0" shapeId="0" xr:uid="{00000000-0006-0000-0200-0000B9000000}">
      <text>
        <r>
          <rPr>
            <sz val="8"/>
            <color indexed="81"/>
            <rFont val="Tahoma"/>
            <family val="2"/>
          </rPr>
          <t>Minimum Width is 270mm.
Maximum Width is 2700mm.
All openings over 2700mm wide will require 
multiple Blinds.</t>
        </r>
      </text>
    </comment>
    <comment ref="G34" authorId="0" shapeId="0" xr:uid="{00000000-0006-0000-0200-0000BA000000}">
      <text>
        <r>
          <rPr>
            <sz val="8"/>
            <color indexed="81"/>
            <rFont val="Tahoma"/>
            <family val="2"/>
          </rPr>
          <t>Maximum Height/Drop is 3600mm.</t>
        </r>
      </text>
    </comment>
    <comment ref="H34" authorId="0" shapeId="0" xr:uid="{00000000-0006-0000-0200-0000BB000000}">
      <text>
        <r>
          <rPr>
            <sz val="8"/>
            <color indexed="81"/>
            <rFont val="Tahoma"/>
            <family val="2"/>
          </rPr>
          <t>When selecting a
Corner or Bay Window Type, 
the CMB Corner WS or CMB Bay WS 
must be completed.</t>
        </r>
      </text>
    </comment>
    <comment ref="J34" authorId="0" shapeId="0" xr:uid="{00000000-0006-0000-0200-0000BC000000}">
      <text>
        <r>
          <rPr>
            <sz val="8"/>
            <color indexed="81"/>
            <rFont val="Tahoma"/>
            <family val="2"/>
          </rPr>
          <t>ACT 
Actual Measurements
You have made the allowances.
NAM
No Allowances Made 
The factory will make the deductions.</t>
        </r>
      </text>
    </comment>
    <comment ref="O34" authorId="0" shapeId="0" xr:uid="{00000000-0006-0000-0200-0000BD000000}">
      <text>
        <r>
          <rPr>
            <sz val="8"/>
            <color indexed="81"/>
            <rFont val="Tahoma"/>
            <family val="2"/>
          </rPr>
          <t>When Yes, Cut Out measurements must be supplied in the next cells.</t>
        </r>
      </text>
    </comment>
    <comment ref="R34" authorId="0" shapeId="0" xr:uid="{00000000-0006-0000-0200-0000BE000000}">
      <text>
        <r>
          <rPr>
            <sz val="8"/>
            <color indexed="81"/>
            <rFont val="Tahoma"/>
            <family val="2"/>
          </rPr>
          <t>Blind Width          Maximum Cut Out Width
270 - 299mm       80mm
300 - 400mm       90mm
401 - 527mm        110mm
528 - 850mm       140mm
  &gt; 851mm              165mm</t>
        </r>
      </text>
    </comment>
    <comment ref="T34" authorId="0" shapeId="0" xr:uid="{00000000-0006-0000-0200-0000BF000000}">
      <text>
        <r>
          <rPr>
            <sz val="8"/>
            <color indexed="81"/>
            <rFont val="Tahoma"/>
            <family val="2"/>
          </rPr>
          <t>Blind Width          Maximum Cut Out Width
270 - 299mm       80mm
300 - 400mm       90mm
401 - 527mm        110mm
528 - 850mm       140mm
  &gt; 851mm              165mm</t>
        </r>
      </text>
    </comment>
    <comment ref="F35" authorId="0" shapeId="0" xr:uid="{00000000-0006-0000-0200-0000C0000000}">
      <text>
        <r>
          <rPr>
            <sz val="8"/>
            <color indexed="81"/>
            <rFont val="Tahoma"/>
            <family val="2"/>
          </rPr>
          <t>Minimum Width is 270mm.
Maximum Width is 2700mm.
All openings over 2700mm wide will require 
multiple Blinds.</t>
        </r>
      </text>
    </comment>
    <comment ref="G35" authorId="0" shapeId="0" xr:uid="{00000000-0006-0000-0200-0000C1000000}">
      <text>
        <r>
          <rPr>
            <sz val="8"/>
            <color indexed="81"/>
            <rFont val="Tahoma"/>
            <family val="2"/>
          </rPr>
          <t>Maximum Height/Drop is 3600mm.</t>
        </r>
      </text>
    </comment>
    <comment ref="H35" authorId="0" shapeId="0" xr:uid="{00000000-0006-0000-0200-0000C2000000}">
      <text>
        <r>
          <rPr>
            <sz val="8"/>
            <color indexed="81"/>
            <rFont val="Tahoma"/>
            <family val="2"/>
          </rPr>
          <t>When selecting a
Corner or Bay Window Type, 
the CMB Corner WS or CMB Bay WS 
must be completed.</t>
        </r>
      </text>
    </comment>
    <comment ref="J35" authorId="0" shapeId="0" xr:uid="{00000000-0006-0000-0200-0000C3000000}">
      <text>
        <r>
          <rPr>
            <sz val="8"/>
            <color indexed="81"/>
            <rFont val="Tahoma"/>
            <family val="2"/>
          </rPr>
          <t>ACT 
Actual Measurements
You have made the allowances.
NAM
No Allowances Made 
The factory will make the deductions.</t>
        </r>
      </text>
    </comment>
    <comment ref="O35" authorId="0" shapeId="0" xr:uid="{00000000-0006-0000-0200-0000C4000000}">
      <text>
        <r>
          <rPr>
            <sz val="8"/>
            <color indexed="81"/>
            <rFont val="Tahoma"/>
            <family val="2"/>
          </rPr>
          <t>When Yes, Cut Out measurements must be supplied in the next cells.</t>
        </r>
      </text>
    </comment>
    <comment ref="R35" authorId="0" shapeId="0" xr:uid="{00000000-0006-0000-0200-0000C5000000}">
      <text>
        <r>
          <rPr>
            <sz val="8"/>
            <color indexed="81"/>
            <rFont val="Tahoma"/>
            <family val="2"/>
          </rPr>
          <t>Blind Width          Maximum Cut Out Width
270 - 299mm       80mm
300 - 400mm       90mm
401 - 527mm        110mm
528 - 850mm       140mm
  &gt; 851mm              165mm</t>
        </r>
      </text>
    </comment>
    <comment ref="T35" authorId="0" shapeId="0" xr:uid="{00000000-0006-0000-0200-0000C6000000}">
      <text>
        <r>
          <rPr>
            <sz val="8"/>
            <color indexed="81"/>
            <rFont val="Tahoma"/>
            <family val="2"/>
          </rPr>
          <t>Blind Width          Maximum Cut Out Width
270 - 299mm       80mm
300 - 400mm       90mm
401 - 527mm        110mm
528 - 850mm       140mm
  &gt; 851mm              165mm</t>
        </r>
      </text>
    </comment>
    <comment ref="F36" authorId="0" shapeId="0" xr:uid="{00000000-0006-0000-0200-0000C7000000}">
      <text>
        <r>
          <rPr>
            <sz val="8"/>
            <color indexed="81"/>
            <rFont val="Tahoma"/>
            <family val="2"/>
          </rPr>
          <t>Minimum Width is 270mm.
Maximum Width is 2700mm.
All openings over 2700mm wide will require 
multiple Blinds.</t>
        </r>
      </text>
    </comment>
    <comment ref="G36" authorId="0" shapeId="0" xr:uid="{00000000-0006-0000-0200-0000C8000000}">
      <text>
        <r>
          <rPr>
            <sz val="8"/>
            <color indexed="81"/>
            <rFont val="Tahoma"/>
            <family val="2"/>
          </rPr>
          <t>Maximum Height/Drop is 3600mm.</t>
        </r>
      </text>
    </comment>
    <comment ref="H36" authorId="0" shapeId="0" xr:uid="{00000000-0006-0000-0200-0000C9000000}">
      <text>
        <r>
          <rPr>
            <sz val="8"/>
            <color indexed="81"/>
            <rFont val="Tahoma"/>
            <family val="2"/>
          </rPr>
          <t>When selecting a
Corner or Bay Window Type, 
the CMB Corner WS or CMB Bay WS 
must be completed.</t>
        </r>
      </text>
    </comment>
    <comment ref="J36" authorId="0" shapeId="0" xr:uid="{00000000-0006-0000-0200-0000CA000000}">
      <text>
        <r>
          <rPr>
            <sz val="8"/>
            <color indexed="81"/>
            <rFont val="Tahoma"/>
            <family val="2"/>
          </rPr>
          <t>ACT 
Actual Measurements
You have made the allowances.
NAM
No Allowances Made 
The factory will make the deductions.</t>
        </r>
      </text>
    </comment>
    <comment ref="O36" authorId="0" shapeId="0" xr:uid="{00000000-0006-0000-0200-0000CB000000}">
      <text>
        <r>
          <rPr>
            <sz val="8"/>
            <color indexed="81"/>
            <rFont val="Tahoma"/>
            <family val="2"/>
          </rPr>
          <t>When Yes, Cut Out measurements must be supplied in the next cells.</t>
        </r>
      </text>
    </comment>
    <comment ref="R36" authorId="0" shapeId="0" xr:uid="{00000000-0006-0000-0200-0000CC000000}">
      <text>
        <r>
          <rPr>
            <sz val="8"/>
            <color indexed="81"/>
            <rFont val="Tahoma"/>
            <family val="2"/>
          </rPr>
          <t>Blind Width          Maximum Cut Out Width
270 - 299mm       80mm
300 - 400mm       90mm
401 - 527mm        110mm
528 - 850mm       140mm
  &gt; 851mm              165mm</t>
        </r>
      </text>
    </comment>
    <comment ref="T36" authorId="0" shapeId="0" xr:uid="{00000000-0006-0000-0200-0000CD000000}">
      <text>
        <r>
          <rPr>
            <sz val="8"/>
            <color indexed="81"/>
            <rFont val="Tahoma"/>
            <family val="2"/>
          </rPr>
          <t>Blind Width          Maximum Cut Out Width
270 - 299mm       80mm
300 - 400mm       90mm
401 - 527mm        110mm
528 - 850mm       140mm
  &gt; 851mm              165mm</t>
        </r>
      </text>
    </comment>
    <comment ref="F37" authorId="0" shapeId="0" xr:uid="{00000000-0006-0000-0200-0000CE000000}">
      <text>
        <r>
          <rPr>
            <sz val="8"/>
            <color indexed="81"/>
            <rFont val="Tahoma"/>
            <family val="2"/>
          </rPr>
          <t>Minimum Width is 270mm.
Maximum Width is 2700mm.
All openings over 2700mm wide will require 
multiple Blinds.</t>
        </r>
      </text>
    </comment>
    <comment ref="G37" authorId="0" shapeId="0" xr:uid="{00000000-0006-0000-0200-0000CF000000}">
      <text>
        <r>
          <rPr>
            <sz val="8"/>
            <color indexed="81"/>
            <rFont val="Tahoma"/>
            <family val="2"/>
          </rPr>
          <t>Maximum Height/Drop is 3600mm.</t>
        </r>
      </text>
    </comment>
    <comment ref="H37" authorId="0" shapeId="0" xr:uid="{00000000-0006-0000-0200-0000D0000000}">
      <text>
        <r>
          <rPr>
            <sz val="8"/>
            <color indexed="81"/>
            <rFont val="Tahoma"/>
            <family val="2"/>
          </rPr>
          <t>When selecting a
Corner or Bay Window Type, 
the CMB Corner WS or CMB Bay WS 
must be completed.</t>
        </r>
      </text>
    </comment>
    <comment ref="J37" authorId="0" shapeId="0" xr:uid="{00000000-0006-0000-0200-0000D1000000}">
      <text>
        <r>
          <rPr>
            <sz val="8"/>
            <color indexed="81"/>
            <rFont val="Tahoma"/>
            <family val="2"/>
          </rPr>
          <t>ACT 
Actual Measurements
You have made the allowances.
NAM
No Allowances Made 
The factory will make the deductions.</t>
        </r>
      </text>
    </comment>
    <comment ref="O37" authorId="0" shapeId="0" xr:uid="{00000000-0006-0000-0200-0000D2000000}">
      <text>
        <r>
          <rPr>
            <sz val="8"/>
            <color indexed="81"/>
            <rFont val="Tahoma"/>
            <family val="2"/>
          </rPr>
          <t>When Yes, Cut Out measurements must be supplied in the next cells.</t>
        </r>
      </text>
    </comment>
    <comment ref="R37" authorId="0" shapeId="0" xr:uid="{00000000-0006-0000-0200-0000D3000000}">
      <text>
        <r>
          <rPr>
            <sz val="8"/>
            <color indexed="81"/>
            <rFont val="Tahoma"/>
            <family val="2"/>
          </rPr>
          <t>Blind Width          Maximum Cut Out Width
270 - 299mm       80mm
300 - 400mm       90mm
401 - 527mm        110mm
528 - 850mm       140mm
  &gt; 851mm              165mm</t>
        </r>
      </text>
    </comment>
    <comment ref="T37" authorId="0" shapeId="0" xr:uid="{00000000-0006-0000-0200-0000D4000000}">
      <text>
        <r>
          <rPr>
            <sz val="8"/>
            <color indexed="81"/>
            <rFont val="Tahoma"/>
            <family val="2"/>
          </rPr>
          <t>Blind Width          Maximum Cut Out Width
270 - 299mm       80mm
300 - 400mm       90mm
401 - 527mm        110mm
528 - 850mm       140mm
  &gt; 851mm              165mm</t>
        </r>
      </text>
    </comment>
    <comment ref="F38" authorId="0" shapeId="0" xr:uid="{00000000-0006-0000-0200-0000D5000000}">
      <text>
        <r>
          <rPr>
            <sz val="8"/>
            <color indexed="81"/>
            <rFont val="Tahoma"/>
            <family val="2"/>
          </rPr>
          <t>Minimum Width is 270mm.
Maximum Width is 2700mm.
All openings over 2700mm wide will require 
multiple Blinds.</t>
        </r>
      </text>
    </comment>
    <comment ref="G38" authorId="0" shapeId="0" xr:uid="{00000000-0006-0000-0200-0000D6000000}">
      <text>
        <r>
          <rPr>
            <sz val="8"/>
            <color indexed="81"/>
            <rFont val="Tahoma"/>
            <family val="2"/>
          </rPr>
          <t>Maximum Height/Drop is 3600mm.</t>
        </r>
      </text>
    </comment>
    <comment ref="H38" authorId="0" shapeId="0" xr:uid="{00000000-0006-0000-0200-0000D7000000}">
      <text>
        <r>
          <rPr>
            <sz val="8"/>
            <color indexed="81"/>
            <rFont val="Tahoma"/>
            <family val="2"/>
          </rPr>
          <t>When selecting a
Corner or Bay Window Type, 
the CMB Corner WS or CMB Bay WS 
must be completed.</t>
        </r>
      </text>
    </comment>
    <comment ref="J38" authorId="0" shapeId="0" xr:uid="{00000000-0006-0000-0200-0000D8000000}">
      <text>
        <r>
          <rPr>
            <sz val="8"/>
            <color indexed="81"/>
            <rFont val="Tahoma"/>
            <family val="2"/>
          </rPr>
          <t>ACT 
Actual Measurements
You have made the allowances.
NAM
No Allowances Made 
The factory will make the deductions.</t>
        </r>
      </text>
    </comment>
    <comment ref="O38" authorId="0" shapeId="0" xr:uid="{00000000-0006-0000-0200-0000D9000000}">
      <text>
        <r>
          <rPr>
            <sz val="8"/>
            <color indexed="81"/>
            <rFont val="Tahoma"/>
            <family val="2"/>
          </rPr>
          <t>When Yes, Cut Out measurements must be supplied in the next cells.</t>
        </r>
      </text>
    </comment>
    <comment ref="R38" authorId="0" shapeId="0" xr:uid="{00000000-0006-0000-0200-0000DA000000}">
      <text>
        <r>
          <rPr>
            <sz val="8"/>
            <color indexed="81"/>
            <rFont val="Tahoma"/>
            <family val="2"/>
          </rPr>
          <t>Blind Width          Maximum Cut Out Width
270 - 299mm       80mm
300 - 400mm       90mm
401 - 527mm        110mm
528 - 850mm       140mm
  &gt; 851mm              165mm</t>
        </r>
      </text>
    </comment>
    <comment ref="T38" authorId="0" shapeId="0" xr:uid="{00000000-0006-0000-0200-0000DB000000}">
      <text>
        <r>
          <rPr>
            <sz val="8"/>
            <color indexed="81"/>
            <rFont val="Tahoma"/>
            <family val="2"/>
          </rPr>
          <t>Blind Width          Maximum Cut Out Width
270 - 299mm       80mm
300 - 400mm       90mm
401 - 527mm        110mm
528 - 850mm       140mm
  &gt; 851mm              165mm</t>
        </r>
      </text>
    </comment>
    <comment ref="F39" authorId="0" shapeId="0" xr:uid="{00000000-0006-0000-0200-0000DC000000}">
      <text>
        <r>
          <rPr>
            <sz val="8"/>
            <color indexed="81"/>
            <rFont val="Tahoma"/>
            <family val="2"/>
          </rPr>
          <t>Minimum Width is 270mm.
Maximum Width is 2700mm.
All openings over 2700mm wide will require 
multiple Blinds.</t>
        </r>
      </text>
    </comment>
    <comment ref="G39" authorId="0" shapeId="0" xr:uid="{00000000-0006-0000-0200-0000DD000000}">
      <text>
        <r>
          <rPr>
            <sz val="8"/>
            <color indexed="81"/>
            <rFont val="Tahoma"/>
            <family val="2"/>
          </rPr>
          <t>Maximum Height/Drop is 3600mm.</t>
        </r>
      </text>
    </comment>
    <comment ref="H39" authorId="0" shapeId="0" xr:uid="{00000000-0006-0000-0200-0000DE000000}">
      <text>
        <r>
          <rPr>
            <sz val="8"/>
            <color indexed="81"/>
            <rFont val="Tahoma"/>
            <family val="2"/>
          </rPr>
          <t>When selecting a
Corner or Bay Window Type, 
the CMB Corner WS or CMB Bay WS 
must be completed.</t>
        </r>
      </text>
    </comment>
    <comment ref="J39" authorId="0" shapeId="0" xr:uid="{00000000-0006-0000-0200-0000DF000000}">
      <text>
        <r>
          <rPr>
            <sz val="8"/>
            <color indexed="81"/>
            <rFont val="Tahoma"/>
            <family val="2"/>
          </rPr>
          <t>ACT 
Actual Measurements
You have made the allowances.
NAM
No Allowances Made 
The factory will make the deductions.</t>
        </r>
      </text>
    </comment>
    <comment ref="O39" authorId="0" shapeId="0" xr:uid="{00000000-0006-0000-0200-0000E0000000}">
      <text>
        <r>
          <rPr>
            <sz val="8"/>
            <color indexed="81"/>
            <rFont val="Tahoma"/>
            <family val="2"/>
          </rPr>
          <t>When Yes, Cut Out measurements must be supplied in the next cells.</t>
        </r>
      </text>
    </comment>
    <comment ref="R39" authorId="0" shapeId="0" xr:uid="{00000000-0006-0000-0200-0000E1000000}">
      <text>
        <r>
          <rPr>
            <sz val="8"/>
            <color indexed="81"/>
            <rFont val="Tahoma"/>
            <family val="2"/>
          </rPr>
          <t>Blind Width          Maximum Cut Out Width
270 - 299mm       80mm
300 - 400mm       90mm
401 - 527mm        110mm
528 - 850mm       140mm
  &gt; 851mm              165mm</t>
        </r>
      </text>
    </comment>
    <comment ref="T39" authorId="0" shapeId="0" xr:uid="{00000000-0006-0000-0200-0000E2000000}">
      <text>
        <r>
          <rPr>
            <sz val="8"/>
            <color indexed="81"/>
            <rFont val="Tahoma"/>
            <family val="2"/>
          </rPr>
          <t>Blind Width          Maximum Cut Out Width
270 - 299mm       80mm
300 - 400mm       90mm
401 - 527mm        110mm
528 - 850mm       140mm
  &gt; 851mm              165mm</t>
        </r>
      </text>
    </comment>
    <comment ref="F40" authorId="0" shapeId="0" xr:uid="{00000000-0006-0000-0200-0000E3000000}">
      <text>
        <r>
          <rPr>
            <sz val="8"/>
            <color indexed="81"/>
            <rFont val="Tahoma"/>
            <family val="2"/>
          </rPr>
          <t>Minimum Width is 270mm.
Maximum Width is 2700mm.
All openings over 2700mm wide will require 
multiple Blinds.</t>
        </r>
      </text>
    </comment>
    <comment ref="G40" authorId="0" shapeId="0" xr:uid="{00000000-0006-0000-0200-0000E4000000}">
      <text>
        <r>
          <rPr>
            <sz val="8"/>
            <color indexed="81"/>
            <rFont val="Tahoma"/>
            <family val="2"/>
          </rPr>
          <t>Maximum Height/Drop is 3600mm.</t>
        </r>
      </text>
    </comment>
    <comment ref="H40" authorId="0" shapeId="0" xr:uid="{00000000-0006-0000-0200-0000E5000000}">
      <text>
        <r>
          <rPr>
            <sz val="8"/>
            <color indexed="81"/>
            <rFont val="Tahoma"/>
            <family val="2"/>
          </rPr>
          <t>When selecting a
Corner or Bay Window Type, 
the CMB Corner WS or CMB Bay WS 
must be completed.</t>
        </r>
      </text>
    </comment>
    <comment ref="J40" authorId="0" shapeId="0" xr:uid="{00000000-0006-0000-0200-0000E6000000}">
      <text>
        <r>
          <rPr>
            <sz val="8"/>
            <color indexed="81"/>
            <rFont val="Tahoma"/>
            <family val="2"/>
          </rPr>
          <t>ACT 
Actual Measurements
You have made the allowances.
NAM
No Allowances Made 
The factory will make the deductions.</t>
        </r>
      </text>
    </comment>
    <comment ref="O40" authorId="0" shapeId="0" xr:uid="{00000000-0006-0000-0200-0000E7000000}">
      <text>
        <r>
          <rPr>
            <sz val="8"/>
            <color indexed="81"/>
            <rFont val="Tahoma"/>
            <family val="2"/>
          </rPr>
          <t>When Yes, Cut Out measurements must be supplied in the next cells.</t>
        </r>
      </text>
    </comment>
    <comment ref="R40" authorId="0" shapeId="0" xr:uid="{00000000-0006-0000-0200-0000E8000000}">
      <text>
        <r>
          <rPr>
            <sz val="8"/>
            <color indexed="81"/>
            <rFont val="Tahoma"/>
            <family val="2"/>
          </rPr>
          <t>Blind Width          Maximum Cut Out Width
270 - 299mm       80mm
300 - 400mm       90mm
401 - 527mm        110mm
528 - 850mm       140mm
  &gt; 851mm              165mm</t>
        </r>
      </text>
    </comment>
    <comment ref="T40" authorId="0" shapeId="0" xr:uid="{00000000-0006-0000-0200-0000E9000000}">
      <text>
        <r>
          <rPr>
            <sz val="8"/>
            <color indexed="81"/>
            <rFont val="Tahoma"/>
            <family val="2"/>
          </rPr>
          <t>Blind Width          Maximum Cut Out Width
270 - 299mm       80mm
300 - 400mm       90mm
401 - 527mm        110mm
528 - 850mm       140mm
  &gt; 851mm              165mm</t>
        </r>
      </text>
    </comment>
    <comment ref="F41" authorId="0" shapeId="0" xr:uid="{00000000-0006-0000-0200-0000EA000000}">
      <text>
        <r>
          <rPr>
            <sz val="8"/>
            <color indexed="81"/>
            <rFont val="Tahoma"/>
            <family val="2"/>
          </rPr>
          <t>Minimum Width is 270mm.
Maximum Width is 2700mm.
All openings over 2700mm wide will require 
multiple Blinds.</t>
        </r>
      </text>
    </comment>
    <comment ref="G41" authorId="0" shapeId="0" xr:uid="{00000000-0006-0000-0200-0000EB000000}">
      <text>
        <r>
          <rPr>
            <sz val="8"/>
            <color indexed="81"/>
            <rFont val="Tahoma"/>
            <family val="2"/>
          </rPr>
          <t>Maximum Height/Drop is 3600mm.</t>
        </r>
      </text>
    </comment>
    <comment ref="H41" authorId="0" shapeId="0" xr:uid="{00000000-0006-0000-0200-0000EC000000}">
      <text>
        <r>
          <rPr>
            <sz val="8"/>
            <color indexed="81"/>
            <rFont val="Tahoma"/>
            <family val="2"/>
          </rPr>
          <t>When selecting a
Corner or Bay Window Type, 
the CMB Corner WS or CMB Bay WS 
must be completed.</t>
        </r>
      </text>
    </comment>
    <comment ref="J41" authorId="0" shapeId="0" xr:uid="{00000000-0006-0000-0200-0000ED000000}">
      <text>
        <r>
          <rPr>
            <sz val="8"/>
            <color indexed="81"/>
            <rFont val="Tahoma"/>
            <family val="2"/>
          </rPr>
          <t>ACT 
Actual Measurements
You have made the allowances.
NAM
No Allowances Made 
The factory will make the deductions.</t>
        </r>
      </text>
    </comment>
    <comment ref="O41" authorId="0" shapeId="0" xr:uid="{00000000-0006-0000-0200-0000EE000000}">
      <text>
        <r>
          <rPr>
            <sz val="8"/>
            <color indexed="81"/>
            <rFont val="Tahoma"/>
            <family val="2"/>
          </rPr>
          <t>When Yes, Cut Out measurements must be supplied in the next cells.</t>
        </r>
      </text>
    </comment>
    <comment ref="R41" authorId="0" shapeId="0" xr:uid="{00000000-0006-0000-0200-0000EF000000}">
      <text>
        <r>
          <rPr>
            <sz val="8"/>
            <color indexed="81"/>
            <rFont val="Tahoma"/>
            <family val="2"/>
          </rPr>
          <t>Blind Width          Maximum Cut Out Width
270 - 299mm       80mm
300 - 400mm       90mm
401 - 527mm        110mm
528 - 850mm       140mm
  &gt; 851mm              165mm</t>
        </r>
      </text>
    </comment>
    <comment ref="T41" authorId="0" shapeId="0" xr:uid="{00000000-0006-0000-0200-0000F0000000}">
      <text>
        <r>
          <rPr>
            <sz val="8"/>
            <color indexed="81"/>
            <rFont val="Tahoma"/>
            <family val="2"/>
          </rPr>
          <t>Blind Width          Maximum Cut Out Width
270 - 299mm       80mm
300 - 400mm       90mm
401 - 527mm        110mm
528 - 850mm       140mm
  &gt; 851mm              165mm</t>
        </r>
      </text>
    </comment>
    <comment ref="F42" authorId="0" shapeId="0" xr:uid="{00000000-0006-0000-0200-0000F1000000}">
      <text>
        <r>
          <rPr>
            <sz val="8"/>
            <color indexed="81"/>
            <rFont val="Tahoma"/>
            <family val="2"/>
          </rPr>
          <t>Minimum Width is 270mm.
Maximum Width is 2700mm.
All openings over 2700mm wide will require 
multiple Blinds.</t>
        </r>
      </text>
    </comment>
    <comment ref="G42" authorId="0" shapeId="0" xr:uid="{00000000-0006-0000-0200-0000F2000000}">
      <text>
        <r>
          <rPr>
            <sz val="8"/>
            <color indexed="81"/>
            <rFont val="Tahoma"/>
            <family val="2"/>
          </rPr>
          <t>Maximum Height/Drop is 3600mm.</t>
        </r>
      </text>
    </comment>
    <comment ref="H42" authorId="0" shapeId="0" xr:uid="{00000000-0006-0000-0200-0000F3000000}">
      <text>
        <r>
          <rPr>
            <sz val="8"/>
            <color indexed="81"/>
            <rFont val="Tahoma"/>
            <family val="2"/>
          </rPr>
          <t>When selecting a
Corner or Bay Window Type, 
the CMB Corner WS or CMB Bay WS 
must be completed.</t>
        </r>
      </text>
    </comment>
    <comment ref="J42" authorId="0" shapeId="0" xr:uid="{00000000-0006-0000-0200-0000F4000000}">
      <text>
        <r>
          <rPr>
            <sz val="8"/>
            <color indexed="81"/>
            <rFont val="Tahoma"/>
            <family val="2"/>
          </rPr>
          <t>ACT 
Actual Measurements
You have made the allowances.
NAM
No Allowances Made 
The factory will make the deductions.</t>
        </r>
      </text>
    </comment>
    <comment ref="O42" authorId="0" shapeId="0" xr:uid="{00000000-0006-0000-0200-0000F5000000}">
      <text>
        <r>
          <rPr>
            <sz val="8"/>
            <color indexed="81"/>
            <rFont val="Tahoma"/>
            <family val="2"/>
          </rPr>
          <t>When Yes, Cut Out measurements must be supplied in the next cells.</t>
        </r>
      </text>
    </comment>
    <comment ref="R42" authorId="0" shapeId="0" xr:uid="{00000000-0006-0000-0200-0000F6000000}">
      <text>
        <r>
          <rPr>
            <sz val="8"/>
            <color indexed="81"/>
            <rFont val="Tahoma"/>
            <family val="2"/>
          </rPr>
          <t>Blind Width          Maximum Cut Out Width
270 - 299mm       80mm
300 - 400mm       90mm
401 - 527mm        110mm
528 - 850mm       140mm
  &gt; 851mm              165mm</t>
        </r>
      </text>
    </comment>
    <comment ref="T42" authorId="0" shapeId="0" xr:uid="{00000000-0006-0000-0200-0000F7000000}">
      <text>
        <r>
          <rPr>
            <sz val="8"/>
            <color indexed="81"/>
            <rFont val="Tahoma"/>
            <family val="2"/>
          </rPr>
          <t>Blind Width          Maximum Cut Out Width
270 - 299mm       80mm
300 - 400mm       90mm
401 - 527mm        110mm
528 - 850mm       140mm
  &gt; 851mm              165mm</t>
        </r>
      </text>
    </comment>
    <comment ref="F43" authorId="0" shapeId="0" xr:uid="{00000000-0006-0000-0200-0000F8000000}">
      <text>
        <r>
          <rPr>
            <sz val="8"/>
            <color indexed="81"/>
            <rFont val="Tahoma"/>
            <family val="2"/>
          </rPr>
          <t>Minimum Width is 270mm.
Maximum Width is 2700mm.
All openings over 2700mm wide will require 
multiple Blinds.</t>
        </r>
      </text>
    </comment>
    <comment ref="G43" authorId="0" shapeId="0" xr:uid="{00000000-0006-0000-0200-0000F9000000}">
      <text>
        <r>
          <rPr>
            <sz val="8"/>
            <color indexed="81"/>
            <rFont val="Tahoma"/>
            <family val="2"/>
          </rPr>
          <t>Maximum Height/Drop is 3600mm.</t>
        </r>
      </text>
    </comment>
    <comment ref="H43" authorId="0" shapeId="0" xr:uid="{00000000-0006-0000-0200-0000FA000000}">
      <text>
        <r>
          <rPr>
            <sz val="8"/>
            <color indexed="81"/>
            <rFont val="Tahoma"/>
            <family val="2"/>
          </rPr>
          <t>When selecting a
Corner or Bay Window Type, 
the CMB Corner WS or CMB Bay WS 
must be completed.</t>
        </r>
      </text>
    </comment>
    <comment ref="J43" authorId="0" shapeId="0" xr:uid="{00000000-0006-0000-0200-0000FB000000}">
      <text>
        <r>
          <rPr>
            <sz val="8"/>
            <color indexed="81"/>
            <rFont val="Tahoma"/>
            <family val="2"/>
          </rPr>
          <t>ACT 
Actual Measurements
You have made the allowances.
NAM
No Allowances Made 
The factory will make the deductions.</t>
        </r>
      </text>
    </comment>
    <comment ref="O43" authorId="0" shapeId="0" xr:uid="{00000000-0006-0000-0200-0000FC000000}">
      <text>
        <r>
          <rPr>
            <sz val="8"/>
            <color indexed="81"/>
            <rFont val="Tahoma"/>
            <family val="2"/>
          </rPr>
          <t>When Yes, Cut Out measurements must be supplied in the next cells.</t>
        </r>
      </text>
    </comment>
    <comment ref="R43" authorId="0" shapeId="0" xr:uid="{00000000-0006-0000-0200-0000FD000000}">
      <text>
        <r>
          <rPr>
            <sz val="8"/>
            <color indexed="81"/>
            <rFont val="Tahoma"/>
            <family val="2"/>
          </rPr>
          <t>Blind Width          Maximum Cut Out Width
270 - 299mm       80mm
300 - 400mm       90mm
401 - 527mm        110mm
528 - 850mm       140mm
  &gt; 851mm              165mm</t>
        </r>
      </text>
    </comment>
    <comment ref="T43" authorId="0" shapeId="0" xr:uid="{00000000-0006-0000-0200-0000FE000000}">
      <text>
        <r>
          <rPr>
            <sz val="8"/>
            <color indexed="81"/>
            <rFont val="Tahoma"/>
            <family val="2"/>
          </rPr>
          <t>Blind Width          Maximum Cut Out Width
270 - 299mm       80mm
300 - 400mm       90mm
401 - 527mm        110mm
528 - 850mm       140mm
  &gt; 851mm              165mm</t>
        </r>
      </text>
    </comment>
    <comment ref="F44" authorId="0" shapeId="0" xr:uid="{00000000-0006-0000-0200-0000FF000000}">
      <text>
        <r>
          <rPr>
            <sz val="8"/>
            <color indexed="81"/>
            <rFont val="Tahoma"/>
            <family val="2"/>
          </rPr>
          <t>Minimum Width is 270mm.
Maximum Width is 2700mm.
All openings over 2700mm wide will require 
multiple Blinds.</t>
        </r>
      </text>
    </comment>
    <comment ref="G44" authorId="0" shapeId="0" xr:uid="{00000000-0006-0000-0200-000000010000}">
      <text>
        <r>
          <rPr>
            <sz val="8"/>
            <color indexed="81"/>
            <rFont val="Tahoma"/>
            <family val="2"/>
          </rPr>
          <t>Maximum Height/Drop is 3600mm.</t>
        </r>
      </text>
    </comment>
    <comment ref="H44" authorId="0" shapeId="0" xr:uid="{00000000-0006-0000-0200-000001010000}">
      <text>
        <r>
          <rPr>
            <sz val="8"/>
            <color indexed="81"/>
            <rFont val="Tahoma"/>
            <family val="2"/>
          </rPr>
          <t>When selecting a
Corner or Bay Window Type, 
the CMB Corner WS or CMB Bay WS 
must be completed.</t>
        </r>
      </text>
    </comment>
    <comment ref="J44" authorId="0" shapeId="0" xr:uid="{00000000-0006-0000-0200-000002010000}">
      <text>
        <r>
          <rPr>
            <sz val="8"/>
            <color indexed="81"/>
            <rFont val="Tahoma"/>
            <family val="2"/>
          </rPr>
          <t>ACT 
Actual Measurements
You have made the allowances.
NAM
No Allowances Made 
The factory will make the deductions.</t>
        </r>
      </text>
    </comment>
    <comment ref="O44" authorId="0" shapeId="0" xr:uid="{00000000-0006-0000-0200-000003010000}">
      <text>
        <r>
          <rPr>
            <sz val="8"/>
            <color indexed="81"/>
            <rFont val="Tahoma"/>
            <family val="2"/>
          </rPr>
          <t>When Yes, Cut Out measurements must be supplied in the next cells.</t>
        </r>
      </text>
    </comment>
    <comment ref="R44" authorId="0" shapeId="0" xr:uid="{00000000-0006-0000-0200-000004010000}">
      <text>
        <r>
          <rPr>
            <sz val="8"/>
            <color indexed="81"/>
            <rFont val="Tahoma"/>
            <family val="2"/>
          </rPr>
          <t>Blind Width          Maximum Cut Out Width
270 - 299mm       80mm
300 - 400mm       90mm
401 - 527mm        110mm
528 - 850mm       140mm
  &gt; 851mm              165mm</t>
        </r>
      </text>
    </comment>
    <comment ref="T44" authorId="0" shapeId="0" xr:uid="{00000000-0006-0000-0200-000005010000}">
      <text>
        <r>
          <rPr>
            <sz val="8"/>
            <color indexed="81"/>
            <rFont val="Tahoma"/>
            <family val="2"/>
          </rPr>
          <t>Blind Width          Maximum Cut Out Width
270 - 299mm       80mm
300 - 400mm       90mm
401 - 527mm        110mm
528 - 850mm       140mm
  &gt; 851mm              165mm</t>
        </r>
      </text>
    </comment>
    <comment ref="F45" authorId="0" shapeId="0" xr:uid="{00000000-0006-0000-0200-000006010000}">
      <text>
        <r>
          <rPr>
            <sz val="8"/>
            <color indexed="81"/>
            <rFont val="Tahoma"/>
            <family val="2"/>
          </rPr>
          <t>Minimum Width is 270mm.
Maximum Width is 2700mm.
All openings over 2700mm wide will require 
multiple Blinds.</t>
        </r>
      </text>
    </comment>
    <comment ref="G45" authorId="0" shapeId="0" xr:uid="{00000000-0006-0000-0200-000007010000}">
      <text>
        <r>
          <rPr>
            <sz val="8"/>
            <color indexed="81"/>
            <rFont val="Tahoma"/>
            <family val="2"/>
          </rPr>
          <t>Maximum Height/Drop is 3600mm.</t>
        </r>
      </text>
    </comment>
    <comment ref="H45" authorId="0" shapeId="0" xr:uid="{00000000-0006-0000-0200-000008010000}">
      <text>
        <r>
          <rPr>
            <sz val="8"/>
            <color indexed="81"/>
            <rFont val="Tahoma"/>
            <family val="2"/>
          </rPr>
          <t>When selecting a
Corner or Bay Window Type, 
the CMB Corner WS or CMB Bay WS 
must be completed.</t>
        </r>
      </text>
    </comment>
    <comment ref="J45" authorId="0" shapeId="0" xr:uid="{00000000-0006-0000-0200-000009010000}">
      <text>
        <r>
          <rPr>
            <sz val="8"/>
            <color indexed="81"/>
            <rFont val="Tahoma"/>
            <family val="2"/>
          </rPr>
          <t>ACT 
Actual Measurements
You have made the allowances.
NAM
No Allowances Made 
The factory will make the deductions.</t>
        </r>
      </text>
    </comment>
    <comment ref="O45" authorId="0" shapeId="0" xr:uid="{00000000-0006-0000-0200-00000A010000}">
      <text>
        <r>
          <rPr>
            <sz val="8"/>
            <color indexed="81"/>
            <rFont val="Tahoma"/>
            <family val="2"/>
          </rPr>
          <t>When Yes, Cut Out measurements must be supplied in the next cells.</t>
        </r>
      </text>
    </comment>
    <comment ref="R45" authorId="0" shapeId="0" xr:uid="{00000000-0006-0000-0200-00000B010000}">
      <text>
        <r>
          <rPr>
            <sz val="8"/>
            <color indexed="81"/>
            <rFont val="Tahoma"/>
            <family val="2"/>
          </rPr>
          <t>Blind Width          Maximum Cut Out Width
270 - 299mm       80mm
300 - 400mm       90mm
401 - 527mm        110mm
528 - 850mm       140mm
  &gt; 851mm              165mm</t>
        </r>
      </text>
    </comment>
    <comment ref="T45" authorId="0" shapeId="0" xr:uid="{00000000-0006-0000-0200-00000C010000}">
      <text>
        <r>
          <rPr>
            <sz val="8"/>
            <color indexed="81"/>
            <rFont val="Tahoma"/>
            <family val="2"/>
          </rPr>
          <t>Blind Width          Maximum Cut Out Width
270 - 299mm       80mm
300 - 400mm       90mm
401 - 527mm        110mm
528 - 850mm       140mm
  &gt; 851mm              165mm</t>
        </r>
      </text>
    </comment>
    <comment ref="F46" authorId="0" shapeId="0" xr:uid="{00000000-0006-0000-0200-00000D010000}">
      <text>
        <r>
          <rPr>
            <sz val="8"/>
            <color indexed="81"/>
            <rFont val="Tahoma"/>
            <family val="2"/>
          </rPr>
          <t>Minimum Width is 270mm.
Maximum Width is 2700mm.
All openings over 2700mm wide will require 
multiple Blinds.</t>
        </r>
      </text>
    </comment>
    <comment ref="G46" authorId="0" shapeId="0" xr:uid="{00000000-0006-0000-0200-00000E010000}">
      <text>
        <r>
          <rPr>
            <sz val="8"/>
            <color indexed="81"/>
            <rFont val="Tahoma"/>
            <family val="2"/>
          </rPr>
          <t>Maximum Height/Drop is 3600mm.</t>
        </r>
      </text>
    </comment>
    <comment ref="H46" authorId="0" shapeId="0" xr:uid="{00000000-0006-0000-0200-00000F010000}">
      <text>
        <r>
          <rPr>
            <sz val="8"/>
            <color indexed="81"/>
            <rFont val="Tahoma"/>
            <family val="2"/>
          </rPr>
          <t>When selecting a
Corner or Bay Window Type, 
the CMB Corner WS or CMB Bay WS 
must be completed.</t>
        </r>
      </text>
    </comment>
    <comment ref="J46" authorId="0" shapeId="0" xr:uid="{00000000-0006-0000-0200-000010010000}">
      <text>
        <r>
          <rPr>
            <sz val="8"/>
            <color indexed="81"/>
            <rFont val="Tahoma"/>
            <family val="2"/>
          </rPr>
          <t>ACT 
Actual Measurements
You have made the allowances.
NAM
No Allowances Made 
The factory will make the deductions.</t>
        </r>
      </text>
    </comment>
    <comment ref="O46" authorId="0" shapeId="0" xr:uid="{00000000-0006-0000-0200-000011010000}">
      <text>
        <r>
          <rPr>
            <sz val="8"/>
            <color indexed="81"/>
            <rFont val="Tahoma"/>
            <family val="2"/>
          </rPr>
          <t>When Yes, Cut Out measurements must be supplied in the next cells.</t>
        </r>
      </text>
    </comment>
    <comment ref="R46" authorId="0" shapeId="0" xr:uid="{00000000-0006-0000-0200-000012010000}">
      <text>
        <r>
          <rPr>
            <sz val="8"/>
            <color indexed="81"/>
            <rFont val="Tahoma"/>
            <family val="2"/>
          </rPr>
          <t>Blind Width          Maximum Cut Out Width
270 - 299mm       80mm
300 - 400mm       90mm
401 - 527mm        110mm
528 - 850mm       140mm
  &gt; 851mm              165mm</t>
        </r>
      </text>
    </comment>
    <comment ref="T46" authorId="0" shapeId="0" xr:uid="{00000000-0006-0000-0200-000013010000}">
      <text>
        <r>
          <rPr>
            <sz val="8"/>
            <color indexed="81"/>
            <rFont val="Tahoma"/>
            <family val="2"/>
          </rPr>
          <t>Blind Width          Maximum Cut Out Width
270 - 299mm       80mm
300 - 400mm       90mm
401 - 527mm        110mm
528 - 850mm       140mm
  &gt; 851mm              165mm</t>
        </r>
      </text>
    </comment>
    <comment ref="F47" authorId="0" shapeId="0" xr:uid="{00000000-0006-0000-0200-000014010000}">
      <text>
        <r>
          <rPr>
            <sz val="8"/>
            <color indexed="81"/>
            <rFont val="Tahoma"/>
            <family val="2"/>
          </rPr>
          <t>Minimum Width is 270mm.
Maximum Width is 2700mm.
All openings over 2700mm wide will require 
multiple Blinds.</t>
        </r>
      </text>
    </comment>
    <comment ref="G47" authorId="0" shapeId="0" xr:uid="{00000000-0006-0000-0200-000015010000}">
      <text>
        <r>
          <rPr>
            <sz val="8"/>
            <color indexed="81"/>
            <rFont val="Tahoma"/>
            <family val="2"/>
          </rPr>
          <t>Maximum Height/Drop is 3600mm.</t>
        </r>
      </text>
    </comment>
    <comment ref="H47" authorId="0" shapeId="0" xr:uid="{00000000-0006-0000-0200-000016010000}">
      <text>
        <r>
          <rPr>
            <sz val="8"/>
            <color indexed="81"/>
            <rFont val="Tahoma"/>
            <family val="2"/>
          </rPr>
          <t>When selecting a
Corner or Bay Window Type, 
the CMB Corner WS or CMB Bay WS 
must be completed.</t>
        </r>
      </text>
    </comment>
    <comment ref="J47" authorId="0" shapeId="0" xr:uid="{00000000-0006-0000-0200-000017010000}">
      <text>
        <r>
          <rPr>
            <sz val="8"/>
            <color indexed="81"/>
            <rFont val="Tahoma"/>
            <family val="2"/>
          </rPr>
          <t>ACT 
Actual Measurements
You have made the allowances.
NAM
No Allowances Made 
The factory will make the deductions.</t>
        </r>
      </text>
    </comment>
    <comment ref="O47" authorId="0" shapeId="0" xr:uid="{00000000-0006-0000-0200-000018010000}">
      <text>
        <r>
          <rPr>
            <sz val="8"/>
            <color indexed="81"/>
            <rFont val="Tahoma"/>
            <family val="2"/>
          </rPr>
          <t>When Yes, Cut Out measurements must be supplied in the next cells.</t>
        </r>
      </text>
    </comment>
    <comment ref="R47" authorId="0" shapeId="0" xr:uid="{00000000-0006-0000-0200-000019010000}">
      <text>
        <r>
          <rPr>
            <sz val="8"/>
            <color indexed="81"/>
            <rFont val="Tahoma"/>
            <family val="2"/>
          </rPr>
          <t>Blind Width          Maximum Cut Out Width
270 - 299mm       80mm
300 - 400mm       90mm
401 - 527mm        110mm
528 - 850mm       140mm
  &gt; 851mm              165mm</t>
        </r>
      </text>
    </comment>
    <comment ref="T47" authorId="0" shapeId="0" xr:uid="{00000000-0006-0000-0200-00001A010000}">
      <text>
        <r>
          <rPr>
            <sz val="8"/>
            <color indexed="81"/>
            <rFont val="Tahoma"/>
            <family val="2"/>
          </rPr>
          <t>Blind Width          Maximum Cut Out Width
270 - 299mm       80mm
300 - 400mm       90mm
401 - 527mm        110mm
528 - 850mm       140mm
  &gt; 851mm              165mm</t>
        </r>
      </text>
    </comment>
    <comment ref="F48" authorId="0" shapeId="0" xr:uid="{00000000-0006-0000-0200-00001B010000}">
      <text>
        <r>
          <rPr>
            <sz val="8"/>
            <color indexed="81"/>
            <rFont val="Tahoma"/>
            <family val="2"/>
          </rPr>
          <t>Minimum Width is 270mm.
Maximum Width is 2700mm.
All openings over 2700mm wide will require 
multiple Blinds.</t>
        </r>
      </text>
    </comment>
    <comment ref="G48" authorId="0" shapeId="0" xr:uid="{00000000-0006-0000-0200-00001C010000}">
      <text>
        <r>
          <rPr>
            <sz val="8"/>
            <color indexed="81"/>
            <rFont val="Tahoma"/>
            <family val="2"/>
          </rPr>
          <t>Maximum Height/Drop is 3600mm.</t>
        </r>
      </text>
    </comment>
    <comment ref="H48" authorId="0" shapeId="0" xr:uid="{00000000-0006-0000-0200-00001D010000}">
      <text>
        <r>
          <rPr>
            <sz val="8"/>
            <color indexed="81"/>
            <rFont val="Tahoma"/>
            <family val="2"/>
          </rPr>
          <t>When selecting a
Corner or Bay Window Type, 
the CMB Corner WS or CMB Bay WS 
must be completed.</t>
        </r>
      </text>
    </comment>
    <comment ref="J48" authorId="0" shapeId="0" xr:uid="{00000000-0006-0000-0200-00001E010000}">
      <text>
        <r>
          <rPr>
            <sz val="8"/>
            <color indexed="81"/>
            <rFont val="Tahoma"/>
            <family val="2"/>
          </rPr>
          <t>ACT 
Actual Measurements
You have made the allowances.
NAM
No Allowances Made 
The factory will make the deductions.</t>
        </r>
      </text>
    </comment>
    <comment ref="O48" authorId="0" shapeId="0" xr:uid="{00000000-0006-0000-0200-00001F010000}">
      <text>
        <r>
          <rPr>
            <sz val="8"/>
            <color indexed="81"/>
            <rFont val="Tahoma"/>
            <family val="2"/>
          </rPr>
          <t>When Yes, Cut Out measurements must be supplied in the next cells.</t>
        </r>
      </text>
    </comment>
    <comment ref="R48" authorId="0" shapeId="0" xr:uid="{00000000-0006-0000-0200-000020010000}">
      <text>
        <r>
          <rPr>
            <sz val="8"/>
            <color indexed="81"/>
            <rFont val="Tahoma"/>
            <family val="2"/>
          </rPr>
          <t>Blind Width          Maximum Cut Out Width
270 - 299mm       80mm
300 - 400mm       90mm
401 - 527mm        110mm
528 - 850mm       140mm
  &gt; 851mm              165mm</t>
        </r>
      </text>
    </comment>
    <comment ref="T48" authorId="0" shapeId="0" xr:uid="{00000000-0006-0000-0200-000021010000}">
      <text>
        <r>
          <rPr>
            <sz val="8"/>
            <color indexed="81"/>
            <rFont val="Tahoma"/>
            <family val="2"/>
          </rPr>
          <t>Blind Width          Maximum Cut Out Width
270 - 299mm       80mm
300 - 400mm       90mm
401 - 527mm        110mm
528 - 850mm       140mm
  &gt; 851mm              165mm</t>
        </r>
      </text>
    </comment>
    <comment ref="F49" authorId="0" shapeId="0" xr:uid="{00000000-0006-0000-0200-000022010000}">
      <text>
        <r>
          <rPr>
            <sz val="8"/>
            <color indexed="81"/>
            <rFont val="Tahoma"/>
            <family val="2"/>
          </rPr>
          <t>Minimum Width is 270mm.
Maximum Width is 2700mm.
All openings over 2700mm wide will require 
multiple Blinds.</t>
        </r>
      </text>
    </comment>
    <comment ref="G49" authorId="0" shapeId="0" xr:uid="{00000000-0006-0000-0200-000023010000}">
      <text>
        <r>
          <rPr>
            <sz val="8"/>
            <color indexed="81"/>
            <rFont val="Tahoma"/>
            <family val="2"/>
          </rPr>
          <t>Maximum Height/Drop is 3600mm.</t>
        </r>
      </text>
    </comment>
    <comment ref="H49" authorId="0" shapeId="0" xr:uid="{00000000-0006-0000-0200-000024010000}">
      <text>
        <r>
          <rPr>
            <sz val="8"/>
            <color indexed="81"/>
            <rFont val="Tahoma"/>
            <family val="2"/>
          </rPr>
          <t>When selecting a
Corner or Bay Window Type, 
the CMB Corner WS or CMB Bay WS 
must be completed.</t>
        </r>
      </text>
    </comment>
    <comment ref="J49" authorId="0" shapeId="0" xr:uid="{00000000-0006-0000-0200-000025010000}">
      <text>
        <r>
          <rPr>
            <sz val="8"/>
            <color indexed="81"/>
            <rFont val="Tahoma"/>
            <family val="2"/>
          </rPr>
          <t>ACT 
Actual Measurements
You have made the allowances.
NAM
No Allowances Made 
The factory will make the deductions.</t>
        </r>
      </text>
    </comment>
    <comment ref="O49" authorId="0" shapeId="0" xr:uid="{00000000-0006-0000-0200-000026010000}">
      <text>
        <r>
          <rPr>
            <sz val="8"/>
            <color indexed="81"/>
            <rFont val="Tahoma"/>
            <family val="2"/>
          </rPr>
          <t>When Yes, Cut Out measurements must be supplied in the next cells.</t>
        </r>
      </text>
    </comment>
    <comment ref="R49" authorId="0" shapeId="0" xr:uid="{00000000-0006-0000-0200-000027010000}">
      <text>
        <r>
          <rPr>
            <sz val="8"/>
            <color indexed="81"/>
            <rFont val="Tahoma"/>
            <family val="2"/>
          </rPr>
          <t>Blind Width          Maximum Cut Out Width
270 - 299mm       80mm
300 - 400mm       90mm
401 - 527mm        110mm
528 - 850mm       140mm
  &gt; 851mm              165mm</t>
        </r>
      </text>
    </comment>
    <comment ref="T49" authorId="0" shapeId="0" xr:uid="{00000000-0006-0000-0200-000028010000}">
      <text>
        <r>
          <rPr>
            <sz val="8"/>
            <color indexed="81"/>
            <rFont val="Tahoma"/>
            <family val="2"/>
          </rPr>
          <t>Blind Width          Maximum Cut Out Width
270 - 299mm       80mm
300 - 400mm       90mm
401 - 527mm        110mm
528 - 850mm       140mm
  &gt; 851mm              165mm</t>
        </r>
      </text>
    </comment>
    <comment ref="F50" authorId="0" shapeId="0" xr:uid="{00000000-0006-0000-0200-000029010000}">
      <text>
        <r>
          <rPr>
            <sz val="8"/>
            <color indexed="81"/>
            <rFont val="Tahoma"/>
            <family val="2"/>
          </rPr>
          <t>Minimum Width is 270mm.
Maximum Width is 2700mm.
All openings over 2700mm wide will require 
multiple Blinds.</t>
        </r>
      </text>
    </comment>
    <comment ref="G50" authorId="0" shapeId="0" xr:uid="{00000000-0006-0000-0200-00002A010000}">
      <text>
        <r>
          <rPr>
            <sz val="8"/>
            <color indexed="81"/>
            <rFont val="Tahoma"/>
            <family val="2"/>
          </rPr>
          <t>Maximum Height/Drop is 3600mm.</t>
        </r>
      </text>
    </comment>
    <comment ref="H50" authorId="0" shapeId="0" xr:uid="{00000000-0006-0000-0200-00002B010000}">
      <text>
        <r>
          <rPr>
            <sz val="8"/>
            <color indexed="81"/>
            <rFont val="Tahoma"/>
            <family val="2"/>
          </rPr>
          <t>When selecting a
Corner or Bay Window Type, 
the CMB Corner WS or CMB Bay WS 
must be completed.</t>
        </r>
      </text>
    </comment>
    <comment ref="J50" authorId="0" shapeId="0" xr:uid="{00000000-0006-0000-0200-00002C010000}">
      <text>
        <r>
          <rPr>
            <sz val="8"/>
            <color indexed="81"/>
            <rFont val="Tahoma"/>
            <family val="2"/>
          </rPr>
          <t>ACT 
Actual Measurements
You have made the allowances.
NAM
No Allowances Made 
The factory will make the deductions.</t>
        </r>
      </text>
    </comment>
    <comment ref="O50" authorId="0" shapeId="0" xr:uid="{00000000-0006-0000-0200-00002D010000}">
      <text>
        <r>
          <rPr>
            <sz val="8"/>
            <color indexed="81"/>
            <rFont val="Tahoma"/>
            <family val="2"/>
          </rPr>
          <t>When Yes, Cut Out measurements must be supplied in the next cells.</t>
        </r>
      </text>
    </comment>
    <comment ref="R50" authorId="0" shapeId="0" xr:uid="{00000000-0006-0000-0200-00002E010000}">
      <text>
        <r>
          <rPr>
            <sz val="8"/>
            <color indexed="81"/>
            <rFont val="Tahoma"/>
            <family val="2"/>
          </rPr>
          <t>Blind Width          Maximum Cut Out Width
270 - 299mm       80mm
300 - 400mm       90mm
401 - 527mm        110mm
528 - 850mm       140mm
  &gt; 851mm              165mm</t>
        </r>
      </text>
    </comment>
    <comment ref="T50" authorId="0" shapeId="0" xr:uid="{00000000-0006-0000-0200-00002F010000}">
      <text>
        <r>
          <rPr>
            <sz val="8"/>
            <color indexed="81"/>
            <rFont val="Tahoma"/>
            <family val="2"/>
          </rPr>
          <t>Blind Width          Maximum Cut Out Width
270 - 299mm       80mm
300 - 400mm       90mm
401 - 527mm        110mm
528 - 850mm       140mm
  &gt; 851mm              165mm</t>
        </r>
      </text>
    </comment>
    <comment ref="F51" authorId="0" shapeId="0" xr:uid="{00000000-0006-0000-0200-000030010000}">
      <text>
        <r>
          <rPr>
            <sz val="8"/>
            <color indexed="81"/>
            <rFont val="Tahoma"/>
            <family val="2"/>
          </rPr>
          <t>Minimum Width is 270mm.
Maximum Width is 2700mm.
All openings over 2700mm wide will require 
multiple Blinds.</t>
        </r>
      </text>
    </comment>
    <comment ref="G51" authorId="0" shapeId="0" xr:uid="{00000000-0006-0000-0200-000031010000}">
      <text>
        <r>
          <rPr>
            <sz val="8"/>
            <color indexed="81"/>
            <rFont val="Tahoma"/>
            <family val="2"/>
          </rPr>
          <t>Maximum Height/Drop is 3600mm.</t>
        </r>
      </text>
    </comment>
    <comment ref="H51" authorId="0" shapeId="0" xr:uid="{00000000-0006-0000-0200-000032010000}">
      <text>
        <r>
          <rPr>
            <sz val="8"/>
            <color indexed="81"/>
            <rFont val="Tahoma"/>
            <family val="2"/>
          </rPr>
          <t>When selecting a
Corner or Bay Window Type, 
the CMB Corner WS or CMB Bay WS 
must be completed.</t>
        </r>
      </text>
    </comment>
    <comment ref="J51" authorId="0" shapeId="0" xr:uid="{00000000-0006-0000-0200-000033010000}">
      <text>
        <r>
          <rPr>
            <sz val="8"/>
            <color indexed="81"/>
            <rFont val="Tahoma"/>
            <family val="2"/>
          </rPr>
          <t>ACT 
Actual Measurements
You have made the allowances.
NAM
No Allowances Made 
The factory will make the deductions.</t>
        </r>
      </text>
    </comment>
    <comment ref="O51" authorId="0" shapeId="0" xr:uid="{00000000-0006-0000-0200-000034010000}">
      <text>
        <r>
          <rPr>
            <sz val="8"/>
            <color indexed="81"/>
            <rFont val="Tahoma"/>
            <family val="2"/>
          </rPr>
          <t>When Yes, Cut Out measurements must be supplied in the next cells.</t>
        </r>
      </text>
    </comment>
    <comment ref="R51" authorId="0" shapeId="0" xr:uid="{00000000-0006-0000-0200-000035010000}">
      <text>
        <r>
          <rPr>
            <sz val="8"/>
            <color indexed="81"/>
            <rFont val="Tahoma"/>
            <family val="2"/>
          </rPr>
          <t>Blind Width          Maximum Cut Out Width
270 - 299mm       80mm
300 - 400mm       90mm
401 - 527mm        110mm
528 - 850mm       140mm
  &gt; 851mm              165mm</t>
        </r>
      </text>
    </comment>
    <comment ref="T51" authorId="0" shapeId="0" xr:uid="{00000000-0006-0000-0200-000036010000}">
      <text>
        <r>
          <rPr>
            <sz val="8"/>
            <color indexed="81"/>
            <rFont val="Tahoma"/>
            <family val="2"/>
          </rPr>
          <t>Blind Width          Maximum Cut Out Width
270 - 299mm       80mm
300 - 400mm       90mm
401 - 527mm        110mm
528 - 850mm       140mm
  &gt; 851mm              165mm</t>
        </r>
      </text>
    </comment>
    <comment ref="F52" authorId="0" shapeId="0" xr:uid="{00000000-0006-0000-0200-000037010000}">
      <text>
        <r>
          <rPr>
            <sz val="8"/>
            <color indexed="81"/>
            <rFont val="Tahoma"/>
            <family val="2"/>
          </rPr>
          <t>Minimum Width is 270mm.
Maximum Width is 2700mm.
All openings over 2700mm wide will require 
multiple Blinds.</t>
        </r>
      </text>
    </comment>
    <comment ref="G52" authorId="0" shapeId="0" xr:uid="{00000000-0006-0000-0200-000038010000}">
      <text>
        <r>
          <rPr>
            <sz val="8"/>
            <color indexed="81"/>
            <rFont val="Tahoma"/>
            <family val="2"/>
          </rPr>
          <t>Maximum Height/Drop is 3600mm.</t>
        </r>
      </text>
    </comment>
    <comment ref="H52" authorId="0" shapeId="0" xr:uid="{00000000-0006-0000-0200-000039010000}">
      <text>
        <r>
          <rPr>
            <sz val="8"/>
            <color indexed="81"/>
            <rFont val="Tahoma"/>
            <family val="2"/>
          </rPr>
          <t>When selecting a
Corner or Bay Window Type, 
the CMB Corner WS or CMB Bay WS 
must be completed.</t>
        </r>
      </text>
    </comment>
    <comment ref="J52" authorId="0" shapeId="0" xr:uid="{00000000-0006-0000-0200-00003A010000}">
      <text>
        <r>
          <rPr>
            <sz val="8"/>
            <color indexed="81"/>
            <rFont val="Tahoma"/>
            <family val="2"/>
          </rPr>
          <t>ACT 
Actual Measurements
You have made the allowances.
NAM
No Allowances Made 
The factory will make the deductions.</t>
        </r>
      </text>
    </comment>
    <comment ref="O52" authorId="0" shapeId="0" xr:uid="{00000000-0006-0000-0200-00003B010000}">
      <text>
        <r>
          <rPr>
            <sz val="8"/>
            <color indexed="81"/>
            <rFont val="Tahoma"/>
            <family val="2"/>
          </rPr>
          <t>When Yes, Cut Out measurements must be supplied in the next cells.</t>
        </r>
      </text>
    </comment>
    <comment ref="R52" authorId="0" shapeId="0" xr:uid="{00000000-0006-0000-0200-00003C010000}">
      <text>
        <r>
          <rPr>
            <sz val="8"/>
            <color indexed="81"/>
            <rFont val="Tahoma"/>
            <family val="2"/>
          </rPr>
          <t>Blind Width          Maximum Cut Out Width
270 - 299mm       80mm
300 - 400mm       90mm
401 - 527mm        110mm
528 - 850mm       140mm
  &gt; 851mm              165mm</t>
        </r>
      </text>
    </comment>
    <comment ref="T52" authorId="0" shapeId="0" xr:uid="{00000000-0006-0000-0200-00003D010000}">
      <text>
        <r>
          <rPr>
            <sz val="8"/>
            <color indexed="81"/>
            <rFont val="Tahoma"/>
            <family val="2"/>
          </rPr>
          <t>Blind Width          Maximum Cut Out Width
270 - 299mm       80mm
300 - 400mm       90mm
401 - 527mm        110mm
528 - 850mm       140mm
  &gt; 851mm              165mm</t>
        </r>
      </text>
    </comment>
    <comment ref="F53" authorId="0" shapeId="0" xr:uid="{00000000-0006-0000-0200-00003E010000}">
      <text>
        <r>
          <rPr>
            <sz val="8"/>
            <color indexed="81"/>
            <rFont val="Tahoma"/>
            <family val="2"/>
          </rPr>
          <t>Minimum Width is 270mm.
Maximum Width is 2700mm.
All openings over 2700mm wide will require 
multiple Blinds.</t>
        </r>
      </text>
    </comment>
    <comment ref="G53" authorId="0" shapeId="0" xr:uid="{00000000-0006-0000-0200-00003F010000}">
      <text>
        <r>
          <rPr>
            <sz val="8"/>
            <color indexed="81"/>
            <rFont val="Tahoma"/>
            <family val="2"/>
          </rPr>
          <t>Maximum Height/Drop is 3600mm.</t>
        </r>
      </text>
    </comment>
    <comment ref="H53" authorId="0" shapeId="0" xr:uid="{00000000-0006-0000-0200-000040010000}">
      <text>
        <r>
          <rPr>
            <sz val="8"/>
            <color indexed="81"/>
            <rFont val="Tahoma"/>
            <family val="2"/>
          </rPr>
          <t>When selecting a
Corner or Bay Window Type, 
the CMB Corner WS or CMB Bay WS 
must be completed.</t>
        </r>
      </text>
    </comment>
    <comment ref="J53" authorId="0" shapeId="0" xr:uid="{00000000-0006-0000-0200-000041010000}">
      <text>
        <r>
          <rPr>
            <sz val="8"/>
            <color indexed="81"/>
            <rFont val="Tahoma"/>
            <family val="2"/>
          </rPr>
          <t>ACT 
Actual Measurements
You have made the allowances.
NAM
No Allowances Made 
The factory will make the deductions.</t>
        </r>
      </text>
    </comment>
    <comment ref="O53" authorId="0" shapeId="0" xr:uid="{00000000-0006-0000-0200-000042010000}">
      <text>
        <r>
          <rPr>
            <sz val="8"/>
            <color indexed="81"/>
            <rFont val="Tahoma"/>
            <family val="2"/>
          </rPr>
          <t>When Yes, Cut Out measurements must be supplied in the next cells.</t>
        </r>
      </text>
    </comment>
    <comment ref="R53" authorId="0" shapeId="0" xr:uid="{00000000-0006-0000-0200-000043010000}">
      <text>
        <r>
          <rPr>
            <sz val="8"/>
            <color indexed="81"/>
            <rFont val="Tahoma"/>
            <family val="2"/>
          </rPr>
          <t>Blind Width          Maximum Cut Out Width
270 - 299mm       80mm
300 - 400mm       90mm
401 - 527mm        110mm
528 - 850mm       140mm
  &gt; 851mm              165mm</t>
        </r>
      </text>
    </comment>
    <comment ref="T53" authorId="0" shapeId="0" xr:uid="{00000000-0006-0000-0200-000044010000}">
      <text>
        <r>
          <rPr>
            <sz val="8"/>
            <color indexed="81"/>
            <rFont val="Tahoma"/>
            <family val="2"/>
          </rPr>
          <t>Blind Width          Maximum Cut Out Width
270 - 299mm       80mm
300 - 400mm       90mm
401 - 527mm        110mm
528 - 850mm       140mm
  &gt; 851mm              165mm</t>
        </r>
      </text>
    </comment>
    <comment ref="F54" authorId="0" shapeId="0" xr:uid="{00000000-0006-0000-0200-000045010000}">
      <text>
        <r>
          <rPr>
            <sz val="8"/>
            <color indexed="81"/>
            <rFont val="Tahoma"/>
            <family val="2"/>
          </rPr>
          <t>Minimum Width is 270mm.
Maximum Width is 2700mm.
All openings over 2700mm wide will require 
multiple Blinds.</t>
        </r>
      </text>
    </comment>
    <comment ref="G54" authorId="0" shapeId="0" xr:uid="{00000000-0006-0000-0200-000046010000}">
      <text>
        <r>
          <rPr>
            <sz val="8"/>
            <color indexed="81"/>
            <rFont val="Tahoma"/>
            <family val="2"/>
          </rPr>
          <t>Maximum Height/Drop is 3600mm.</t>
        </r>
      </text>
    </comment>
    <comment ref="H54" authorId="0" shapeId="0" xr:uid="{00000000-0006-0000-0200-000047010000}">
      <text>
        <r>
          <rPr>
            <sz val="8"/>
            <color indexed="81"/>
            <rFont val="Tahoma"/>
            <family val="2"/>
          </rPr>
          <t>When selecting a
Corner or Bay Window Type, 
the CMB Corner WS or CMB Bay WS 
must be completed.</t>
        </r>
      </text>
    </comment>
    <comment ref="J54" authorId="0" shapeId="0" xr:uid="{00000000-0006-0000-0200-000048010000}">
      <text>
        <r>
          <rPr>
            <sz val="8"/>
            <color indexed="81"/>
            <rFont val="Tahoma"/>
            <family val="2"/>
          </rPr>
          <t>ACT 
Actual Measurements
You have made the allowances.
NAM
No Allowances Made 
The factory will make the deductions.</t>
        </r>
      </text>
    </comment>
    <comment ref="O54" authorId="0" shapeId="0" xr:uid="{00000000-0006-0000-0200-000049010000}">
      <text>
        <r>
          <rPr>
            <sz val="8"/>
            <color indexed="81"/>
            <rFont val="Tahoma"/>
            <family val="2"/>
          </rPr>
          <t>When Yes, Cut Out measurements must be supplied in the next cells.</t>
        </r>
      </text>
    </comment>
    <comment ref="R54" authorId="0" shapeId="0" xr:uid="{00000000-0006-0000-0200-00004A010000}">
      <text>
        <r>
          <rPr>
            <sz val="8"/>
            <color indexed="81"/>
            <rFont val="Tahoma"/>
            <family val="2"/>
          </rPr>
          <t>Blind Width          Maximum Cut Out Width
270 - 299mm       80mm
300 - 400mm       90mm
401 - 527mm        110mm
528 - 850mm       140mm
  &gt; 851mm              165mm</t>
        </r>
      </text>
    </comment>
    <comment ref="T54" authorId="0" shapeId="0" xr:uid="{00000000-0006-0000-0200-00004B010000}">
      <text>
        <r>
          <rPr>
            <sz val="8"/>
            <color indexed="81"/>
            <rFont val="Tahoma"/>
            <family val="2"/>
          </rPr>
          <t>Blind Width          Maximum Cut Out Width
270 - 299mm       80mm
300 - 400mm       90mm
401 - 527mm        110mm
528 - 850mm       140mm
  &gt; 851mm              165mm</t>
        </r>
      </text>
    </comment>
    <comment ref="F55" authorId="0" shapeId="0" xr:uid="{00000000-0006-0000-0200-00004C010000}">
      <text>
        <r>
          <rPr>
            <sz val="8"/>
            <color indexed="81"/>
            <rFont val="Tahoma"/>
            <family val="2"/>
          </rPr>
          <t>Minimum Width is 270mm.
Maximum Width is 2700mm.
All openings over 2700mm wide will require 
multiple Blinds.</t>
        </r>
      </text>
    </comment>
    <comment ref="G55" authorId="0" shapeId="0" xr:uid="{00000000-0006-0000-0200-00004D010000}">
      <text>
        <r>
          <rPr>
            <sz val="8"/>
            <color indexed="81"/>
            <rFont val="Tahoma"/>
            <family val="2"/>
          </rPr>
          <t>Maximum Height/Drop is 3600mm.</t>
        </r>
      </text>
    </comment>
    <comment ref="H55" authorId="0" shapeId="0" xr:uid="{00000000-0006-0000-0200-00004E010000}">
      <text>
        <r>
          <rPr>
            <sz val="8"/>
            <color indexed="81"/>
            <rFont val="Tahoma"/>
            <family val="2"/>
          </rPr>
          <t>When selecting a
Corner or Bay Window Type, 
the CMB Corner WS or CMB Bay WS 
must be completed.</t>
        </r>
      </text>
    </comment>
    <comment ref="J55" authorId="0" shapeId="0" xr:uid="{00000000-0006-0000-0200-00004F010000}">
      <text>
        <r>
          <rPr>
            <sz val="8"/>
            <color indexed="81"/>
            <rFont val="Tahoma"/>
            <family val="2"/>
          </rPr>
          <t>ACT 
Actual Measurements
You have made the allowances.
NAM
No Allowances Made 
The factory will make the deductions.</t>
        </r>
      </text>
    </comment>
    <comment ref="O55" authorId="0" shapeId="0" xr:uid="{00000000-0006-0000-0200-000050010000}">
      <text>
        <r>
          <rPr>
            <sz val="8"/>
            <color indexed="81"/>
            <rFont val="Tahoma"/>
            <family val="2"/>
          </rPr>
          <t>When Yes, Cut Out measurements must be supplied in the next cells.</t>
        </r>
      </text>
    </comment>
    <comment ref="R55" authorId="0" shapeId="0" xr:uid="{00000000-0006-0000-0200-000051010000}">
      <text>
        <r>
          <rPr>
            <sz val="8"/>
            <color indexed="81"/>
            <rFont val="Tahoma"/>
            <family val="2"/>
          </rPr>
          <t>Blind Width          Maximum Cut Out Width
270 - 299mm       80mm
300 - 400mm       90mm
401 - 527mm        110mm
528 - 850mm       140mm
  &gt; 851mm              165mm</t>
        </r>
      </text>
    </comment>
    <comment ref="T55" authorId="0" shapeId="0" xr:uid="{00000000-0006-0000-0200-000052010000}">
      <text>
        <r>
          <rPr>
            <sz val="8"/>
            <color indexed="81"/>
            <rFont val="Tahoma"/>
            <family val="2"/>
          </rPr>
          <t>Blind Width          Maximum Cut Out Width
270 - 299mm       80mm
300 - 400mm       90mm
401 - 527mm        110mm
528 - 850mm       140mm
  &gt; 851mm              165mm</t>
        </r>
      </text>
    </comment>
    <comment ref="F56" authorId="0" shapeId="0" xr:uid="{00000000-0006-0000-0200-000053010000}">
      <text>
        <r>
          <rPr>
            <sz val="8"/>
            <color indexed="81"/>
            <rFont val="Tahoma"/>
            <family val="2"/>
          </rPr>
          <t>Minimum Width is 270mm.
Maximum Width is 2700mm.
All openings over 2700mm wide will require 
multiple Blinds.</t>
        </r>
      </text>
    </comment>
    <comment ref="G56" authorId="0" shapeId="0" xr:uid="{00000000-0006-0000-0200-000054010000}">
      <text>
        <r>
          <rPr>
            <sz val="8"/>
            <color indexed="81"/>
            <rFont val="Tahoma"/>
            <family val="2"/>
          </rPr>
          <t>Maximum Height/Drop is 3600mm.</t>
        </r>
      </text>
    </comment>
    <comment ref="H56" authorId="0" shapeId="0" xr:uid="{00000000-0006-0000-0200-000055010000}">
      <text>
        <r>
          <rPr>
            <sz val="8"/>
            <color indexed="81"/>
            <rFont val="Tahoma"/>
            <family val="2"/>
          </rPr>
          <t>When selecting a
Corner or Bay Window Type, 
the CMB Corner WS or CMB Bay WS 
must be completed.</t>
        </r>
      </text>
    </comment>
    <comment ref="J56" authorId="0" shapeId="0" xr:uid="{00000000-0006-0000-0200-000056010000}">
      <text>
        <r>
          <rPr>
            <sz val="8"/>
            <color indexed="81"/>
            <rFont val="Tahoma"/>
            <family val="2"/>
          </rPr>
          <t>ACT 
Actual Measurements
You have made the allowances.
NAM
No Allowances Made 
The factory will make the deductions.</t>
        </r>
      </text>
    </comment>
    <comment ref="O56" authorId="0" shapeId="0" xr:uid="{00000000-0006-0000-0200-000057010000}">
      <text>
        <r>
          <rPr>
            <sz val="8"/>
            <color indexed="81"/>
            <rFont val="Tahoma"/>
            <family val="2"/>
          </rPr>
          <t>When Yes, Cut Out measurements must be supplied in the next cells.</t>
        </r>
      </text>
    </comment>
    <comment ref="R56" authorId="0" shapeId="0" xr:uid="{00000000-0006-0000-0200-000058010000}">
      <text>
        <r>
          <rPr>
            <sz val="8"/>
            <color indexed="81"/>
            <rFont val="Tahoma"/>
            <family val="2"/>
          </rPr>
          <t>Blind Width          Maximum Cut Out Width
270 - 299mm       80mm
300 - 400mm       90mm
401 - 527mm        110mm
528 - 850mm       140mm
  &gt; 851mm              165mm</t>
        </r>
      </text>
    </comment>
    <comment ref="T56" authorId="0" shapeId="0" xr:uid="{00000000-0006-0000-0200-000059010000}">
      <text>
        <r>
          <rPr>
            <sz val="8"/>
            <color indexed="81"/>
            <rFont val="Tahoma"/>
            <family val="2"/>
          </rPr>
          <t>Blind Width          Maximum Cut Out Width
270 - 299mm       80mm
300 - 400mm       90mm
401 - 527mm        110mm
528 - 850mm       140mm
  &gt; 851mm              165mm</t>
        </r>
      </text>
    </comment>
    <comment ref="F57" authorId="0" shapeId="0" xr:uid="{00000000-0006-0000-0200-00005A010000}">
      <text>
        <r>
          <rPr>
            <sz val="8"/>
            <color indexed="81"/>
            <rFont val="Tahoma"/>
            <family val="2"/>
          </rPr>
          <t>Minimum Width is 270mm.
Maximum Width is 2700mm.
All openings over 2700mm wide will require 
multiple Blinds.</t>
        </r>
      </text>
    </comment>
    <comment ref="G57" authorId="0" shapeId="0" xr:uid="{00000000-0006-0000-0200-00005B010000}">
      <text>
        <r>
          <rPr>
            <sz val="8"/>
            <color indexed="81"/>
            <rFont val="Tahoma"/>
            <family val="2"/>
          </rPr>
          <t>Maximum Height/Drop is 3600mm.</t>
        </r>
      </text>
    </comment>
    <comment ref="H57" authorId="0" shapeId="0" xr:uid="{00000000-0006-0000-0200-00005C010000}">
      <text>
        <r>
          <rPr>
            <sz val="8"/>
            <color indexed="81"/>
            <rFont val="Tahoma"/>
            <family val="2"/>
          </rPr>
          <t>When selecting a
Corner or Bay Window Type, 
the CMB Corner WS or CMB Bay WS 
must be completed.</t>
        </r>
      </text>
    </comment>
    <comment ref="J57" authorId="0" shapeId="0" xr:uid="{00000000-0006-0000-0200-00005D010000}">
      <text>
        <r>
          <rPr>
            <sz val="8"/>
            <color indexed="81"/>
            <rFont val="Tahoma"/>
            <family val="2"/>
          </rPr>
          <t>ACT 
Actual Measurements
You have made the allowances.
NAM
No Allowances Made 
The factory will make the deductions.</t>
        </r>
      </text>
    </comment>
    <comment ref="O57" authorId="0" shapeId="0" xr:uid="{00000000-0006-0000-0200-00005E010000}">
      <text>
        <r>
          <rPr>
            <sz val="8"/>
            <color indexed="81"/>
            <rFont val="Tahoma"/>
            <family val="2"/>
          </rPr>
          <t>When Yes, Cut Out measurements must be supplied in the next cells.</t>
        </r>
      </text>
    </comment>
    <comment ref="R57" authorId="0" shapeId="0" xr:uid="{00000000-0006-0000-0200-00005F010000}">
      <text>
        <r>
          <rPr>
            <sz val="8"/>
            <color indexed="81"/>
            <rFont val="Tahoma"/>
            <family val="2"/>
          </rPr>
          <t>Blind Width          Maximum Cut Out Width
270 - 299mm       80mm
300 - 400mm       90mm
401 - 527mm        110mm
528 - 850mm       140mm
  &gt; 851mm              165mm</t>
        </r>
      </text>
    </comment>
    <comment ref="T57" authorId="0" shapeId="0" xr:uid="{00000000-0006-0000-0200-000060010000}">
      <text>
        <r>
          <rPr>
            <sz val="8"/>
            <color indexed="81"/>
            <rFont val="Tahoma"/>
            <family val="2"/>
          </rPr>
          <t>Blind Width          Maximum Cut Out Width
270 - 299mm       80mm
300 - 400mm       90mm
401 - 527mm        110mm
528 - 850mm       140mm
  &gt; 851mm              165mm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D7" authorId="0" shapeId="0" xr:uid="{00000000-0006-0000-0400-000001000000}">
      <text>
        <r>
          <rPr>
            <sz val="8"/>
            <color indexed="81"/>
            <rFont val="Tahoma"/>
            <family val="2"/>
          </rPr>
          <t>Products options are;
London
Maui
Paris
Sunscreen</t>
        </r>
      </text>
    </comment>
    <comment ref="E7" authorId="0" shapeId="0" xr:uid="{00000000-0006-0000-0400-000002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7" authorId="0" shapeId="0" xr:uid="{00000000-0006-0000-0400-000003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7" authorId="0" shapeId="0" xr:uid="{00000000-0006-0000-0400-000004000000}">
      <text>
        <r>
          <rPr>
            <sz val="8"/>
            <color indexed="81"/>
            <rFont val="Tahoma"/>
            <family val="2"/>
          </rPr>
          <t xml:space="preserve">Minimum Height/Drop is 300mm.
Maximum Height/Drop is 3000mm. </t>
        </r>
      </text>
    </comment>
    <comment ref="H7" authorId="0" shapeId="0" xr:uid="{00000000-0006-0000-0400-000005000000}">
      <text>
        <r>
          <rPr>
            <sz val="8"/>
            <color indexed="81"/>
            <rFont val="Tahoma"/>
            <family val="2"/>
          </rPr>
          <t>When selecting a
Corner or Bay 
Window Type, 
the 
CMB Corner WS 
or 
CMB Bay WS 
must be completed.</t>
        </r>
      </text>
    </comment>
    <comment ref="J7" authorId="0" shapeId="0" xr:uid="{00000000-0006-0000-0400-000006000000}">
      <text>
        <r>
          <rPr>
            <sz val="8"/>
            <color indexed="81"/>
            <rFont val="Tahoma"/>
            <family val="2"/>
          </rPr>
          <t>ACT 
Actual Measurements
You have made the allowances.
NAM
No Allowances Made 
The factory will make the deductions.</t>
        </r>
      </text>
    </comment>
    <comment ref="M7" authorId="0" shapeId="0" xr:uid="{00000000-0006-0000-0400-000007000000}">
      <text>
        <r>
          <rPr>
            <sz val="8"/>
            <color indexed="81"/>
            <rFont val="Tahoma"/>
            <family val="2"/>
          </rPr>
          <t xml:space="preserve">
Bottom Rail Colour options;
Clear Anodised
Metallic Black
Mocha
White
White Birch</t>
        </r>
      </text>
    </comment>
    <comment ref="O7" authorId="0" shapeId="0" xr:uid="{00000000-0006-0000-0400-000008000000}">
      <text>
        <r>
          <rPr>
            <sz val="8"/>
            <color indexed="81"/>
            <rFont val="Tahoma"/>
            <family val="2"/>
          </rPr>
          <t>Control Options are;
Left
Right
When Bracket Type is Link Together, 
Left or Right can only be selected once per Linked Set.</t>
        </r>
      </text>
    </comment>
    <comment ref="Q7" authorId="0" shapeId="0" xr:uid="{00000000-0006-0000-0400-000009000000}">
      <text>
        <r>
          <rPr>
            <sz val="8"/>
            <color indexed="81"/>
            <rFont val="Tahoma"/>
            <family val="2"/>
          </rPr>
          <t>Chain Length options are; 
Default
500mm
750mm
1000mm
1250mm
1500mm
2000mm</t>
        </r>
      </text>
    </comment>
    <comment ref="R7" authorId="0" shapeId="0" xr:uid="{00000000-0006-0000-0400-00000A000000}">
      <text>
        <r>
          <rPr>
            <sz val="8"/>
            <color indexed="81"/>
            <rFont val="Tahoma"/>
            <family val="2"/>
          </rPr>
          <t>Chain Colour options are; 
White
White Birch
Black
Nickel Plated Brass
Stainless Steel</t>
        </r>
      </text>
    </comment>
    <comment ref="S7" authorId="0" shapeId="0" xr:uid="{00000000-0006-0000-0400-00000B000000}">
      <text>
        <r>
          <rPr>
            <sz val="8"/>
            <color indexed="81"/>
            <rFont val="Tahoma"/>
            <family val="2"/>
          </rPr>
          <t>When
 Standard or Common 
is selected the 
Pelmet Colour 
must be entered.</t>
        </r>
      </text>
    </comment>
    <comment ref="W7" authorId="0" shapeId="0" xr:uid="{00000000-0006-0000-0400-00000C000000}">
      <text>
        <r>
          <rPr>
            <sz val="8"/>
            <color indexed="81"/>
            <rFont val="Tahoma"/>
            <family val="2"/>
          </rPr>
          <t>Bracket Options include:
All other options;
Standard
Double
Link
Double Link</t>
        </r>
      </text>
    </comment>
    <comment ref="X7" authorId="0" shapeId="0" xr:uid="{00000000-0006-0000-0400-00000D000000}">
      <text>
        <r>
          <rPr>
            <sz val="8"/>
            <color indexed="81"/>
            <rFont val="Tahoma"/>
            <family val="2"/>
          </rPr>
          <t>If you want the Bracket option types 
and Tube size matched for continuity, 
then please specify which lines you 
want to match in the 
Special Comments section.</t>
        </r>
      </text>
    </comment>
    <comment ref="Z7" authorId="0" shapeId="0" xr:uid="{00000000-0006-0000-0400-00000E000000}">
      <text>
        <r>
          <rPr>
            <sz val="8"/>
            <color indexed="81"/>
            <rFont val="Tahoma"/>
            <family val="2"/>
          </rPr>
          <t>Please use this section 
to specify 
any Special Requirements
for the Line/Order.</t>
        </r>
      </text>
    </comment>
    <comment ref="D8" authorId="0" shapeId="0" xr:uid="{00000000-0006-0000-0400-00000F000000}">
      <text>
        <r>
          <rPr>
            <sz val="8"/>
            <color indexed="81"/>
            <rFont val="Tahoma"/>
            <family val="2"/>
          </rPr>
          <t>Products options are;
London
Maui
Paris
Sunscreen</t>
        </r>
      </text>
    </comment>
    <comment ref="E8" authorId="0" shapeId="0" xr:uid="{00000000-0006-0000-0400-000010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8" authorId="0" shapeId="0" xr:uid="{00000000-0006-0000-0400-000011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8" authorId="0" shapeId="0" xr:uid="{00000000-0006-0000-0400-000012000000}">
      <text>
        <r>
          <rPr>
            <sz val="8"/>
            <color indexed="81"/>
            <rFont val="Tahoma"/>
            <family val="2"/>
          </rPr>
          <t xml:space="preserve">Minimum Height/Drop is 300mm.
Maximum Height/Drop is 3000mm. </t>
        </r>
      </text>
    </comment>
    <comment ref="H8" authorId="0" shapeId="0" xr:uid="{00000000-0006-0000-0400-000013000000}">
      <text>
        <r>
          <rPr>
            <sz val="8"/>
            <color indexed="81"/>
            <rFont val="Tahoma"/>
            <family val="2"/>
          </rPr>
          <t>When selecting a
Corner or Bay 
Window Type, 
the 
CMB Corner WS 
or 
CMB Bay WS 
must be completed.</t>
        </r>
      </text>
    </comment>
    <comment ref="J8" authorId="0" shapeId="0" xr:uid="{00000000-0006-0000-0400-000014000000}">
      <text>
        <r>
          <rPr>
            <sz val="8"/>
            <color indexed="81"/>
            <rFont val="Tahoma"/>
            <family val="2"/>
          </rPr>
          <t>ACT 
Actual Measurements
You have made the allowances.
NAM
No Allowances Made 
The factory will make the deductions.</t>
        </r>
      </text>
    </comment>
    <comment ref="M8" authorId="0" shapeId="0" xr:uid="{00000000-0006-0000-0400-000015000000}">
      <text>
        <r>
          <rPr>
            <sz val="8"/>
            <color indexed="81"/>
            <rFont val="Tahoma"/>
            <family val="2"/>
          </rPr>
          <t xml:space="preserve">
Bottom Rail Colour options;
Clear Anodised
Metallic Black
Mocha
White
White Birch</t>
        </r>
      </text>
    </comment>
    <comment ref="O8" authorId="0" shapeId="0" xr:uid="{00000000-0006-0000-0400-000016000000}">
      <text>
        <r>
          <rPr>
            <sz val="8"/>
            <color indexed="81"/>
            <rFont val="Tahoma"/>
            <family val="2"/>
          </rPr>
          <t>Control Options are;
Left
Right
When Bracket Type is Link Together, 
Left or Right can only be selected once per Linked Set.</t>
        </r>
      </text>
    </comment>
    <comment ref="Q8" authorId="0" shapeId="0" xr:uid="{00000000-0006-0000-0400-000017000000}">
      <text>
        <r>
          <rPr>
            <sz val="8"/>
            <color indexed="81"/>
            <rFont val="Tahoma"/>
            <family val="2"/>
          </rPr>
          <t>Chain Length options are; 
Default
500mm
750mm
1000mm
1250mm
1500mm
2000mm</t>
        </r>
      </text>
    </comment>
    <comment ref="R8" authorId="0" shapeId="0" xr:uid="{00000000-0006-0000-0400-000018000000}">
      <text>
        <r>
          <rPr>
            <sz val="8"/>
            <color indexed="81"/>
            <rFont val="Tahoma"/>
            <family val="2"/>
          </rPr>
          <t>Chain Colour options are; 
White
White Birch
Black
Nickel Plated Brass
Stainless Steel</t>
        </r>
      </text>
    </comment>
    <comment ref="S8" authorId="0" shapeId="0" xr:uid="{00000000-0006-0000-0400-000019000000}">
      <text>
        <r>
          <rPr>
            <sz val="8"/>
            <color indexed="81"/>
            <rFont val="Tahoma"/>
            <family val="2"/>
          </rPr>
          <t>When
 Standard or Common 
is selected the 
Pelmet Colour 
must be entered.</t>
        </r>
      </text>
    </comment>
    <comment ref="W8" authorId="0" shapeId="0" xr:uid="{00000000-0006-0000-0400-00001A000000}">
      <text>
        <r>
          <rPr>
            <sz val="8"/>
            <color indexed="81"/>
            <rFont val="Tahoma"/>
            <family val="2"/>
          </rPr>
          <t>Bracket Options include:
All other options;
Standard
Double
Link
Double Link</t>
        </r>
      </text>
    </comment>
    <comment ref="X8" authorId="0" shapeId="0" xr:uid="{00000000-0006-0000-0400-00001B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9" authorId="0" shapeId="0" xr:uid="{00000000-0006-0000-0400-00001C000000}">
      <text>
        <r>
          <rPr>
            <sz val="8"/>
            <color indexed="81"/>
            <rFont val="Tahoma"/>
            <family val="2"/>
          </rPr>
          <t>Products options are;
London
Maui
Paris
Sunscreen</t>
        </r>
      </text>
    </comment>
    <comment ref="E9" authorId="0" shapeId="0" xr:uid="{00000000-0006-0000-0400-00001D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9" authorId="0" shapeId="0" xr:uid="{00000000-0006-0000-0400-00001E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9" authorId="0" shapeId="0" xr:uid="{00000000-0006-0000-0400-00001F000000}">
      <text>
        <r>
          <rPr>
            <sz val="8"/>
            <color indexed="81"/>
            <rFont val="Tahoma"/>
            <family val="2"/>
          </rPr>
          <t xml:space="preserve">Minimum Height/Drop is 300mm.
Maximum Height/Drop is 3000mm. </t>
        </r>
      </text>
    </comment>
    <comment ref="H9" authorId="0" shapeId="0" xr:uid="{00000000-0006-0000-0400-000020000000}">
      <text>
        <r>
          <rPr>
            <sz val="8"/>
            <color indexed="81"/>
            <rFont val="Tahoma"/>
            <family val="2"/>
          </rPr>
          <t>When selecting a
Corner or Bay 
Window Type, 
the 
CMB Corner WS 
or 
CMB Bay WS 
must be completed.</t>
        </r>
      </text>
    </comment>
    <comment ref="J9" authorId="0" shapeId="0" xr:uid="{00000000-0006-0000-0400-000021000000}">
      <text>
        <r>
          <rPr>
            <sz val="8"/>
            <color indexed="81"/>
            <rFont val="Tahoma"/>
            <family val="2"/>
          </rPr>
          <t>ACT 
Actual Measurements
You have made the allowances.
NAM
No Allowances Made 
The factory will make the deductions.</t>
        </r>
      </text>
    </comment>
    <comment ref="M9" authorId="0" shapeId="0" xr:uid="{00000000-0006-0000-0400-000022000000}">
      <text>
        <r>
          <rPr>
            <sz val="8"/>
            <color indexed="81"/>
            <rFont val="Tahoma"/>
            <family val="2"/>
          </rPr>
          <t xml:space="preserve">
Bottom Rail Colour options;
Clear Anodised
Metallic Black
Mocha
White
White Birch</t>
        </r>
      </text>
    </comment>
    <comment ref="O9" authorId="0" shapeId="0" xr:uid="{00000000-0006-0000-0400-000023000000}">
      <text>
        <r>
          <rPr>
            <sz val="8"/>
            <color indexed="81"/>
            <rFont val="Tahoma"/>
            <family val="2"/>
          </rPr>
          <t>Control Options are;
Left
Right
When Bracket Type is Link Together, 
Left or Right can only be selected once per Linked Set.</t>
        </r>
      </text>
    </comment>
    <comment ref="Q9" authorId="0" shapeId="0" xr:uid="{00000000-0006-0000-0400-000024000000}">
      <text>
        <r>
          <rPr>
            <sz val="8"/>
            <color indexed="81"/>
            <rFont val="Tahoma"/>
            <family val="2"/>
          </rPr>
          <t>Chain Length options are; 
Default
500mm
750mm
1000mm
1250mm
1500mm
2000mm</t>
        </r>
      </text>
    </comment>
    <comment ref="R9" authorId="0" shapeId="0" xr:uid="{00000000-0006-0000-0400-000025000000}">
      <text>
        <r>
          <rPr>
            <sz val="8"/>
            <color indexed="81"/>
            <rFont val="Tahoma"/>
            <family val="2"/>
          </rPr>
          <t>Chain Colour options are; 
White
White Birch
Black
Nickel Plated Brass
Stainless Steel</t>
        </r>
      </text>
    </comment>
    <comment ref="S9" authorId="0" shapeId="0" xr:uid="{00000000-0006-0000-0400-000026000000}">
      <text>
        <r>
          <rPr>
            <sz val="8"/>
            <color indexed="81"/>
            <rFont val="Tahoma"/>
            <family val="2"/>
          </rPr>
          <t>When
 Standard or Common 
is selected the 
Pelmet Colour 
must be entered.</t>
        </r>
      </text>
    </comment>
    <comment ref="W9" authorId="0" shapeId="0" xr:uid="{00000000-0006-0000-0400-000027000000}">
      <text>
        <r>
          <rPr>
            <sz val="8"/>
            <color indexed="81"/>
            <rFont val="Tahoma"/>
            <family val="2"/>
          </rPr>
          <t>Bracket Options include:
All other options;
Standard
Double
Link
Double Link</t>
        </r>
      </text>
    </comment>
    <comment ref="X9" authorId="0" shapeId="0" xr:uid="{00000000-0006-0000-0400-000028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10" authorId="0" shapeId="0" xr:uid="{00000000-0006-0000-0400-000029000000}">
      <text>
        <r>
          <rPr>
            <sz val="8"/>
            <color indexed="81"/>
            <rFont val="Tahoma"/>
            <family val="2"/>
          </rPr>
          <t>Products options are;
London
Maui
Paris
Sunscreen</t>
        </r>
      </text>
    </comment>
    <comment ref="E10" authorId="0" shapeId="0" xr:uid="{00000000-0006-0000-0400-00002A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10" authorId="0" shapeId="0" xr:uid="{00000000-0006-0000-0400-00002B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0" authorId="0" shapeId="0" xr:uid="{00000000-0006-0000-0400-00002C000000}">
      <text>
        <r>
          <rPr>
            <sz val="8"/>
            <color indexed="81"/>
            <rFont val="Tahoma"/>
            <family val="2"/>
          </rPr>
          <t xml:space="preserve">Minimum Height/Drop is 300mm.
Maximum Height/Drop is 3000mm. </t>
        </r>
      </text>
    </comment>
    <comment ref="H10" authorId="0" shapeId="0" xr:uid="{00000000-0006-0000-0400-00002D000000}">
      <text>
        <r>
          <rPr>
            <sz val="8"/>
            <color indexed="81"/>
            <rFont val="Tahoma"/>
            <family val="2"/>
          </rPr>
          <t>When selecting a
Corner or Bay 
Window Type, 
the 
CMB Corner WS 
or 
CMB Bay WS 
must be completed.</t>
        </r>
      </text>
    </comment>
    <comment ref="J10" authorId="0" shapeId="0" xr:uid="{00000000-0006-0000-0400-00002E000000}">
      <text>
        <r>
          <rPr>
            <sz val="8"/>
            <color indexed="81"/>
            <rFont val="Tahoma"/>
            <family val="2"/>
          </rPr>
          <t>ACT 
Actual Measurements
You have made the allowances.
NAM
No Allowances Made 
The factory will make the deductions.</t>
        </r>
      </text>
    </comment>
    <comment ref="M10" authorId="0" shapeId="0" xr:uid="{00000000-0006-0000-0400-00002F000000}">
      <text>
        <r>
          <rPr>
            <sz val="8"/>
            <color indexed="81"/>
            <rFont val="Tahoma"/>
            <family val="2"/>
          </rPr>
          <t xml:space="preserve">
Bottom Rail Colour options;
Clear Anodised
Metallic Black
Mocha
White
White Birch</t>
        </r>
      </text>
    </comment>
    <comment ref="O10" authorId="0" shapeId="0" xr:uid="{00000000-0006-0000-0400-000030000000}">
      <text>
        <r>
          <rPr>
            <sz val="8"/>
            <color indexed="81"/>
            <rFont val="Tahoma"/>
            <family val="2"/>
          </rPr>
          <t>Control Options are;
Left
Right
When Bracket Type is Link Together, 
Left or Right can only be selected once per Linked Set.</t>
        </r>
      </text>
    </comment>
    <comment ref="Q10" authorId="0" shapeId="0" xr:uid="{00000000-0006-0000-0400-000031000000}">
      <text>
        <r>
          <rPr>
            <sz val="8"/>
            <color indexed="81"/>
            <rFont val="Tahoma"/>
            <family val="2"/>
          </rPr>
          <t>Chain Length options are; 
Default
500mm
750mm
1000mm
1250mm
1500mm
2000mm</t>
        </r>
      </text>
    </comment>
    <comment ref="R10" authorId="0" shapeId="0" xr:uid="{00000000-0006-0000-0400-000032000000}">
      <text>
        <r>
          <rPr>
            <sz val="8"/>
            <color indexed="81"/>
            <rFont val="Tahoma"/>
            <family val="2"/>
          </rPr>
          <t>Chain Colour options are; 
White
White Birch
Black
Nickel Plated Brass
Stainless Steel</t>
        </r>
      </text>
    </comment>
    <comment ref="S10" authorId="0" shapeId="0" xr:uid="{00000000-0006-0000-0400-000033000000}">
      <text>
        <r>
          <rPr>
            <sz val="8"/>
            <color indexed="81"/>
            <rFont val="Tahoma"/>
            <family val="2"/>
          </rPr>
          <t>When
 Standard or Common 
is selected the 
Pelmet Colour 
must be entered.</t>
        </r>
      </text>
    </comment>
    <comment ref="W10" authorId="0" shapeId="0" xr:uid="{00000000-0006-0000-0400-000034000000}">
      <text>
        <r>
          <rPr>
            <sz val="8"/>
            <color indexed="81"/>
            <rFont val="Tahoma"/>
            <family val="2"/>
          </rPr>
          <t>Bracket Options include:
All other options;
Standard
Double
Link
Double Link</t>
        </r>
      </text>
    </comment>
    <comment ref="X10" authorId="0" shapeId="0" xr:uid="{00000000-0006-0000-0400-000035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11" authorId="0" shapeId="0" xr:uid="{00000000-0006-0000-0400-000036000000}">
      <text>
        <r>
          <rPr>
            <sz val="8"/>
            <color indexed="81"/>
            <rFont val="Tahoma"/>
            <family val="2"/>
          </rPr>
          <t>Products options are;
London
Maui
Paris
Sunscreen</t>
        </r>
      </text>
    </comment>
    <comment ref="E11" authorId="0" shapeId="0" xr:uid="{00000000-0006-0000-0400-000037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11" authorId="0" shapeId="0" xr:uid="{00000000-0006-0000-0400-000038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1" authorId="0" shapeId="0" xr:uid="{00000000-0006-0000-0400-000039000000}">
      <text>
        <r>
          <rPr>
            <sz val="8"/>
            <color indexed="81"/>
            <rFont val="Tahoma"/>
            <family val="2"/>
          </rPr>
          <t xml:space="preserve">Minimum Height/Drop is 300mm.
Maximum Height/Drop is 3000mm. </t>
        </r>
      </text>
    </comment>
    <comment ref="H11" authorId="0" shapeId="0" xr:uid="{00000000-0006-0000-0400-00003A000000}">
      <text>
        <r>
          <rPr>
            <sz val="8"/>
            <color indexed="81"/>
            <rFont val="Tahoma"/>
            <family val="2"/>
          </rPr>
          <t>When selecting a
Corner or Bay 
Window Type, 
the 
CMB Corner WS 
or 
CMB Bay WS 
must be completed.</t>
        </r>
      </text>
    </comment>
    <comment ref="J11" authorId="0" shapeId="0" xr:uid="{00000000-0006-0000-0400-00003B000000}">
      <text>
        <r>
          <rPr>
            <sz val="8"/>
            <color indexed="81"/>
            <rFont val="Tahoma"/>
            <family val="2"/>
          </rPr>
          <t>ACT 
Actual Measurements
You have made the allowances.
NAM
No Allowances Made 
The factory will make the deductions.</t>
        </r>
      </text>
    </comment>
    <comment ref="M11" authorId="0" shapeId="0" xr:uid="{00000000-0006-0000-0400-00003C000000}">
      <text>
        <r>
          <rPr>
            <sz val="8"/>
            <color indexed="81"/>
            <rFont val="Tahoma"/>
            <family val="2"/>
          </rPr>
          <t xml:space="preserve">
Bottom Rail Colour options;
Clear Anodised
Metallic Black
Mocha
White
White Birch</t>
        </r>
      </text>
    </comment>
    <comment ref="O11" authorId="0" shapeId="0" xr:uid="{00000000-0006-0000-0400-00003D000000}">
      <text>
        <r>
          <rPr>
            <sz val="8"/>
            <color indexed="81"/>
            <rFont val="Tahoma"/>
            <family val="2"/>
          </rPr>
          <t>Control Options are;
Left
Right
When Bracket Type is Link Together, 
Left or Right can only be selected once per Linked Set.</t>
        </r>
      </text>
    </comment>
    <comment ref="Q11" authorId="0" shapeId="0" xr:uid="{00000000-0006-0000-0400-00003E000000}">
      <text>
        <r>
          <rPr>
            <sz val="8"/>
            <color indexed="81"/>
            <rFont val="Tahoma"/>
            <family val="2"/>
          </rPr>
          <t>Chain Length options are; 
Default
500mm
750mm
1000mm
1250mm
1500mm
2000mm</t>
        </r>
      </text>
    </comment>
    <comment ref="R11" authorId="0" shapeId="0" xr:uid="{00000000-0006-0000-0400-00003F000000}">
      <text>
        <r>
          <rPr>
            <sz val="8"/>
            <color indexed="81"/>
            <rFont val="Tahoma"/>
            <family val="2"/>
          </rPr>
          <t>Chain Colour options are; 
White
White Birch
Black
Nickel Plated Brass
Stainless Steel</t>
        </r>
      </text>
    </comment>
    <comment ref="S11" authorId="0" shapeId="0" xr:uid="{00000000-0006-0000-0400-000040000000}">
      <text>
        <r>
          <rPr>
            <sz val="8"/>
            <color indexed="81"/>
            <rFont val="Tahoma"/>
            <family val="2"/>
          </rPr>
          <t>When
 Standard or Common 
is selected the 
Pelmet Colour 
must be entered.</t>
        </r>
      </text>
    </comment>
    <comment ref="W11" authorId="0" shapeId="0" xr:uid="{00000000-0006-0000-0400-000041000000}">
      <text>
        <r>
          <rPr>
            <sz val="8"/>
            <color indexed="81"/>
            <rFont val="Tahoma"/>
            <family val="2"/>
          </rPr>
          <t>Bracket Options include:
All other options;
Standard
Double
Link
Double Link</t>
        </r>
      </text>
    </comment>
    <comment ref="X11" authorId="0" shapeId="0" xr:uid="{00000000-0006-0000-0400-000042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12" authorId="0" shapeId="0" xr:uid="{00000000-0006-0000-0400-000043000000}">
      <text>
        <r>
          <rPr>
            <sz val="8"/>
            <color indexed="81"/>
            <rFont val="Tahoma"/>
            <family val="2"/>
          </rPr>
          <t>Products options are;
London
Maui
Paris
Sunscreen</t>
        </r>
      </text>
    </comment>
    <comment ref="E12" authorId="0" shapeId="0" xr:uid="{00000000-0006-0000-0400-000044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12" authorId="0" shapeId="0" xr:uid="{00000000-0006-0000-0400-000045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2" authorId="0" shapeId="0" xr:uid="{00000000-0006-0000-0400-000046000000}">
      <text>
        <r>
          <rPr>
            <sz val="8"/>
            <color indexed="81"/>
            <rFont val="Tahoma"/>
            <family val="2"/>
          </rPr>
          <t xml:space="preserve">Minimum Height/Drop is 300mm.
Maximum Height/Drop is 3000mm. </t>
        </r>
      </text>
    </comment>
    <comment ref="H12" authorId="0" shapeId="0" xr:uid="{00000000-0006-0000-0400-000047000000}">
      <text>
        <r>
          <rPr>
            <sz val="8"/>
            <color indexed="81"/>
            <rFont val="Tahoma"/>
            <family val="2"/>
          </rPr>
          <t>When selecting a
Corner or Bay 
Window Type, 
the 
CMB Corner WS 
or 
CMB Bay WS 
must be completed.</t>
        </r>
      </text>
    </comment>
    <comment ref="J12" authorId="0" shapeId="0" xr:uid="{00000000-0006-0000-0400-000048000000}">
      <text>
        <r>
          <rPr>
            <sz val="8"/>
            <color indexed="81"/>
            <rFont val="Tahoma"/>
            <family val="2"/>
          </rPr>
          <t>ACT 
Actual Measurements
You have made the allowances.
NAM
No Allowances Made 
The factory will make the deductions.</t>
        </r>
      </text>
    </comment>
    <comment ref="M12" authorId="0" shapeId="0" xr:uid="{00000000-0006-0000-0400-000049000000}">
      <text>
        <r>
          <rPr>
            <sz val="8"/>
            <color indexed="81"/>
            <rFont val="Tahoma"/>
            <family val="2"/>
          </rPr>
          <t xml:space="preserve">
Bottom Rail Colour options;
Clear Anodised
Metallic Black
Mocha
White
White Birch</t>
        </r>
      </text>
    </comment>
    <comment ref="O12" authorId="0" shapeId="0" xr:uid="{00000000-0006-0000-0400-00004A000000}">
      <text>
        <r>
          <rPr>
            <sz val="8"/>
            <color indexed="81"/>
            <rFont val="Tahoma"/>
            <family val="2"/>
          </rPr>
          <t>Control Options are;
Left
Right
When Bracket Type is Link Together, 
Left or Right can only be selected once per Linked Set.</t>
        </r>
      </text>
    </comment>
    <comment ref="Q12" authorId="0" shapeId="0" xr:uid="{00000000-0006-0000-0400-00004B000000}">
      <text>
        <r>
          <rPr>
            <sz val="8"/>
            <color indexed="81"/>
            <rFont val="Tahoma"/>
            <family val="2"/>
          </rPr>
          <t>Chain Length options are; 
Default
500mm
750mm
1000mm
1250mm
1500mm
2000mm</t>
        </r>
      </text>
    </comment>
    <comment ref="R12" authorId="0" shapeId="0" xr:uid="{00000000-0006-0000-0400-00004C000000}">
      <text>
        <r>
          <rPr>
            <sz val="8"/>
            <color indexed="81"/>
            <rFont val="Tahoma"/>
            <family val="2"/>
          </rPr>
          <t>Chain Colour options are; 
White
White Birch
Black
Nickel Plated Brass
Stainless Steel</t>
        </r>
      </text>
    </comment>
    <comment ref="S12" authorId="0" shapeId="0" xr:uid="{00000000-0006-0000-0400-00004D000000}">
      <text>
        <r>
          <rPr>
            <sz val="8"/>
            <color indexed="81"/>
            <rFont val="Tahoma"/>
            <family val="2"/>
          </rPr>
          <t>When
 Standard or Common 
is selected the 
Pelmet Colour 
must be entered.</t>
        </r>
      </text>
    </comment>
    <comment ref="W12" authorId="0" shapeId="0" xr:uid="{00000000-0006-0000-0400-00004E000000}">
      <text>
        <r>
          <rPr>
            <sz val="8"/>
            <color indexed="81"/>
            <rFont val="Tahoma"/>
            <family val="2"/>
          </rPr>
          <t>Bracket Options include:
All other options;
Standard
Double
Link
Double Link</t>
        </r>
      </text>
    </comment>
    <comment ref="X12" authorId="0" shapeId="0" xr:uid="{00000000-0006-0000-0400-00004F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13" authorId="0" shapeId="0" xr:uid="{00000000-0006-0000-0400-000050000000}">
      <text>
        <r>
          <rPr>
            <sz val="8"/>
            <color indexed="81"/>
            <rFont val="Tahoma"/>
            <family val="2"/>
          </rPr>
          <t>Products options are;
London
Maui
Paris
Sunscreen</t>
        </r>
      </text>
    </comment>
    <comment ref="E13" authorId="0" shapeId="0" xr:uid="{00000000-0006-0000-0400-000051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13" authorId="0" shapeId="0" xr:uid="{00000000-0006-0000-0400-000052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3" authorId="0" shapeId="0" xr:uid="{00000000-0006-0000-0400-000053000000}">
      <text>
        <r>
          <rPr>
            <sz val="8"/>
            <color indexed="81"/>
            <rFont val="Tahoma"/>
            <family val="2"/>
          </rPr>
          <t xml:space="preserve">Minimum Height/Drop is 300mm.
Maximum Height/Drop is 3000mm. </t>
        </r>
      </text>
    </comment>
    <comment ref="H13" authorId="0" shapeId="0" xr:uid="{00000000-0006-0000-0400-000054000000}">
      <text>
        <r>
          <rPr>
            <sz val="8"/>
            <color indexed="81"/>
            <rFont val="Tahoma"/>
            <family val="2"/>
          </rPr>
          <t>When selecting a
Corner or Bay 
Window Type, 
the 
CMB Corner WS 
or 
CMB Bay WS 
must be completed.</t>
        </r>
      </text>
    </comment>
    <comment ref="J13" authorId="0" shapeId="0" xr:uid="{00000000-0006-0000-0400-000055000000}">
      <text>
        <r>
          <rPr>
            <sz val="8"/>
            <color indexed="81"/>
            <rFont val="Tahoma"/>
            <family val="2"/>
          </rPr>
          <t>ACT 
Actual Measurements
You have made the allowances.
NAM
No Allowances Made 
The factory will make the deductions.</t>
        </r>
      </text>
    </comment>
    <comment ref="M13" authorId="0" shapeId="0" xr:uid="{00000000-0006-0000-0400-000056000000}">
      <text>
        <r>
          <rPr>
            <sz val="8"/>
            <color indexed="81"/>
            <rFont val="Tahoma"/>
            <family val="2"/>
          </rPr>
          <t xml:space="preserve">
Bottom Rail Colour options;
Clear Anodised
Metallic Black
Mocha
White
White Birch</t>
        </r>
      </text>
    </comment>
    <comment ref="O13" authorId="0" shapeId="0" xr:uid="{00000000-0006-0000-0400-000057000000}">
      <text>
        <r>
          <rPr>
            <sz val="8"/>
            <color indexed="81"/>
            <rFont val="Tahoma"/>
            <family val="2"/>
          </rPr>
          <t>Control Options are;
Left
Right
When Bracket Type is Link Together, 
Left or Right can only be selected once per Linked Set.</t>
        </r>
      </text>
    </comment>
    <comment ref="Q13" authorId="0" shapeId="0" xr:uid="{00000000-0006-0000-0400-000058000000}">
      <text>
        <r>
          <rPr>
            <sz val="8"/>
            <color indexed="81"/>
            <rFont val="Tahoma"/>
            <family val="2"/>
          </rPr>
          <t>Chain Length options are; 
Default
500mm
750mm
1000mm
1250mm
1500mm
2000mm</t>
        </r>
      </text>
    </comment>
    <comment ref="R13" authorId="0" shapeId="0" xr:uid="{00000000-0006-0000-0400-000059000000}">
      <text>
        <r>
          <rPr>
            <sz val="8"/>
            <color indexed="81"/>
            <rFont val="Tahoma"/>
            <family val="2"/>
          </rPr>
          <t>Chain Colour options are; 
White
White Birch
Black
Nickel Plated Brass
Stainless Steel</t>
        </r>
      </text>
    </comment>
    <comment ref="S13" authorId="0" shapeId="0" xr:uid="{00000000-0006-0000-0400-00005A000000}">
      <text>
        <r>
          <rPr>
            <sz val="8"/>
            <color indexed="81"/>
            <rFont val="Tahoma"/>
            <family val="2"/>
          </rPr>
          <t>When
 Standard or Common 
is selected the 
Pelmet Colour 
must be entered.</t>
        </r>
      </text>
    </comment>
    <comment ref="W13" authorId="0" shapeId="0" xr:uid="{00000000-0006-0000-0400-00005B000000}">
      <text>
        <r>
          <rPr>
            <sz val="8"/>
            <color indexed="81"/>
            <rFont val="Tahoma"/>
            <family val="2"/>
          </rPr>
          <t>Bracket Options include:
All other options;
Standard
Double
Link
Double Link</t>
        </r>
      </text>
    </comment>
    <comment ref="X13" authorId="0" shapeId="0" xr:uid="{00000000-0006-0000-0400-00005C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14" authorId="0" shapeId="0" xr:uid="{00000000-0006-0000-0400-00005D000000}">
      <text>
        <r>
          <rPr>
            <sz val="8"/>
            <color indexed="81"/>
            <rFont val="Tahoma"/>
            <family val="2"/>
          </rPr>
          <t>Products options are;
London
Maui
Paris
Sunscreen</t>
        </r>
      </text>
    </comment>
    <comment ref="E14" authorId="0" shapeId="0" xr:uid="{00000000-0006-0000-0400-00005E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14" authorId="0" shapeId="0" xr:uid="{00000000-0006-0000-0400-00005F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4" authorId="0" shapeId="0" xr:uid="{00000000-0006-0000-0400-000060000000}">
      <text>
        <r>
          <rPr>
            <sz val="8"/>
            <color indexed="81"/>
            <rFont val="Tahoma"/>
            <family val="2"/>
          </rPr>
          <t xml:space="preserve">Minimum Height/Drop is 300mm.
Maximum Height/Drop is 3000mm. </t>
        </r>
      </text>
    </comment>
    <comment ref="H14" authorId="0" shapeId="0" xr:uid="{00000000-0006-0000-0400-000061000000}">
      <text>
        <r>
          <rPr>
            <sz val="8"/>
            <color indexed="81"/>
            <rFont val="Tahoma"/>
            <family val="2"/>
          </rPr>
          <t>When selecting a
Corner or Bay 
Window Type, 
the 
CMB Corner WS 
or 
CMB Bay WS 
must be completed.</t>
        </r>
      </text>
    </comment>
    <comment ref="J14" authorId="0" shapeId="0" xr:uid="{00000000-0006-0000-0400-000062000000}">
      <text>
        <r>
          <rPr>
            <sz val="8"/>
            <color indexed="81"/>
            <rFont val="Tahoma"/>
            <family val="2"/>
          </rPr>
          <t>ACT 
Actual Measurements
You have made the allowances.
NAM
No Allowances Made 
The factory will make the deductions.</t>
        </r>
      </text>
    </comment>
    <comment ref="M14" authorId="0" shapeId="0" xr:uid="{00000000-0006-0000-0400-000063000000}">
      <text>
        <r>
          <rPr>
            <sz val="8"/>
            <color indexed="81"/>
            <rFont val="Tahoma"/>
            <family val="2"/>
          </rPr>
          <t xml:space="preserve">
Bottom Rail Colour options;
Clear Anodised
Metallic Black
Mocha
White
White Birch</t>
        </r>
      </text>
    </comment>
    <comment ref="O14" authorId="0" shapeId="0" xr:uid="{00000000-0006-0000-0400-000064000000}">
      <text>
        <r>
          <rPr>
            <sz val="8"/>
            <color indexed="81"/>
            <rFont val="Tahoma"/>
            <family val="2"/>
          </rPr>
          <t>Control Options are;
Left
Right
When Bracket Type is Link Together, 
Left or Right can only be selected once per Linked Set.</t>
        </r>
      </text>
    </comment>
    <comment ref="Q14" authorId="0" shapeId="0" xr:uid="{00000000-0006-0000-0400-000065000000}">
      <text>
        <r>
          <rPr>
            <sz val="8"/>
            <color indexed="81"/>
            <rFont val="Tahoma"/>
            <family val="2"/>
          </rPr>
          <t>Chain Length options are; 
Default
500mm
750mm
1000mm
1250mm
1500mm
2000mm</t>
        </r>
      </text>
    </comment>
    <comment ref="R14" authorId="0" shapeId="0" xr:uid="{00000000-0006-0000-0400-000066000000}">
      <text>
        <r>
          <rPr>
            <sz val="8"/>
            <color indexed="81"/>
            <rFont val="Tahoma"/>
            <family val="2"/>
          </rPr>
          <t>Chain Colour options are; 
White
White Birch
Black
Nickel Plated Brass
Stainless Steel</t>
        </r>
      </text>
    </comment>
    <comment ref="S14" authorId="0" shapeId="0" xr:uid="{00000000-0006-0000-0400-000067000000}">
      <text>
        <r>
          <rPr>
            <sz val="8"/>
            <color indexed="81"/>
            <rFont val="Tahoma"/>
            <family val="2"/>
          </rPr>
          <t>When
 Standard or Common 
is selected the 
Pelmet Colour 
must be entered.</t>
        </r>
      </text>
    </comment>
    <comment ref="W14" authorId="0" shapeId="0" xr:uid="{00000000-0006-0000-0400-000068000000}">
      <text>
        <r>
          <rPr>
            <sz val="8"/>
            <color indexed="81"/>
            <rFont val="Tahoma"/>
            <family val="2"/>
          </rPr>
          <t>Bracket Options include:
All other options;
Standard
Double
Link
Double Link</t>
        </r>
      </text>
    </comment>
    <comment ref="X14" authorId="0" shapeId="0" xr:uid="{00000000-0006-0000-0400-000069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15" authorId="0" shapeId="0" xr:uid="{00000000-0006-0000-0400-00006A000000}">
      <text>
        <r>
          <rPr>
            <sz val="8"/>
            <color indexed="81"/>
            <rFont val="Tahoma"/>
            <family val="2"/>
          </rPr>
          <t>Products options are;
London
Maui
Paris
Sunscreen</t>
        </r>
      </text>
    </comment>
    <comment ref="E15" authorId="0" shapeId="0" xr:uid="{00000000-0006-0000-0400-00006B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15" authorId="0" shapeId="0" xr:uid="{00000000-0006-0000-0400-00006C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5" authorId="0" shapeId="0" xr:uid="{00000000-0006-0000-0400-00006D000000}">
      <text>
        <r>
          <rPr>
            <sz val="8"/>
            <color indexed="81"/>
            <rFont val="Tahoma"/>
            <family val="2"/>
          </rPr>
          <t xml:space="preserve">Minimum Height/Drop is 300mm.
Maximum Height/Drop is 3000mm. </t>
        </r>
      </text>
    </comment>
    <comment ref="H15" authorId="0" shapeId="0" xr:uid="{00000000-0006-0000-0400-00006E000000}">
      <text>
        <r>
          <rPr>
            <sz val="8"/>
            <color indexed="81"/>
            <rFont val="Tahoma"/>
            <family val="2"/>
          </rPr>
          <t>When selecting a
Corner or Bay 
Window Type, 
the 
CMB Corner WS 
or 
CMB Bay WS 
must be completed.</t>
        </r>
      </text>
    </comment>
    <comment ref="J15" authorId="0" shapeId="0" xr:uid="{00000000-0006-0000-0400-00006F000000}">
      <text>
        <r>
          <rPr>
            <sz val="8"/>
            <color indexed="81"/>
            <rFont val="Tahoma"/>
            <family val="2"/>
          </rPr>
          <t>ACT 
Actual Measurements
You have made the allowances.
NAM
No Allowances Made 
The factory will make the deductions.</t>
        </r>
      </text>
    </comment>
    <comment ref="M15" authorId="0" shapeId="0" xr:uid="{00000000-0006-0000-0400-000070000000}">
      <text>
        <r>
          <rPr>
            <sz val="8"/>
            <color indexed="81"/>
            <rFont val="Tahoma"/>
            <family val="2"/>
          </rPr>
          <t xml:space="preserve">
Bottom Rail Colour options;
Clear Anodised
Metallic Black
Mocha
White
White Birch</t>
        </r>
      </text>
    </comment>
    <comment ref="O15" authorId="0" shapeId="0" xr:uid="{00000000-0006-0000-0400-000071000000}">
      <text>
        <r>
          <rPr>
            <sz val="8"/>
            <color indexed="81"/>
            <rFont val="Tahoma"/>
            <family val="2"/>
          </rPr>
          <t>Control Options are;
Left
Right
When Bracket Type is Link Together, 
Left or Right can only be selected once per Linked Set.</t>
        </r>
      </text>
    </comment>
    <comment ref="Q15" authorId="0" shapeId="0" xr:uid="{00000000-0006-0000-0400-000072000000}">
      <text>
        <r>
          <rPr>
            <sz val="8"/>
            <color indexed="81"/>
            <rFont val="Tahoma"/>
            <family val="2"/>
          </rPr>
          <t>Chain Length options are; 
Default
500mm
750mm
1000mm
1250mm
1500mm
2000mm</t>
        </r>
      </text>
    </comment>
    <comment ref="R15" authorId="0" shapeId="0" xr:uid="{00000000-0006-0000-0400-000073000000}">
      <text>
        <r>
          <rPr>
            <sz val="8"/>
            <color indexed="81"/>
            <rFont val="Tahoma"/>
            <family val="2"/>
          </rPr>
          <t>Chain Colour options are; 
White
White Birch
Black
Nickel Plated Brass
Stainless Steel</t>
        </r>
      </text>
    </comment>
    <comment ref="S15" authorId="0" shapeId="0" xr:uid="{00000000-0006-0000-0400-000074000000}">
      <text>
        <r>
          <rPr>
            <sz val="8"/>
            <color indexed="81"/>
            <rFont val="Tahoma"/>
            <family val="2"/>
          </rPr>
          <t>When
 Standard or Common 
is selected the 
Pelmet Colour 
must be entered.</t>
        </r>
      </text>
    </comment>
    <comment ref="W15" authorId="0" shapeId="0" xr:uid="{00000000-0006-0000-0400-000075000000}">
      <text>
        <r>
          <rPr>
            <sz val="8"/>
            <color indexed="81"/>
            <rFont val="Tahoma"/>
            <family val="2"/>
          </rPr>
          <t>Bracket Options include:
All other options;
Standard
Double
Link
Double Link</t>
        </r>
      </text>
    </comment>
    <comment ref="X15" authorId="0" shapeId="0" xr:uid="{00000000-0006-0000-0400-000076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16" authorId="0" shapeId="0" xr:uid="{00000000-0006-0000-0400-000077000000}">
      <text>
        <r>
          <rPr>
            <sz val="8"/>
            <color indexed="81"/>
            <rFont val="Tahoma"/>
            <family val="2"/>
          </rPr>
          <t>Products options are;
London
Maui
Paris
Sunscreen</t>
        </r>
      </text>
    </comment>
    <comment ref="E16" authorId="0" shapeId="0" xr:uid="{00000000-0006-0000-0400-000078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16" authorId="0" shapeId="0" xr:uid="{00000000-0006-0000-0400-000079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6" authorId="0" shapeId="0" xr:uid="{00000000-0006-0000-0400-00007A000000}">
      <text>
        <r>
          <rPr>
            <sz val="8"/>
            <color indexed="81"/>
            <rFont val="Tahoma"/>
            <family val="2"/>
          </rPr>
          <t xml:space="preserve">Minimum Height/Drop is 300mm.
Maximum Height/Drop is 3000mm. </t>
        </r>
      </text>
    </comment>
    <comment ref="H16" authorId="0" shapeId="0" xr:uid="{00000000-0006-0000-0400-00007B000000}">
      <text>
        <r>
          <rPr>
            <sz val="8"/>
            <color indexed="81"/>
            <rFont val="Tahoma"/>
            <family val="2"/>
          </rPr>
          <t>When selecting a
Corner or Bay 
Window Type, 
the 
CMB Corner WS 
or 
CMB Bay WS 
must be completed.</t>
        </r>
      </text>
    </comment>
    <comment ref="J16" authorId="0" shapeId="0" xr:uid="{00000000-0006-0000-0400-00007C000000}">
      <text>
        <r>
          <rPr>
            <sz val="8"/>
            <color indexed="81"/>
            <rFont val="Tahoma"/>
            <family val="2"/>
          </rPr>
          <t>ACT 
Actual Measurements
You have made the allowances.
NAM
No Allowances Made 
The factory will make the deductions.</t>
        </r>
      </text>
    </comment>
    <comment ref="M16" authorId="0" shapeId="0" xr:uid="{00000000-0006-0000-0400-00007D000000}">
      <text>
        <r>
          <rPr>
            <sz val="8"/>
            <color indexed="81"/>
            <rFont val="Tahoma"/>
            <family val="2"/>
          </rPr>
          <t xml:space="preserve">
Bottom Rail Colour options;
Clear Anodised
Metallic Black
Mocha
White
White Birch</t>
        </r>
      </text>
    </comment>
    <comment ref="O16" authorId="0" shapeId="0" xr:uid="{00000000-0006-0000-0400-00007E000000}">
      <text>
        <r>
          <rPr>
            <sz val="8"/>
            <color indexed="81"/>
            <rFont val="Tahoma"/>
            <family val="2"/>
          </rPr>
          <t>Control Options are;
Left
Right
When Bracket Type is Link Together, 
Left or Right can only be selected once per Linked Set.</t>
        </r>
      </text>
    </comment>
    <comment ref="Q16" authorId="0" shapeId="0" xr:uid="{00000000-0006-0000-0400-00007F000000}">
      <text>
        <r>
          <rPr>
            <sz val="8"/>
            <color indexed="81"/>
            <rFont val="Tahoma"/>
            <family val="2"/>
          </rPr>
          <t>Chain Length options are; 
Default
500mm
750mm
1000mm
1250mm
1500mm
2000mm</t>
        </r>
      </text>
    </comment>
    <comment ref="R16" authorId="0" shapeId="0" xr:uid="{00000000-0006-0000-0400-000080000000}">
      <text>
        <r>
          <rPr>
            <sz val="8"/>
            <color indexed="81"/>
            <rFont val="Tahoma"/>
            <family val="2"/>
          </rPr>
          <t>Chain Colour options are; 
White
White Birch
Black
Nickel Plated Brass
Stainless Steel</t>
        </r>
      </text>
    </comment>
    <comment ref="S16" authorId="0" shapeId="0" xr:uid="{00000000-0006-0000-0400-000081000000}">
      <text>
        <r>
          <rPr>
            <sz val="8"/>
            <color indexed="81"/>
            <rFont val="Tahoma"/>
            <family val="2"/>
          </rPr>
          <t>When
 Standard or Common 
is selected the 
Pelmet Colour 
must be entered.</t>
        </r>
      </text>
    </comment>
    <comment ref="W16" authorId="0" shapeId="0" xr:uid="{00000000-0006-0000-0400-000082000000}">
      <text>
        <r>
          <rPr>
            <sz val="8"/>
            <color indexed="81"/>
            <rFont val="Tahoma"/>
            <family val="2"/>
          </rPr>
          <t>Bracket Options include:
All other options;
Standard
Double
Link
Double Link</t>
        </r>
      </text>
    </comment>
    <comment ref="X16" authorId="0" shapeId="0" xr:uid="{00000000-0006-0000-0400-000083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17" authorId="0" shapeId="0" xr:uid="{00000000-0006-0000-0400-000084000000}">
      <text>
        <r>
          <rPr>
            <sz val="8"/>
            <color indexed="81"/>
            <rFont val="Tahoma"/>
            <family val="2"/>
          </rPr>
          <t>Products options are;
London
Maui
Paris
Sunscreen</t>
        </r>
      </text>
    </comment>
    <comment ref="E17" authorId="0" shapeId="0" xr:uid="{00000000-0006-0000-0400-000085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17" authorId="0" shapeId="0" xr:uid="{00000000-0006-0000-0400-000086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7" authorId="0" shapeId="0" xr:uid="{00000000-0006-0000-0400-000087000000}">
      <text>
        <r>
          <rPr>
            <sz val="8"/>
            <color indexed="81"/>
            <rFont val="Tahoma"/>
            <family val="2"/>
          </rPr>
          <t xml:space="preserve">Minimum Height/Drop is 300mm.
Maximum Height/Drop is 3000mm. </t>
        </r>
      </text>
    </comment>
    <comment ref="H17" authorId="0" shapeId="0" xr:uid="{00000000-0006-0000-0400-000088000000}">
      <text>
        <r>
          <rPr>
            <sz val="8"/>
            <color indexed="81"/>
            <rFont val="Tahoma"/>
            <family val="2"/>
          </rPr>
          <t>When selecting a
Corner or Bay 
Window Type, 
the 
CMB Corner WS 
or 
CMB Bay WS 
must be completed.</t>
        </r>
      </text>
    </comment>
    <comment ref="J17" authorId="0" shapeId="0" xr:uid="{00000000-0006-0000-0400-000089000000}">
      <text>
        <r>
          <rPr>
            <sz val="8"/>
            <color indexed="81"/>
            <rFont val="Tahoma"/>
            <family val="2"/>
          </rPr>
          <t>ACT 
Actual Measurements
You have made the allowances.
NAM
No Allowances Made 
The factory will make the deductions.</t>
        </r>
      </text>
    </comment>
    <comment ref="M17" authorId="0" shapeId="0" xr:uid="{00000000-0006-0000-0400-00008A000000}">
      <text>
        <r>
          <rPr>
            <sz val="8"/>
            <color indexed="81"/>
            <rFont val="Tahoma"/>
            <family val="2"/>
          </rPr>
          <t xml:space="preserve">
Bottom Rail Colour options;
Clear Anodised
Metallic Black
Mocha
White
White Birch</t>
        </r>
      </text>
    </comment>
    <comment ref="O17" authorId="0" shapeId="0" xr:uid="{00000000-0006-0000-0400-00008B000000}">
      <text>
        <r>
          <rPr>
            <sz val="8"/>
            <color indexed="81"/>
            <rFont val="Tahoma"/>
            <family val="2"/>
          </rPr>
          <t>Control Options are;
Left
Right
When Bracket Type is Link Together, 
Left or Right can only be selected once per Linked Set.</t>
        </r>
      </text>
    </comment>
    <comment ref="Q17" authorId="0" shapeId="0" xr:uid="{00000000-0006-0000-0400-00008C000000}">
      <text>
        <r>
          <rPr>
            <sz val="8"/>
            <color indexed="81"/>
            <rFont val="Tahoma"/>
            <family val="2"/>
          </rPr>
          <t>Chain Length options are; 
Default
500mm
750mm
1000mm
1250mm
1500mm
2000mm</t>
        </r>
      </text>
    </comment>
    <comment ref="R17" authorId="0" shapeId="0" xr:uid="{00000000-0006-0000-0400-00008D000000}">
      <text>
        <r>
          <rPr>
            <sz val="8"/>
            <color indexed="81"/>
            <rFont val="Tahoma"/>
            <family val="2"/>
          </rPr>
          <t>Chain Colour options are; 
White
White Birch
Black
Nickel Plated Brass
Stainless Steel</t>
        </r>
      </text>
    </comment>
    <comment ref="S17" authorId="0" shapeId="0" xr:uid="{00000000-0006-0000-0400-00008E000000}">
      <text>
        <r>
          <rPr>
            <sz val="8"/>
            <color indexed="81"/>
            <rFont val="Tahoma"/>
            <family val="2"/>
          </rPr>
          <t>When
 Standard or Common 
is selected the 
Pelmet Colour 
must be entered.</t>
        </r>
      </text>
    </comment>
    <comment ref="W17" authorId="0" shapeId="0" xr:uid="{00000000-0006-0000-0400-00008F000000}">
      <text>
        <r>
          <rPr>
            <sz val="8"/>
            <color indexed="81"/>
            <rFont val="Tahoma"/>
            <family val="2"/>
          </rPr>
          <t>Bracket Options include:
All other options;
Standard
Double
Link
Double Link</t>
        </r>
      </text>
    </comment>
    <comment ref="X17" authorId="0" shapeId="0" xr:uid="{00000000-0006-0000-0400-000090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18" authorId="0" shapeId="0" xr:uid="{00000000-0006-0000-0400-000091000000}">
      <text>
        <r>
          <rPr>
            <sz val="8"/>
            <color indexed="81"/>
            <rFont val="Tahoma"/>
            <family val="2"/>
          </rPr>
          <t>Products options are;
London
Maui
Paris
Sunscreen</t>
        </r>
      </text>
    </comment>
    <comment ref="E18" authorId="0" shapeId="0" xr:uid="{00000000-0006-0000-0400-000092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18" authorId="0" shapeId="0" xr:uid="{00000000-0006-0000-0400-000093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8" authorId="0" shapeId="0" xr:uid="{00000000-0006-0000-0400-000094000000}">
      <text>
        <r>
          <rPr>
            <sz val="8"/>
            <color indexed="81"/>
            <rFont val="Tahoma"/>
            <family val="2"/>
          </rPr>
          <t xml:space="preserve">Minimum Height/Drop is 300mm.
Maximum Height/Drop is 3000mm. </t>
        </r>
      </text>
    </comment>
    <comment ref="H18" authorId="0" shapeId="0" xr:uid="{00000000-0006-0000-0400-000095000000}">
      <text>
        <r>
          <rPr>
            <sz val="8"/>
            <color indexed="81"/>
            <rFont val="Tahoma"/>
            <family val="2"/>
          </rPr>
          <t>When selecting a
Corner or Bay 
Window Type, 
the 
CMB Corner WS 
or 
CMB Bay WS 
must be completed.</t>
        </r>
      </text>
    </comment>
    <comment ref="J18" authorId="0" shapeId="0" xr:uid="{00000000-0006-0000-0400-000096000000}">
      <text>
        <r>
          <rPr>
            <sz val="8"/>
            <color indexed="81"/>
            <rFont val="Tahoma"/>
            <family val="2"/>
          </rPr>
          <t>ACT 
Actual Measurements
You have made the allowances.
NAM
No Allowances Made 
The factory will make the deductions.</t>
        </r>
      </text>
    </comment>
    <comment ref="M18" authorId="0" shapeId="0" xr:uid="{00000000-0006-0000-0400-000097000000}">
      <text>
        <r>
          <rPr>
            <sz val="8"/>
            <color indexed="81"/>
            <rFont val="Tahoma"/>
            <family val="2"/>
          </rPr>
          <t xml:space="preserve">
Bottom Rail Colour options;
Clear Anodised
Metallic Black
Mocha
White
White Birch</t>
        </r>
      </text>
    </comment>
    <comment ref="O18" authorId="0" shapeId="0" xr:uid="{00000000-0006-0000-0400-000098000000}">
      <text>
        <r>
          <rPr>
            <sz val="8"/>
            <color indexed="81"/>
            <rFont val="Tahoma"/>
            <family val="2"/>
          </rPr>
          <t>Control Options are;
Left
Right
When Bracket Type is Link Together, 
Left or Right can only be selected once per Linked Set.</t>
        </r>
      </text>
    </comment>
    <comment ref="Q18" authorId="0" shapeId="0" xr:uid="{00000000-0006-0000-0400-000099000000}">
      <text>
        <r>
          <rPr>
            <sz val="8"/>
            <color indexed="81"/>
            <rFont val="Tahoma"/>
            <family val="2"/>
          </rPr>
          <t>Chain Length options are; 
Default
500mm
750mm
1000mm
1250mm
1500mm
2000mm</t>
        </r>
      </text>
    </comment>
    <comment ref="R18" authorId="0" shapeId="0" xr:uid="{00000000-0006-0000-0400-00009A000000}">
      <text>
        <r>
          <rPr>
            <sz val="8"/>
            <color indexed="81"/>
            <rFont val="Tahoma"/>
            <family val="2"/>
          </rPr>
          <t>Chain Colour options are; 
White
White Birch
Black
Nickel Plated Brass
Stainless Steel</t>
        </r>
      </text>
    </comment>
    <comment ref="S18" authorId="0" shapeId="0" xr:uid="{00000000-0006-0000-0400-00009B000000}">
      <text>
        <r>
          <rPr>
            <sz val="8"/>
            <color indexed="81"/>
            <rFont val="Tahoma"/>
            <family val="2"/>
          </rPr>
          <t>When
 Standard or Common 
is selected the 
Pelmet Colour 
must be entered.</t>
        </r>
      </text>
    </comment>
    <comment ref="W18" authorId="0" shapeId="0" xr:uid="{00000000-0006-0000-0400-00009C000000}">
      <text>
        <r>
          <rPr>
            <sz val="8"/>
            <color indexed="81"/>
            <rFont val="Tahoma"/>
            <family val="2"/>
          </rPr>
          <t>Bracket Options include:
All other options;
Standard
Double
Link
Double Link</t>
        </r>
      </text>
    </comment>
    <comment ref="X18" authorId="0" shapeId="0" xr:uid="{00000000-0006-0000-0400-00009D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19" authorId="0" shapeId="0" xr:uid="{00000000-0006-0000-0400-00009E000000}">
      <text>
        <r>
          <rPr>
            <sz val="8"/>
            <color indexed="81"/>
            <rFont val="Tahoma"/>
            <family val="2"/>
          </rPr>
          <t>Products options are;
London
Maui
Paris
Sunscreen</t>
        </r>
      </text>
    </comment>
    <comment ref="E19" authorId="0" shapeId="0" xr:uid="{00000000-0006-0000-0400-00009F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19" authorId="0" shapeId="0" xr:uid="{00000000-0006-0000-0400-0000A0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9" authorId="0" shapeId="0" xr:uid="{00000000-0006-0000-0400-0000A1000000}">
      <text>
        <r>
          <rPr>
            <sz val="8"/>
            <color indexed="81"/>
            <rFont val="Tahoma"/>
            <family val="2"/>
          </rPr>
          <t xml:space="preserve">Minimum Height/Drop is 300mm.
Maximum Height/Drop is 3000mm. </t>
        </r>
      </text>
    </comment>
    <comment ref="H19" authorId="0" shapeId="0" xr:uid="{00000000-0006-0000-0400-0000A2000000}">
      <text>
        <r>
          <rPr>
            <sz val="8"/>
            <color indexed="81"/>
            <rFont val="Tahoma"/>
            <family val="2"/>
          </rPr>
          <t>When selecting a
Corner or Bay 
Window Type, 
the 
CMB Corner WS 
or 
CMB Bay WS 
must be completed.</t>
        </r>
      </text>
    </comment>
    <comment ref="J19" authorId="0" shapeId="0" xr:uid="{00000000-0006-0000-0400-0000A3000000}">
      <text>
        <r>
          <rPr>
            <sz val="8"/>
            <color indexed="81"/>
            <rFont val="Tahoma"/>
            <family val="2"/>
          </rPr>
          <t>ACT 
Actual Measurements
You have made the allowances.
NAM
No Allowances Made 
The factory will make the deductions.</t>
        </r>
      </text>
    </comment>
    <comment ref="M19" authorId="0" shapeId="0" xr:uid="{00000000-0006-0000-0400-0000A4000000}">
      <text>
        <r>
          <rPr>
            <sz val="8"/>
            <color indexed="81"/>
            <rFont val="Tahoma"/>
            <family val="2"/>
          </rPr>
          <t xml:space="preserve">
Bottom Rail Colour options;
Clear Anodised
Metallic Black
Mocha
White
White Birch</t>
        </r>
      </text>
    </comment>
    <comment ref="O19" authorId="0" shapeId="0" xr:uid="{00000000-0006-0000-0400-0000A5000000}">
      <text>
        <r>
          <rPr>
            <sz val="8"/>
            <color indexed="81"/>
            <rFont val="Tahoma"/>
            <family val="2"/>
          </rPr>
          <t>Control Options are;
Left
Right
When Bracket Type is Link Together, 
Left or Right can only be selected once per Linked Set.</t>
        </r>
      </text>
    </comment>
    <comment ref="Q19" authorId="0" shapeId="0" xr:uid="{00000000-0006-0000-0400-0000A6000000}">
      <text>
        <r>
          <rPr>
            <sz val="8"/>
            <color indexed="81"/>
            <rFont val="Tahoma"/>
            <family val="2"/>
          </rPr>
          <t>Chain Length options are; 
Default
500mm
750mm
1000mm
1250mm
1500mm
2000mm</t>
        </r>
      </text>
    </comment>
    <comment ref="R19" authorId="0" shapeId="0" xr:uid="{00000000-0006-0000-0400-0000A7000000}">
      <text>
        <r>
          <rPr>
            <sz val="8"/>
            <color indexed="81"/>
            <rFont val="Tahoma"/>
            <family val="2"/>
          </rPr>
          <t>Chain Colour options are; 
White
White Birch
Black
Nickel Plated Brass
Stainless Steel</t>
        </r>
      </text>
    </comment>
    <comment ref="S19" authorId="0" shapeId="0" xr:uid="{00000000-0006-0000-0400-0000A8000000}">
      <text>
        <r>
          <rPr>
            <sz val="8"/>
            <color indexed="81"/>
            <rFont val="Tahoma"/>
            <family val="2"/>
          </rPr>
          <t>When
 Standard or Common 
is selected the 
Pelmet Colour 
must be entered.</t>
        </r>
      </text>
    </comment>
    <comment ref="W19" authorId="0" shapeId="0" xr:uid="{00000000-0006-0000-0400-0000A9000000}">
      <text>
        <r>
          <rPr>
            <sz val="8"/>
            <color indexed="81"/>
            <rFont val="Tahoma"/>
            <family val="2"/>
          </rPr>
          <t>Bracket Options include:
All other options;
Standard
Double
Link
Double Link</t>
        </r>
      </text>
    </comment>
    <comment ref="X19" authorId="0" shapeId="0" xr:uid="{00000000-0006-0000-0400-0000AA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20" authorId="0" shapeId="0" xr:uid="{00000000-0006-0000-0400-0000AB000000}">
      <text>
        <r>
          <rPr>
            <sz val="8"/>
            <color indexed="81"/>
            <rFont val="Tahoma"/>
            <family val="2"/>
          </rPr>
          <t>Products options are;
London
Maui
Paris
Sunscreen</t>
        </r>
      </text>
    </comment>
    <comment ref="E20" authorId="0" shapeId="0" xr:uid="{00000000-0006-0000-0400-0000AC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20" authorId="0" shapeId="0" xr:uid="{00000000-0006-0000-0400-0000AD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0" authorId="0" shapeId="0" xr:uid="{00000000-0006-0000-0400-0000AE000000}">
      <text>
        <r>
          <rPr>
            <sz val="8"/>
            <color indexed="81"/>
            <rFont val="Tahoma"/>
            <family val="2"/>
          </rPr>
          <t xml:space="preserve">Minimum Height/Drop is 300mm.
Maximum Height/Drop is 3000mm. </t>
        </r>
      </text>
    </comment>
    <comment ref="H20" authorId="0" shapeId="0" xr:uid="{00000000-0006-0000-0400-0000AF000000}">
      <text>
        <r>
          <rPr>
            <sz val="8"/>
            <color indexed="81"/>
            <rFont val="Tahoma"/>
            <family val="2"/>
          </rPr>
          <t>When selecting a
Corner or Bay 
Window Type, 
the 
CMB Corner WS 
or 
CMB Bay WS 
must be completed.</t>
        </r>
      </text>
    </comment>
    <comment ref="J20" authorId="0" shapeId="0" xr:uid="{00000000-0006-0000-0400-0000B0000000}">
      <text>
        <r>
          <rPr>
            <sz val="8"/>
            <color indexed="81"/>
            <rFont val="Tahoma"/>
            <family val="2"/>
          </rPr>
          <t>ACT 
Actual Measurements
You have made the allowances.
NAM
No Allowances Made 
The factory will make the deductions.</t>
        </r>
      </text>
    </comment>
    <comment ref="M20" authorId="0" shapeId="0" xr:uid="{00000000-0006-0000-0400-0000B1000000}">
      <text>
        <r>
          <rPr>
            <sz val="8"/>
            <color indexed="81"/>
            <rFont val="Tahoma"/>
            <family val="2"/>
          </rPr>
          <t xml:space="preserve">
Bottom Rail Colour options;
Clear Anodised
Metallic Black
Mocha
White
White Birch</t>
        </r>
      </text>
    </comment>
    <comment ref="O20" authorId="0" shapeId="0" xr:uid="{00000000-0006-0000-0400-0000B2000000}">
      <text>
        <r>
          <rPr>
            <sz val="8"/>
            <color indexed="81"/>
            <rFont val="Tahoma"/>
            <family val="2"/>
          </rPr>
          <t>Control Options are;
Left
Right
When Bracket Type is Link Together, 
Left or Right can only be selected once per Linked Set.</t>
        </r>
      </text>
    </comment>
    <comment ref="Q20" authorId="0" shapeId="0" xr:uid="{00000000-0006-0000-0400-0000B3000000}">
      <text>
        <r>
          <rPr>
            <sz val="8"/>
            <color indexed="81"/>
            <rFont val="Tahoma"/>
            <family val="2"/>
          </rPr>
          <t>Chain Length options are; 
Default
500mm
750mm
1000mm
1250mm
1500mm
2000mm</t>
        </r>
      </text>
    </comment>
    <comment ref="R20" authorId="0" shapeId="0" xr:uid="{00000000-0006-0000-0400-0000B4000000}">
      <text>
        <r>
          <rPr>
            <sz val="8"/>
            <color indexed="81"/>
            <rFont val="Tahoma"/>
            <family val="2"/>
          </rPr>
          <t>Chain Colour options are; 
White
White Birch
Black
Nickel Plated Brass
Stainless Steel</t>
        </r>
      </text>
    </comment>
    <comment ref="S20" authorId="0" shapeId="0" xr:uid="{00000000-0006-0000-0400-0000B5000000}">
      <text>
        <r>
          <rPr>
            <sz val="8"/>
            <color indexed="81"/>
            <rFont val="Tahoma"/>
            <family val="2"/>
          </rPr>
          <t>When
 Standard or Common 
is selected the 
Pelmet Colour 
must be entered.</t>
        </r>
      </text>
    </comment>
    <comment ref="W20" authorId="0" shapeId="0" xr:uid="{00000000-0006-0000-0400-0000B6000000}">
      <text>
        <r>
          <rPr>
            <sz val="8"/>
            <color indexed="81"/>
            <rFont val="Tahoma"/>
            <family val="2"/>
          </rPr>
          <t>Bracket Options include:
All other options;
Standard
Double
Link
Double Link</t>
        </r>
      </text>
    </comment>
    <comment ref="X20" authorId="0" shapeId="0" xr:uid="{00000000-0006-0000-0400-0000B7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21" authorId="0" shapeId="0" xr:uid="{00000000-0006-0000-0400-0000B8000000}">
      <text>
        <r>
          <rPr>
            <sz val="8"/>
            <color indexed="81"/>
            <rFont val="Tahoma"/>
            <family val="2"/>
          </rPr>
          <t>Products options are;
London
Maui
Paris
Sunscreen</t>
        </r>
      </text>
    </comment>
    <comment ref="E21" authorId="0" shapeId="0" xr:uid="{00000000-0006-0000-0400-0000B9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21" authorId="0" shapeId="0" xr:uid="{00000000-0006-0000-0400-0000BA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1" authorId="0" shapeId="0" xr:uid="{00000000-0006-0000-0400-0000BB000000}">
      <text>
        <r>
          <rPr>
            <sz val="8"/>
            <color indexed="81"/>
            <rFont val="Tahoma"/>
            <family val="2"/>
          </rPr>
          <t xml:space="preserve">Minimum Height/Drop is 300mm.
Maximum Height/Drop is 3000mm. </t>
        </r>
      </text>
    </comment>
    <comment ref="H21" authorId="0" shapeId="0" xr:uid="{00000000-0006-0000-0400-0000BC000000}">
      <text>
        <r>
          <rPr>
            <sz val="8"/>
            <color indexed="81"/>
            <rFont val="Tahoma"/>
            <family val="2"/>
          </rPr>
          <t>When selecting a
Corner or Bay 
Window Type, 
the 
CMB Corner WS 
or 
CMB Bay WS 
must be completed.</t>
        </r>
      </text>
    </comment>
    <comment ref="J21" authorId="0" shapeId="0" xr:uid="{00000000-0006-0000-0400-0000BD000000}">
      <text>
        <r>
          <rPr>
            <sz val="8"/>
            <color indexed="81"/>
            <rFont val="Tahoma"/>
            <family val="2"/>
          </rPr>
          <t>ACT 
Actual Measurements
You have made the allowances.
NAM
No Allowances Made 
The factory will make the deductions.</t>
        </r>
      </text>
    </comment>
    <comment ref="M21" authorId="0" shapeId="0" xr:uid="{00000000-0006-0000-0400-0000BE000000}">
      <text>
        <r>
          <rPr>
            <sz val="8"/>
            <color indexed="81"/>
            <rFont val="Tahoma"/>
            <family val="2"/>
          </rPr>
          <t xml:space="preserve">
Bottom Rail Colour options;
Clear Anodised
Metallic Black
Mocha
White
White Birch</t>
        </r>
      </text>
    </comment>
    <comment ref="O21" authorId="0" shapeId="0" xr:uid="{00000000-0006-0000-0400-0000BF000000}">
      <text>
        <r>
          <rPr>
            <sz val="8"/>
            <color indexed="81"/>
            <rFont val="Tahoma"/>
            <family val="2"/>
          </rPr>
          <t>Control Options are;
Left
Right
When Bracket Type is Link Together, 
Left or Right can only be selected once per Linked Set.</t>
        </r>
      </text>
    </comment>
    <comment ref="Q21" authorId="0" shapeId="0" xr:uid="{00000000-0006-0000-0400-0000C0000000}">
      <text>
        <r>
          <rPr>
            <sz val="8"/>
            <color indexed="81"/>
            <rFont val="Tahoma"/>
            <family val="2"/>
          </rPr>
          <t>Chain Length options are; 
Default
500mm
750mm
1000mm
1250mm
1500mm
2000mm</t>
        </r>
      </text>
    </comment>
    <comment ref="R21" authorId="0" shapeId="0" xr:uid="{00000000-0006-0000-0400-0000C1000000}">
      <text>
        <r>
          <rPr>
            <sz val="8"/>
            <color indexed="81"/>
            <rFont val="Tahoma"/>
            <family val="2"/>
          </rPr>
          <t>Chain Colour options are; 
White
White Birch
Black
Nickel Plated Brass
Stainless Steel</t>
        </r>
      </text>
    </comment>
    <comment ref="S21" authorId="0" shapeId="0" xr:uid="{00000000-0006-0000-0400-0000C2000000}">
      <text>
        <r>
          <rPr>
            <sz val="8"/>
            <color indexed="81"/>
            <rFont val="Tahoma"/>
            <family val="2"/>
          </rPr>
          <t>When
 Standard or Common 
is selected the 
Pelmet Colour 
must be entered.</t>
        </r>
      </text>
    </comment>
    <comment ref="W21" authorId="0" shapeId="0" xr:uid="{00000000-0006-0000-0400-0000C3000000}">
      <text>
        <r>
          <rPr>
            <sz val="8"/>
            <color indexed="81"/>
            <rFont val="Tahoma"/>
            <family val="2"/>
          </rPr>
          <t>Bracket Options include:
All other options;
Standard
Double
Link
Double Link</t>
        </r>
      </text>
    </comment>
    <comment ref="X21" authorId="0" shapeId="0" xr:uid="{00000000-0006-0000-0400-0000C4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22" authorId="0" shapeId="0" xr:uid="{00000000-0006-0000-0400-0000C5000000}">
      <text>
        <r>
          <rPr>
            <sz val="8"/>
            <color indexed="81"/>
            <rFont val="Tahoma"/>
            <family val="2"/>
          </rPr>
          <t>Products options are;
London
Maui
Paris
Sunscreen</t>
        </r>
      </text>
    </comment>
    <comment ref="E22" authorId="0" shapeId="0" xr:uid="{00000000-0006-0000-0400-0000C6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22" authorId="0" shapeId="0" xr:uid="{00000000-0006-0000-0400-0000C7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2" authorId="0" shapeId="0" xr:uid="{00000000-0006-0000-0400-0000C8000000}">
      <text>
        <r>
          <rPr>
            <sz val="8"/>
            <color indexed="81"/>
            <rFont val="Tahoma"/>
            <family val="2"/>
          </rPr>
          <t xml:space="preserve">Minimum Height/Drop is 300mm.
Maximum Height/Drop is 3000mm. </t>
        </r>
      </text>
    </comment>
    <comment ref="H22" authorId="0" shapeId="0" xr:uid="{00000000-0006-0000-0400-0000C9000000}">
      <text>
        <r>
          <rPr>
            <sz val="8"/>
            <color indexed="81"/>
            <rFont val="Tahoma"/>
            <family val="2"/>
          </rPr>
          <t>When selecting a
Corner or Bay 
Window Type, 
the 
CMB Corner WS 
or 
CMB Bay WS 
must be completed.</t>
        </r>
      </text>
    </comment>
    <comment ref="J22" authorId="0" shapeId="0" xr:uid="{00000000-0006-0000-0400-0000CA000000}">
      <text>
        <r>
          <rPr>
            <sz val="8"/>
            <color indexed="81"/>
            <rFont val="Tahoma"/>
            <family val="2"/>
          </rPr>
          <t>ACT 
Actual Measurements
You have made the allowances.
NAM
No Allowances Made 
The factory will make the deductions.</t>
        </r>
      </text>
    </comment>
    <comment ref="M22" authorId="0" shapeId="0" xr:uid="{00000000-0006-0000-0400-0000CB000000}">
      <text>
        <r>
          <rPr>
            <sz val="8"/>
            <color indexed="81"/>
            <rFont val="Tahoma"/>
            <family val="2"/>
          </rPr>
          <t xml:space="preserve">
Bottom Rail Colour options;
Clear Anodised
Metallic Black
Mocha
White
White Birch</t>
        </r>
      </text>
    </comment>
    <comment ref="O22" authorId="0" shapeId="0" xr:uid="{00000000-0006-0000-0400-0000CC000000}">
      <text>
        <r>
          <rPr>
            <sz val="8"/>
            <color indexed="81"/>
            <rFont val="Tahoma"/>
            <family val="2"/>
          </rPr>
          <t>Control Options are;
Left
Right
When Bracket Type is Link Together, 
Left or Right can only be selected once per Linked Set.</t>
        </r>
      </text>
    </comment>
    <comment ref="Q22" authorId="0" shapeId="0" xr:uid="{00000000-0006-0000-0400-0000CD000000}">
      <text>
        <r>
          <rPr>
            <sz val="8"/>
            <color indexed="81"/>
            <rFont val="Tahoma"/>
            <family val="2"/>
          </rPr>
          <t>Chain Length options are; 
Default
500mm
750mm
1000mm
1250mm
1500mm
2000mm</t>
        </r>
      </text>
    </comment>
    <comment ref="R22" authorId="0" shapeId="0" xr:uid="{00000000-0006-0000-0400-0000CE000000}">
      <text>
        <r>
          <rPr>
            <sz val="8"/>
            <color indexed="81"/>
            <rFont val="Tahoma"/>
            <family val="2"/>
          </rPr>
          <t>Chain Colour options are; 
White
White Birch
Black
Nickel Plated Brass
Stainless Steel</t>
        </r>
      </text>
    </comment>
    <comment ref="S22" authorId="0" shapeId="0" xr:uid="{00000000-0006-0000-0400-0000CF000000}">
      <text>
        <r>
          <rPr>
            <sz val="8"/>
            <color indexed="81"/>
            <rFont val="Tahoma"/>
            <family val="2"/>
          </rPr>
          <t>When
 Standard or Common 
is selected the 
Pelmet Colour 
must be entered.</t>
        </r>
      </text>
    </comment>
    <comment ref="W22" authorId="0" shapeId="0" xr:uid="{00000000-0006-0000-0400-0000D0000000}">
      <text>
        <r>
          <rPr>
            <sz val="8"/>
            <color indexed="81"/>
            <rFont val="Tahoma"/>
            <family val="2"/>
          </rPr>
          <t>Bracket Options include:
All other options;
Standard
Double
Link
Double Link</t>
        </r>
      </text>
    </comment>
    <comment ref="X22" authorId="0" shapeId="0" xr:uid="{00000000-0006-0000-0400-0000D1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23" authorId="0" shapeId="0" xr:uid="{00000000-0006-0000-0400-0000D2000000}">
      <text>
        <r>
          <rPr>
            <sz val="8"/>
            <color indexed="81"/>
            <rFont val="Tahoma"/>
            <family val="2"/>
          </rPr>
          <t>Products options are;
London
Maui
Paris
Sunscreen</t>
        </r>
      </text>
    </comment>
    <comment ref="E23" authorId="0" shapeId="0" xr:uid="{00000000-0006-0000-0400-0000D3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23" authorId="0" shapeId="0" xr:uid="{00000000-0006-0000-0400-0000D4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3" authorId="0" shapeId="0" xr:uid="{00000000-0006-0000-0400-0000D5000000}">
      <text>
        <r>
          <rPr>
            <sz val="8"/>
            <color indexed="81"/>
            <rFont val="Tahoma"/>
            <family val="2"/>
          </rPr>
          <t xml:space="preserve">Minimum Height/Drop is 300mm.
Maximum Height/Drop is 3000mm. </t>
        </r>
      </text>
    </comment>
    <comment ref="H23" authorId="0" shapeId="0" xr:uid="{00000000-0006-0000-0400-0000D6000000}">
      <text>
        <r>
          <rPr>
            <sz val="8"/>
            <color indexed="81"/>
            <rFont val="Tahoma"/>
            <family val="2"/>
          </rPr>
          <t>When selecting a
Corner or Bay 
Window Type, 
the 
CMB Corner WS 
or 
CMB Bay WS 
must be completed.</t>
        </r>
      </text>
    </comment>
    <comment ref="J23" authorId="0" shapeId="0" xr:uid="{00000000-0006-0000-0400-0000D7000000}">
      <text>
        <r>
          <rPr>
            <sz val="8"/>
            <color indexed="81"/>
            <rFont val="Tahoma"/>
            <family val="2"/>
          </rPr>
          <t>ACT 
Actual Measurements
You have made the allowances.
NAM
No Allowances Made 
The factory will make the deductions.</t>
        </r>
      </text>
    </comment>
    <comment ref="M23" authorId="0" shapeId="0" xr:uid="{00000000-0006-0000-0400-0000D8000000}">
      <text>
        <r>
          <rPr>
            <sz val="8"/>
            <color indexed="81"/>
            <rFont val="Tahoma"/>
            <family val="2"/>
          </rPr>
          <t xml:space="preserve">
Bottom Rail Colour options;
Clear Anodised
Metallic Black
Mocha
White
White Birch</t>
        </r>
      </text>
    </comment>
    <comment ref="O23" authorId="0" shapeId="0" xr:uid="{00000000-0006-0000-0400-0000D9000000}">
      <text>
        <r>
          <rPr>
            <sz val="8"/>
            <color indexed="81"/>
            <rFont val="Tahoma"/>
            <family val="2"/>
          </rPr>
          <t>Control Options are;
Left
Right
When Bracket Type is Link Together, 
Left or Right can only be selected once per Linked Set.</t>
        </r>
      </text>
    </comment>
    <comment ref="Q23" authorId="0" shapeId="0" xr:uid="{00000000-0006-0000-0400-0000DA000000}">
      <text>
        <r>
          <rPr>
            <sz val="8"/>
            <color indexed="81"/>
            <rFont val="Tahoma"/>
            <family val="2"/>
          </rPr>
          <t>Chain Length options are; 
Default
500mm
750mm
1000mm
1250mm
1500mm
2000mm</t>
        </r>
      </text>
    </comment>
    <comment ref="R23" authorId="0" shapeId="0" xr:uid="{00000000-0006-0000-0400-0000DB000000}">
      <text>
        <r>
          <rPr>
            <sz val="8"/>
            <color indexed="81"/>
            <rFont val="Tahoma"/>
            <family val="2"/>
          </rPr>
          <t>Chain Colour options are; 
White
White Birch
Black
Nickel Plated Brass
Stainless Steel</t>
        </r>
      </text>
    </comment>
    <comment ref="S23" authorId="0" shapeId="0" xr:uid="{00000000-0006-0000-0400-0000DC000000}">
      <text>
        <r>
          <rPr>
            <sz val="8"/>
            <color indexed="81"/>
            <rFont val="Tahoma"/>
            <family val="2"/>
          </rPr>
          <t>When
 Standard or Common 
is selected the 
Pelmet Colour 
must be entered.</t>
        </r>
      </text>
    </comment>
    <comment ref="W23" authorId="0" shapeId="0" xr:uid="{00000000-0006-0000-0400-0000DD000000}">
      <text>
        <r>
          <rPr>
            <sz val="8"/>
            <color indexed="81"/>
            <rFont val="Tahoma"/>
            <family val="2"/>
          </rPr>
          <t>Bracket Options include:
All other options;
Standard
Double
Link
Double Link</t>
        </r>
      </text>
    </comment>
    <comment ref="X23" authorId="0" shapeId="0" xr:uid="{00000000-0006-0000-0400-0000DE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24" authorId="0" shapeId="0" xr:uid="{00000000-0006-0000-0400-0000DF000000}">
      <text>
        <r>
          <rPr>
            <sz val="8"/>
            <color indexed="81"/>
            <rFont val="Tahoma"/>
            <family val="2"/>
          </rPr>
          <t>Products options are;
London
Maui
Paris
Sunscreen</t>
        </r>
      </text>
    </comment>
    <comment ref="E24" authorId="0" shapeId="0" xr:uid="{00000000-0006-0000-0400-0000E0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24" authorId="0" shapeId="0" xr:uid="{00000000-0006-0000-0400-0000E1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4" authorId="0" shapeId="0" xr:uid="{00000000-0006-0000-0400-0000E2000000}">
      <text>
        <r>
          <rPr>
            <sz val="8"/>
            <color indexed="81"/>
            <rFont val="Tahoma"/>
            <family val="2"/>
          </rPr>
          <t xml:space="preserve">Minimum Height/Drop is 300mm.
Maximum Height/Drop is 3000mm. </t>
        </r>
      </text>
    </comment>
    <comment ref="H24" authorId="0" shapeId="0" xr:uid="{00000000-0006-0000-0400-0000E3000000}">
      <text>
        <r>
          <rPr>
            <sz val="8"/>
            <color indexed="81"/>
            <rFont val="Tahoma"/>
            <family val="2"/>
          </rPr>
          <t>When selecting a
Corner or Bay 
Window Type, 
the 
CMB Corner WS 
or 
CMB Bay WS 
must be completed.</t>
        </r>
      </text>
    </comment>
    <comment ref="J24" authorId="0" shapeId="0" xr:uid="{00000000-0006-0000-0400-0000E4000000}">
      <text>
        <r>
          <rPr>
            <sz val="8"/>
            <color indexed="81"/>
            <rFont val="Tahoma"/>
            <family val="2"/>
          </rPr>
          <t>ACT 
Actual Measurements
You have made the allowances.
NAM
No Allowances Made 
The factory will make the deductions.</t>
        </r>
      </text>
    </comment>
    <comment ref="M24" authorId="0" shapeId="0" xr:uid="{00000000-0006-0000-0400-0000E5000000}">
      <text>
        <r>
          <rPr>
            <sz val="8"/>
            <color indexed="81"/>
            <rFont val="Tahoma"/>
            <family val="2"/>
          </rPr>
          <t xml:space="preserve">
Bottom Rail Colour options;
Clear Anodised
Metallic Black
Mocha
White
White Birch</t>
        </r>
      </text>
    </comment>
    <comment ref="O24" authorId="0" shapeId="0" xr:uid="{00000000-0006-0000-0400-0000E6000000}">
      <text>
        <r>
          <rPr>
            <sz val="8"/>
            <color indexed="81"/>
            <rFont val="Tahoma"/>
            <family val="2"/>
          </rPr>
          <t>Control Options are;
Left
Right
When Bracket Type is Link Together, 
Left or Right can only be selected once per Linked Set.</t>
        </r>
      </text>
    </comment>
    <comment ref="Q24" authorId="0" shapeId="0" xr:uid="{00000000-0006-0000-0400-0000E7000000}">
      <text>
        <r>
          <rPr>
            <sz val="8"/>
            <color indexed="81"/>
            <rFont val="Tahoma"/>
            <family val="2"/>
          </rPr>
          <t>Chain Length options are; 
Default
500mm
750mm
1000mm
1250mm
1500mm
2000mm</t>
        </r>
      </text>
    </comment>
    <comment ref="R24" authorId="0" shapeId="0" xr:uid="{00000000-0006-0000-0400-0000E8000000}">
      <text>
        <r>
          <rPr>
            <sz val="8"/>
            <color indexed="81"/>
            <rFont val="Tahoma"/>
            <family val="2"/>
          </rPr>
          <t>Chain Colour options are; 
White
White Birch
Black
Nickel Plated Brass
Stainless Steel</t>
        </r>
      </text>
    </comment>
    <comment ref="S24" authorId="0" shapeId="0" xr:uid="{00000000-0006-0000-0400-0000E9000000}">
      <text>
        <r>
          <rPr>
            <sz val="8"/>
            <color indexed="81"/>
            <rFont val="Tahoma"/>
            <family val="2"/>
          </rPr>
          <t>When
 Standard or Common 
is selected the 
Pelmet Colour 
must be entered.</t>
        </r>
      </text>
    </comment>
    <comment ref="W24" authorId="0" shapeId="0" xr:uid="{00000000-0006-0000-0400-0000EA000000}">
      <text>
        <r>
          <rPr>
            <sz val="8"/>
            <color indexed="81"/>
            <rFont val="Tahoma"/>
            <family val="2"/>
          </rPr>
          <t>Bracket Options include:
All other options;
Standard
Double
Link
Double Link</t>
        </r>
      </text>
    </comment>
    <comment ref="X24" authorId="0" shapeId="0" xr:uid="{00000000-0006-0000-0400-0000EB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25" authorId="0" shapeId="0" xr:uid="{00000000-0006-0000-0400-0000EC000000}">
      <text>
        <r>
          <rPr>
            <sz val="8"/>
            <color indexed="81"/>
            <rFont val="Tahoma"/>
            <family val="2"/>
          </rPr>
          <t>Products options are;
London
Maui
Paris
Sunscreen</t>
        </r>
      </text>
    </comment>
    <comment ref="E25" authorId="0" shapeId="0" xr:uid="{00000000-0006-0000-0400-0000ED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25" authorId="0" shapeId="0" xr:uid="{00000000-0006-0000-0400-0000EE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5" authorId="0" shapeId="0" xr:uid="{00000000-0006-0000-0400-0000EF000000}">
      <text>
        <r>
          <rPr>
            <sz val="8"/>
            <color indexed="81"/>
            <rFont val="Tahoma"/>
            <family val="2"/>
          </rPr>
          <t xml:space="preserve">Minimum Height/Drop is 300mm.
Maximum Height/Drop is 3000mm. </t>
        </r>
      </text>
    </comment>
    <comment ref="H25" authorId="0" shapeId="0" xr:uid="{00000000-0006-0000-0400-0000F0000000}">
      <text>
        <r>
          <rPr>
            <sz val="8"/>
            <color indexed="81"/>
            <rFont val="Tahoma"/>
            <family val="2"/>
          </rPr>
          <t>When selecting a
Corner or Bay 
Window Type, 
the 
CMB Corner WS 
or 
CMB Bay WS 
must be completed.</t>
        </r>
      </text>
    </comment>
    <comment ref="J25" authorId="0" shapeId="0" xr:uid="{00000000-0006-0000-0400-0000F1000000}">
      <text>
        <r>
          <rPr>
            <sz val="8"/>
            <color indexed="81"/>
            <rFont val="Tahoma"/>
            <family val="2"/>
          </rPr>
          <t>ACT 
Actual Measurements
You have made the allowances.
NAM
No Allowances Made 
The factory will make the deductions.</t>
        </r>
      </text>
    </comment>
    <comment ref="M25" authorId="0" shapeId="0" xr:uid="{00000000-0006-0000-0400-0000F2000000}">
      <text>
        <r>
          <rPr>
            <sz val="8"/>
            <color indexed="81"/>
            <rFont val="Tahoma"/>
            <family val="2"/>
          </rPr>
          <t xml:space="preserve">
Bottom Rail Colour options;
Clear Anodised
Metallic Black
Mocha
White
White Birch</t>
        </r>
      </text>
    </comment>
    <comment ref="O25" authorId="0" shapeId="0" xr:uid="{00000000-0006-0000-0400-0000F3000000}">
      <text>
        <r>
          <rPr>
            <sz val="8"/>
            <color indexed="81"/>
            <rFont val="Tahoma"/>
            <family val="2"/>
          </rPr>
          <t>Control Options are;
Left
Right
When Bracket Type is Link Together, 
Left or Right can only be selected once per Linked Set.</t>
        </r>
      </text>
    </comment>
    <comment ref="Q25" authorId="0" shapeId="0" xr:uid="{00000000-0006-0000-0400-0000F4000000}">
      <text>
        <r>
          <rPr>
            <sz val="8"/>
            <color indexed="81"/>
            <rFont val="Tahoma"/>
            <family val="2"/>
          </rPr>
          <t>Chain Length options are; 
Default
500mm
750mm
1000mm
1250mm
1500mm
2000mm</t>
        </r>
      </text>
    </comment>
    <comment ref="R25" authorId="0" shapeId="0" xr:uid="{00000000-0006-0000-0400-0000F5000000}">
      <text>
        <r>
          <rPr>
            <sz val="8"/>
            <color indexed="81"/>
            <rFont val="Tahoma"/>
            <family val="2"/>
          </rPr>
          <t>Chain Colour options are; 
White
White Birch
Black
Nickel Plated Brass
Stainless Steel</t>
        </r>
      </text>
    </comment>
    <comment ref="S25" authorId="0" shapeId="0" xr:uid="{00000000-0006-0000-0400-0000F6000000}">
      <text>
        <r>
          <rPr>
            <sz val="8"/>
            <color indexed="81"/>
            <rFont val="Tahoma"/>
            <family val="2"/>
          </rPr>
          <t>When
 Standard or Common 
is selected the 
Pelmet Colour 
must be entered.</t>
        </r>
      </text>
    </comment>
    <comment ref="W25" authorId="0" shapeId="0" xr:uid="{00000000-0006-0000-0400-0000F7000000}">
      <text>
        <r>
          <rPr>
            <sz val="8"/>
            <color indexed="81"/>
            <rFont val="Tahoma"/>
            <family val="2"/>
          </rPr>
          <t>Bracket Options include:
All other options;
Standard
Double
Link
Double Link</t>
        </r>
      </text>
    </comment>
    <comment ref="X25" authorId="0" shapeId="0" xr:uid="{00000000-0006-0000-0400-0000F800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26" authorId="0" shapeId="0" xr:uid="{00000000-0006-0000-0400-0000F9000000}">
      <text>
        <r>
          <rPr>
            <sz val="8"/>
            <color indexed="81"/>
            <rFont val="Tahoma"/>
            <family val="2"/>
          </rPr>
          <t>Products options are;
London
Maui
Paris
Sunscreen</t>
        </r>
      </text>
    </comment>
    <comment ref="E26" authorId="0" shapeId="0" xr:uid="{00000000-0006-0000-0400-0000FA00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26" authorId="0" shapeId="0" xr:uid="{00000000-0006-0000-0400-0000FB00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6" authorId="0" shapeId="0" xr:uid="{00000000-0006-0000-0400-0000FC000000}">
      <text>
        <r>
          <rPr>
            <sz val="8"/>
            <color indexed="81"/>
            <rFont val="Tahoma"/>
            <family val="2"/>
          </rPr>
          <t xml:space="preserve">Minimum Height/Drop is 300mm.
Maximum Height/Drop is 3000mm. </t>
        </r>
      </text>
    </comment>
    <comment ref="H26" authorId="0" shapeId="0" xr:uid="{00000000-0006-0000-0400-0000FD000000}">
      <text>
        <r>
          <rPr>
            <sz val="8"/>
            <color indexed="81"/>
            <rFont val="Tahoma"/>
            <family val="2"/>
          </rPr>
          <t>When selecting a
Corner or Bay 
Window Type, 
the 
CMB Corner WS 
or 
CMB Bay WS 
must be completed.</t>
        </r>
      </text>
    </comment>
    <comment ref="J26" authorId="0" shapeId="0" xr:uid="{00000000-0006-0000-0400-0000FE000000}">
      <text>
        <r>
          <rPr>
            <sz val="8"/>
            <color indexed="81"/>
            <rFont val="Tahoma"/>
            <family val="2"/>
          </rPr>
          <t>ACT 
Actual Measurements
You have made the allowances.
NAM
No Allowances Made 
The factory will make the deductions.</t>
        </r>
      </text>
    </comment>
    <comment ref="M26" authorId="0" shapeId="0" xr:uid="{00000000-0006-0000-0400-0000FF000000}">
      <text>
        <r>
          <rPr>
            <sz val="8"/>
            <color indexed="81"/>
            <rFont val="Tahoma"/>
            <family val="2"/>
          </rPr>
          <t xml:space="preserve">
Bottom Rail Colour options;
Clear Anodised
Metallic Black
Mocha
White
White Birch</t>
        </r>
      </text>
    </comment>
    <comment ref="O26" authorId="0" shapeId="0" xr:uid="{00000000-0006-0000-0400-000000010000}">
      <text>
        <r>
          <rPr>
            <sz val="8"/>
            <color indexed="81"/>
            <rFont val="Tahoma"/>
            <family val="2"/>
          </rPr>
          <t>Control Options are;
Left
Right
When Bracket Type is Link Together, 
Left or Right can only be selected once per Linked Set.</t>
        </r>
      </text>
    </comment>
    <comment ref="Q26" authorId="0" shapeId="0" xr:uid="{00000000-0006-0000-0400-000001010000}">
      <text>
        <r>
          <rPr>
            <sz val="8"/>
            <color indexed="81"/>
            <rFont val="Tahoma"/>
            <family val="2"/>
          </rPr>
          <t>Chain Length options are; 
Default
500mm
750mm
1000mm
1250mm
1500mm
2000mm</t>
        </r>
      </text>
    </comment>
    <comment ref="R26" authorId="0" shapeId="0" xr:uid="{00000000-0006-0000-0400-000002010000}">
      <text>
        <r>
          <rPr>
            <sz val="8"/>
            <color indexed="81"/>
            <rFont val="Tahoma"/>
            <family val="2"/>
          </rPr>
          <t>Chain Colour options are; 
White
White Birch
Black
Nickel Plated Brass
Stainless Steel</t>
        </r>
      </text>
    </comment>
    <comment ref="S26" authorId="0" shapeId="0" xr:uid="{00000000-0006-0000-0400-000003010000}">
      <text>
        <r>
          <rPr>
            <sz val="8"/>
            <color indexed="81"/>
            <rFont val="Tahoma"/>
            <family val="2"/>
          </rPr>
          <t>When
 Standard or Common 
is selected the 
Pelmet Colour 
must be entered.</t>
        </r>
      </text>
    </comment>
    <comment ref="W26" authorId="0" shapeId="0" xr:uid="{00000000-0006-0000-0400-000004010000}">
      <text>
        <r>
          <rPr>
            <sz val="8"/>
            <color indexed="81"/>
            <rFont val="Tahoma"/>
            <family val="2"/>
          </rPr>
          <t>Bracket Options include:
All other options;
Standard
Double
Link
Double Link</t>
        </r>
      </text>
    </comment>
    <comment ref="X26" authorId="0" shapeId="0" xr:uid="{00000000-0006-0000-0400-000005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27" authorId="0" shapeId="0" xr:uid="{00000000-0006-0000-0400-000006010000}">
      <text>
        <r>
          <rPr>
            <sz val="8"/>
            <color indexed="81"/>
            <rFont val="Tahoma"/>
            <family val="2"/>
          </rPr>
          <t>Products options are;
London
Maui
Paris
Sunscreen</t>
        </r>
      </text>
    </comment>
    <comment ref="E27" authorId="0" shapeId="0" xr:uid="{00000000-0006-0000-0400-000007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27" authorId="0" shapeId="0" xr:uid="{00000000-0006-0000-0400-000008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7" authorId="0" shapeId="0" xr:uid="{00000000-0006-0000-0400-000009010000}">
      <text>
        <r>
          <rPr>
            <sz val="8"/>
            <color indexed="81"/>
            <rFont val="Tahoma"/>
            <family val="2"/>
          </rPr>
          <t xml:space="preserve">Minimum Height/Drop is 300mm.
Maximum Height/Drop is 3000mm. </t>
        </r>
      </text>
    </comment>
    <comment ref="H27" authorId="0" shapeId="0" xr:uid="{00000000-0006-0000-0400-00000A010000}">
      <text>
        <r>
          <rPr>
            <sz val="8"/>
            <color indexed="81"/>
            <rFont val="Tahoma"/>
            <family val="2"/>
          </rPr>
          <t>When selecting a
Corner or Bay 
Window Type, 
the 
CMB Corner WS 
or 
CMB Bay WS 
must be completed.</t>
        </r>
      </text>
    </comment>
    <comment ref="J27" authorId="0" shapeId="0" xr:uid="{00000000-0006-0000-0400-00000B010000}">
      <text>
        <r>
          <rPr>
            <sz val="8"/>
            <color indexed="81"/>
            <rFont val="Tahoma"/>
            <family val="2"/>
          </rPr>
          <t>ACT 
Actual Measurements
You have made the allowances.
NAM
No Allowances Made 
The factory will make the deductions.</t>
        </r>
      </text>
    </comment>
    <comment ref="M27" authorId="0" shapeId="0" xr:uid="{00000000-0006-0000-0400-00000C010000}">
      <text>
        <r>
          <rPr>
            <sz val="8"/>
            <color indexed="81"/>
            <rFont val="Tahoma"/>
            <family val="2"/>
          </rPr>
          <t xml:space="preserve">
Bottom Rail Colour options;
Clear Anodised
Metallic Black
Mocha
White
White Birch</t>
        </r>
      </text>
    </comment>
    <comment ref="O27" authorId="0" shapeId="0" xr:uid="{00000000-0006-0000-0400-00000D010000}">
      <text>
        <r>
          <rPr>
            <sz val="8"/>
            <color indexed="81"/>
            <rFont val="Tahoma"/>
            <family val="2"/>
          </rPr>
          <t>Control Options are;
Left
Right
When Bracket Type is Link Together, 
Left or Right can only be selected once per Linked Set.</t>
        </r>
      </text>
    </comment>
    <comment ref="Q27" authorId="0" shapeId="0" xr:uid="{00000000-0006-0000-0400-00000E010000}">
      <text>
        <r>
          <rPr>
            <sz val="8"/>
            <color indexed="81"/>
            <rFont val="Tahoma"/>
            <family val="2"/>
          </rPr>
          <t>Chain Length options are; 
Default
500mm
750mm
1000mm
1250mm
1500mm
2000mm</t>
        </r>
      </text>
    </comment>
    <comment ref="R27" authorId="0" shapeId="0" xr:uid="{00000000-0006-0000-0400-00000F010000}">
      <text>
        <r>
          <rPr>
            <sz val="8"/>
            <color indexed="81"/>
            <rFont val="Tahoma"/>
            <family val="2"/>
          </rPr>
          <t>Chain Colour options are; 
White
White Birch
Black
Nickel Plated Brass
Stainless Steel</t>
        </r>
      </text>
    </comment>
    <comment ref="S27" authorId="0" shapeId="0" xr:uid="{00000000-0006-0000-0400-000010010000}">
      <text>
        <r>
          <rPr>
            <sz val="8"/>
            <color indexed="81"/>
            <rFont val="Tahoma"/>
            <family val="2"/>
          </rPr>
          <t>When
 Standard or Common 
is selected the 
Pelmet Colour 
must be entered.</t>
        </r>
      </text>
    </comment>
    <comment ref="W27" authorId="0" shapeId="0" xr:uid="{00000000-0006-0000-0400-000011010000}">
      <text>
        <r>
          <rPr>
            <sz val="8"/>
            <color indexed="81"/>
            <rFont val="Tahoma"/>
            <family val="2"/>
          </rPr>
          <t>Bracket Options include:
All other options;
Standard
Double
Link
Double Link</t>
        </r>
      </text>
    </comment>
    <comment ref="X27" authorId="0" shapeId="0" xr:uid="{00000000-0006-0000-0400-000012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28" authorId="0" shapeId="0" xr:uid="{00000000-0006-0000-0400-000013010000}">
      <text>
        <r>
          <rPr>
            <sz val="8"/>
            <color indexed="81"/>
            <rFont val="Tahoma"/>
            <family val="2"/>
          </rPr>
          <t>Products options are;
London
Maui
Paris
Sunscreen</t>
        </r>
      </text>
    </comment>
    <comment ref="E28" authorId="0" shapeId="0" xr:uid="{00000000-0006-0000-0400-000014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28" authorId="0" shapeId="0" xr:uid="{00000000-0006-0000-0400-000015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8" authorId="0" shapeId="0" xr:uid="{00000000-0006-0000-0400-000016010000}">
      <text>
        <r>
          <rPr>
            <sz val="8"/>
            <color indexed="81"/>
            <rFont val="Tahoma"/>
            <family val="2"/>
          </rPr>
          <t xml:space="preserve">Minimum Height/Drop is 300mm.
Maximum Height/Drop is 3000mm. </t>
        </r>
      </text>
    </comment>
    <comment ref="H28" authorId="0" shapeId="0" xr:uid="{00000000-0006-0000-0400-000017010000}">
      <text>
        <r>
          <rPr>
            <sz val="8"/>
            <color indexed="81"/>
            <rFont val="Tahoma"/>
            <family val="2"/>
          </rPr>
          <t>When selecting a
Corner or Bay 
Window Type, 
the 
CMB Corner WS 
or 
CMB Bay WS 
must be completed.</t>
        </r>
      </text>
    </comment>
    <comment ref="J28" authorId="0" shapeId="0" xr:uid="{00000000-0006-0000-0400-000018010000}">
      <text>
        <r>
          <rPr>
            <sz val="8"/>
            <color indexed="81"/>
            <rFont val="Tahoma"/>
            <family val="2"/>
          </rPr>
          <t>ACT 
Actual Measurements
You have made the allowances.
NAM
No Allowances Made 
The factory will make the deductions.</t>
        </r>
      </text>
    </comment>
    <comment ref="M28" authorId="0" shapeId="0" xr:uid="{00000000-0006-0000-0400-000019010000}">
      <text>
        <r>
          <rPr>
            <sz val="8"/>
            <color indexed="81"/>
            <rFont val="Tahoma"/>
            <family val="2"/>
          </rPr>
          <t xml:space="preserve">
Bottom Rail Colour options;
Clear Anodised
Metallic Black
Mocha
White
White Birch</t>
        </r>
      </text>
    </comment>
    <comment ref="O28" authorId="0" shapeId="0" xr:uid="{00000000-0006-0000-0400-00001A010000}">
      <text>
        <r>
          <rPr>
            <sz val="8"/>
            <color indexed="81"/>
            <rFont val="Tahoma"/>
            <family val="2"/>
          </rPr>
          <t>Control Options are;
Left
Right
When Bracket Type is Link Together, 
Left or Right can only be selected once per Linked Set.</t>
        </r>
      </text>
    </comment>
    <comment ref="Q28" authorId="0" shapeId="0" xr:uid="{00000000-0006-0000-0400-00001B010000}">
      <text>
        <r>
          <rPr>
            <sz val="8"/>
            <color indexed="81"/>
            <rFont val="Tahoma"/>
            <family val="2"/>
          </rPr>
          <t>Chain Length options are; 
Default
500mm
750mm
1000mm
1250mm
1500mm
2000mm</t>
        </r>
      </text>
    </comment>
    <comment ref="R28" authorId="0" shapeId="0" xr:uid="{00000000-0006-0000-0400-00001C010000}">
      <text>
        <r>
          <rPr>
            <sz val="8"/>
            <color indexed="81"/>
            <rFont val="Tahoma"/>
            <family val="2"/>
          </rPr>
          <t>Chain Colour options are; 
White
White Birch
Black
Nickel Plated Brass
Stainless Steel</t>
        </r>
      </text>
    </comment>
    <comment ref="S28" authorId="0" shapeId="0" xr:uid="{00000000-0006-0000-0400-00001D010000}">
      <text>
        <r>
          <rPr>
            <sz val="8"/>
            <color indexed="81"/>
            <rFont val="Tahoma"/>
            <family val="2"/>
          </rPr>
          <t>When
 Standard or Common 
is selected the 
Pelmet Colour 
must be entered.</t>
        </r>
      </text>
    </comment>
    <comment ref="W28" authorId="0" shapeId="0" xr:uid="{00000000-0006-0000-0400-00001E010000}">
      <text>
        <r>
          <rPr>
            <sz val="8"/>
            <color indexed="81"/>
            <rFont val="Tahoma"/>
            <family val="2"/>
          </rPr>
          <t>Bracket Options include:
All other options;
Standard
Double
Link
Double Link</t>
        </r>
      </text>
    </comment>
    <comment ref="X28" authorId="0" shapeId="0" xr:uid="{00000000-0006-0000-0400-00001F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29" authorId="0" shapeId="0" xr:uid="{00000000-0006-0000-0400-000020010000}">
      <text>
        <r>
          <rPr>
            <sz val="8"/>
            <color indexed="81"/>
            <rFont val="Tahoma"/>
            <family val="2"/>
          </rPr>
          <t>Products options are;
London
Maui
Paris
Sunscreen</t>
        </r>
      </text>
    </comment>
    <comment ref="E29" authorId="0" shapeId="0" xr:uid="{00000000-0006-0000-0400-000021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29" authorId="0" shapeId="0" xr:uid="{00000000-0006-0000-0400-000022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9" authorId="0" shapeId="0" xr:uid="{00000000-0006-0000-0400-000023010000}">
      <text>
        <r>
          <rPr>
            <sz val="8"/>
            <color indexed="81"/>
            <rFont val="Tahoma"/>
            <family val="2"/>
          </rPr>
          <t xml:space="preserve">Minimum Height/Drop is 300mm.
Maximum Height/Drop is 3000mm. </t>
        </r>
      </text>
    </comment>
    <comment ref="H29" authorId="0" shapeId="0" xr:uid="{00000000-0006-0000-0400-000024010000}">
      <text>
        <r>
          <rPr>
            <sz val="8"/>
            <color indexed="81"/>
            <rFont val="Tahoma"/>
            <family val="2"/>
          </rPr>
          <t>When selecting a
Corner or Bay 
Window Type, 
the 
CMB Corner WS 
or 
CMB Bay WS 
must be completed.</t>
        </r>
      </text>
    </comment>
    <comment ref="J29" authorId="0" shapeId="0" xr:uid="{00000000-0006-0000-0400-000025010000}">
      <text>
        <r>
          <rPr>
            <sz val="8"/>
            <color indexed="81"/>
            <rFont val="Tahoma"/>
            <family val="2"/>
          </rPr>
          <t>ACT 
Actual Measurements
You have made the allowances.
NAM
No Allowances Made 
The factory will make the deductions.</t>
        </r>
      </text>
    </comment>
    <comment ref="M29" authorId="0" shapeId="0" xr:uid="{00000000-0006-0000-0400-000026010000}">
      <text>
        <r>
          <rPr>
            <sz val="8"/>
            <color indexed="81"/>
            <rFont val="Tahoma"/>
            <family val="2"/>
          </rPr>
          <t xml:space="preserve">
Bottom Rail Colour options;
Clear Anodised
Metallic Black
Mocha
White
White Birch</t>
        </r>
      </text>
    </comment>
    <comment ref="O29" authorId="0" shapeId="0" xr:uid="{00000000-0006-0000-0400-000027010000}">
      <text>
        <r>
          <rPr>
            <sz val="8"/>
            <color indexed="81"/>
            <rFont val="Tahoma"/>
            <family val="2"/>
          </rPr>
          <t>Control Options are;
Left
Right
When Bracket Type is Link Together, 
Left or Right can only be selected once per Linked Set.</t>
        </r>
      </text>
    </comment>
    <comment ref="Q29" authorId="0" shapeId="0" xr:uid="{00000000-0006-0000-0400-000028010000}">
      <text>
        <r>
          <rPr>
            <sz val="8"/>
            <color indexed="81"/>
            <rFont val="Tahoma"/>
            <family val="2"/>
          </rPr>
          <t>Chain Length options are; 
Default
500mm
750mm
1000mm
1250mm
1500mm
2000mm</t>
        </r>
      </text>
    </comment>
    <comment ref="R29" authorId="0" shapeId="0" xr:uid="{00000000-0006-0000-0400-000029010000}">
      <text>
        <r>
          <rPr>
            <sz val="8"/>
            <color indexed="81"/>
            <rFont val="Tahoma"/>
            <family val="2"/>
          </rPr>
          <t>Chain Colour options are; 
White
White Birch
Black
Nickel Plated Brass
Stainless Steel</t>
        </r>
      </text>
    </comment>
    <comment ref="S29" authorId="0" shapeId="0" xr:uid="{00000000-0006-0000-0400-00002A010000}">
      <text>
        <r>
          <rPr>
            <sz val="8"/>
            <color indexed="81"/>
            <rFont val="Tahoma"/>
            <family val="2"/>
          </rPr>
          <t>When
 Standard or Common 
is selected the 
Pelmet Colour 
must be entered.</t>
        </r>
      </text>
    </comment>
    <comment ref="W29" authorId="0" shapeId="0" xr:uid="{00000000-0006-0000-0400-00002B010000}">
      <text>
        <r>
          <rPr>
            <sz val="8"/>
            <color indexed="81"/>
            <rFont val="Tahoma"/>
            <family val="2"/>
          </rPr>
          <t>Bracket Options include:
All other options;
Standard
Double
Link
Double Link</t>
        </r>
      </text>
    </comment>
    <comment ref="X29" authorId="0" shapeId="0" xr:uid="{00000000-0006-0000-0400-00002C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30" authorId="0" shapeId="0" xr:uid="{00000000-0006-0000-0400-00002D010000}">
      <text>
        <r>
          <rPr>
            <sz val="8"/>
            <color indexed="81"/>
            <rFont val="Tahoma"/>
            <family val="2"/>
          </rPr>
          <t>Products options are;
London
Maui
Paris
Sunscreen</t>
        </r>
      </text>
    </comment>
    <comment ref="E30" authorId="0" shapeId="0" xr:uid="{00000000-0006-0000-0400-00002E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30" authorId="0" shapeId="0" xr:uid="{00000000-0006-0000-0400-00002F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0" authorId="0" shapeId="0" xr:uid="{00000000-0006-0000-0400-000030010000}">
      <text>
        <r>
          <rPr>
            <sz val="8"/>
            <color indexed="81"/>
            <rFont val="Tahoma"/>
            <family val="2"/>
          </rPr>
          <t xml:space="preserve">Minimum Height/Drop is 300mm.
Maximum Height/Drop is 3000mm. </t>
        </r>
      </text>
    </comment>
    <comment ref="H30" authorId="0" shapeId="0" xr:uid="{00000000-0006-0000-0400-000031010000}">
      <text>
        <r>
          <rPr>
            <sz val="8"/>
            <color indexed="81"/>
            <rFont val="Tahoma"/>
            <family val="2"/>
          </rPr>
          <t>When selecting a
Corner or Bay 
Window Type, 
the 
CMB Corner WS 
or 
CMB Bay WS 
must be completed.</t>
        </r>
      </text>
    </comment>
    <comment ref="J30" authorId="0" shapeId="0" xr:uid="{00000000-0006-0000-0400-000032010000}">
      <text>
        <r>
          <rPr>
            <sz val="8"/>
            <color indexed="81"/>
            <rFont val="Tahoma"/>
            <family val="2"/>
          </rPr>
          <t>ACT 
Actual Measurements
You have made the allowances.
NAM
No Allowances Made 
The factory will make the deductions.</t>
        </r>
      </text>
    </comment>
    <comment ref="M30" authorId="0" shapeId="0" xr:uid="{00000000-0006-0000-0400-000033010000}">
      <text>
        <r>
          <rPr>
            <sz val="8"/>
            <color indexed="81"/>
            <rFont val="Tahoma"/>
            <family val="2"/>
          </rPr>
          <t xml:space="preserve">
Bottom Rail Colour options;
Clear Anodised
Metallic Black
Mocha
White
White Birch</t>
        </r>
      </text>
    </comment>
    <comment ref="O30" authorId="0" shapeId="0" xr:uid="{00000000-0006-0000-0400-000034010000}">
      <text>
        <r>
          <rPr>
            <sz val="8"/>
            <color indexed="81"/>
            <rFont val="Tahoma"/>
            <family val="2"/>
          </rPr>
          <t>Control Options are;
Left
Right
When Bracket Type is Link Together, 
Left or Right can only be selected once per Linked Set.</t>
        </r>
      </text>
    </comment>
    <comment ref="Q30" authorId="0" shapeId="0" xr:uid="{00000000-0006-0000-0400-000035010000}">
      <text>
        <r>
          <rPr>
            <sz val="8"/>
            <color indexed="81"/>
            <rFont val="Tahoma"/>
            <family val="2"/>
          </rPr>
          <t>Chain Length options are; 
Default
500mm
750mm
1000mm
1250mm
1500mm
2000mm</t>
        </r>
      </text>
    </comment>
    <comment ref="R30" authorId="0" shapeId="0" xr:uid="{00000000-0006-0000-0400-000036010000}">
      <text>
        <r>
          <rPr>
            <sz val="8"/>
            <color indexed="81"/>
            <rFont val="Tahoma"/>
            <family val="2"/>
          </rPr>
          <t>Chain Colour options are; 
White
White Birch
Black
Nickel Plated Brass
Stainless Steel</t>
        </r>
      </text>
    </comment>
    <comment ref="S30" authorId="0" shapeId="0" xr:uid="{00000000-0006-0000-0400-000037010000}">
      <text>
        <r>
          <rPr>
            <sz val="8"/>
            <color indexed="81"/>
            <rFont val="Tahoma"/>
            <family val="2"/>
          </rPr>
          <t>When
 Standard or Common 
is selected the 
Pelmet Colour 
must be entered.</t>
        </r>
      </text>
    </comment>
    <comment ref="W30" authorId="0" shapeId="0" xr:uid="{00000000-0006-0000-0400-000038010000}">
      <text>
        <r>
          <rPr>
            <sz val="8"/>
            <color indexed="81"/>
            <rFont val="Tahoma"/>
            <family val="2"/>
          </rPr>
          <t>Bracket Options include:
All other options;
Standard
Double
Link
Double Link</t>
        </r>
      </text>
    </comment>
    <comment ref="X30" authorId="0" shapeId="0" xr:uid="{00000000-0006-0000-0400-000039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31" authorId="0" shapeId="0" xr:uid="{00000000-0006-0000-0400-00003A010000}">
      <text>
        <r>
          <rPr>
            <sz val="8"/>
            <color indexed="81"/>
            <rFont val="Tahoma"/>
            <family val="2"/>
          </rPr>
          <t>Products options are;
London
Maui
Paris
Sunscreen</t>
        </r>
      </text>
    </comment>
    <comment ref="E31" authorId="0" shapeId="0" xr:uid="{00000000-0006-0000-0400-00003B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31" authorId="0" shapeId="0" xr:uid="{00000000-0006-0000-0400-00003C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1" authorId="0" shapeId="0" xr:uid="{00000000-0006-0000-0400-00003D010000}">
      <text>
        <r>
          <rPr>
            <sz val="8"/>
            <color indexed="81"/>
            <rFont val="Tahoma"/>
            <family val="2"/>
          </rPr>
          <t xml:space="preserve">Minimum Height/Drop is 300mm.
Maximum Height/Drop is 3000mm. </t>
        </r>
      </text>
    </comment>
    <comment ref="H31" authorId="0" shapeId="0" xr:uid="{00000000-0006-0000-0400-00003E010000}">
      <text>
        <r>
          <rPr>
            <sz val="8"/>
            <color indexed="81"/>
            <rFont val="Tahoma"/>
            <family val="2"/>
          </rPr>
          <t>When selecting a
Corner or Bay 
Window Type, 
the 
CMB Corner WS 
or 
CMB Bay WS 
must be completed.</t>
        </r>
      </text>
    </comment>
    <comment ref="J31" authorId="0" shapeId="0" xr:uid="{00000000-0006-0000-0400-00003F010000}">
      <text>
        <r>
          <rPr>
            <sz val="8"/>
            <color indexed="81"/>
            <rFont val="Tahoma"/>
            <family val="2"/>
          </rPr>
          <t>ACT 
Actual Measurements
You have made the allowances.
NAM
No Allowances Made 
The factory will make the deductions.</t>
        </r>
      </text>
    </comment>
    <comment ref="M31" authorId="0" shapeId="0" xr:uid="{00000000-0006-0000-0400-000040010000}">
      <text>
        <r>
          <rPr>
            <sz val="8"/>
            <color indexed="81"/>
            <rFont val="Tahoma"/>
            <family val="2"/>
          </rPr>
          <t xml:space="preserve">
Bottom Rail Colour options;
Clear Anodised
Metallic Black
Mocha
White
White Birch</t>
        </r>
      </text>
    </comment>
    <comment ref="O31" authorId="0" shapeId="0" xr:uid="{00000000-0006-0000-0400-000041010000}">
      <text>
        <r>
          <rPr>
            <sz val="8"/>
            <color indexed="81"/>
            <rFont val="Tahoma"/>
            <family val="2"/>
          </rPr>
          <t>Control Options are;
Left
Right
When Bracket Type is Link Together, 
Left or Right can only be selected once per Linked Set.</t>
        </r>
      </text>
    </comment>
    <comment ref="Q31" authorId="0" shapeId="0" xr:uid="{00000000-0006-0000-0400-000042010000}">
      <text>
        <r>
          <rPr>
            <sz val="8"/>
            <color indexed="81"/>
            <rFont val="Tahoma"/>
            <family val="2"/>
          </rPr>
          <t>Chain Length options are; 
Default
500mm
750mm
1000mm
1250mm
1500mm
2000mm</t>
        </r>
      </text>
    </comment>
    <comment ref="R31" authorId="0" shapeId="0" xr:uid="{00000000-0006-0000-0400-000043010000}">
      <text>
        <r>
          <rPr>
            <sz val="8"/>
            <color indexed="81"/>
            <rFont val="Tahoma"/>
            <family val="2"/>
          </rPr>
          <t>Chain Colour options are; 
White
White Birch
Black
Nickel Plated Brass
Stainless Steel</t>
        </r>
      </text>
    </comment>
    <comment ref="S31" authorId="0" shapeId="0" xr:uid="{00000000-0006-0000-0400-000044010000}">
      <text>
        <r>
          <rPr>
            <sz val="8"/>
            <color indexed="81"/>
            <rFont val="Tahoma"/>
            <family val="2"/>
          </rPr>
          <t>When
 Standard or Common 
is selected the 
Pelmet Colour 
must be entered.</t>
        </r>
      </text>
    </comment>
    <comment ref="W31" authorId="0" shapeId="0" xr:uid="{00000000-0006-0000-0400-000045010000}">
      <text>
        <r>
          <rPr>
            <sz val="8"/>
            <color indexed="81"/>
            <rFont val="Tahoma"/>
            <family val="2"/>
          </rPr>
          <t>Bracket Options include:
All other options;
Standard
Double
Link
Double Link</t>
        </r>
      </text>
    </comment>
    <comment ref="X31" authorId="0" shapeId="0" xr:uid="{00000000-0006-0000-0400-000046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32" authorId="0" shapeId="0" xr:uid="{00000000-0006-0000-0400-000047010000}">
      <text>
        <r>
          <rPr>
            <sz val="8"/>
            <color indexed="81"/>
            <rFont val="Tahoma"/>
            <family val="2"/>
          </rPr>
          <t>Products options are;
London
Maui
Paris
Sunscreen</t>
        </r>
      </text>
    </comment>
    <comment ref="E32" authorId="0" shapeId="0" xr:uid="{00000000-0006-0000-0400-000048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32" authorId="0" shapeId="0" xr:uid="{00000000-0006-0000-0400-000049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2" authorId="0" shapeId="0" xr:uid="{00000000-0006-0000-0400-00004A010000}">
      <text>
        <r>
          <rPr>
            <sz val="8"/>
            <color indexed="81"/>
            <rFont val="Tahoma"/>
            <family val="2"/>
          </rPr>
          <t xml:space="preserve">Minimum Height/Drop is 300mm.
Maximum Height/Drop is 3000mm. </t>
        </r>
      </text>
    </comment>
    <comment ref="H32" authorId="0" shapeId="0" xr:uid="{00000000-0006-0000-0400-00004B010000}">
      <text>
        <r>
          <rPr>
            <sz val="8"/>
            <color indexed="81"/>
            <rFont val="Tahoma"/>
            <family val="2"/>
          </rPr>
          <t>When selecting a
Corner or Bay 
Window Type, 
the 
CMB Corner WS 
or 
CMB Bay WS 
must be completed.</t>
        </r>
      </text>
    </comment>
    <comment ref="J32" authorId="0" shapeId="0" xr:uid="{00000000-0006-0000-0400-00004C010000}">
      <text>
        <r>
          <rPr>
            <sz val="8"/>
            <color indexed="81"/>
            <rFont val="Tahoma"/>
            <family val="2"/>
          </rPr>
          <t>ACT 
Actual Measurements
You have made the allowances.
NAM
No Allowances Made 
The factory will make the deductions.</t>
        </r>
      </text>
    </comment>
    <comment ref="M32" authorId="0" shapeId="0" xr:uid="{00000000-0006-0000-0400-00004D010000}">
      <text>
        <r>
          <rPr>
            <sz val="8"/>
            <color indexed="81"/>
            <rFont val="Tahoma"/>
            <family val="2"/>
          </rPr>
          <t xml:space="preserve">
Bottom Rail Colour options;
Clear Anodised
Metallic Black
Mocha
White
White Birch</t>
        </r>
      </text>
    </comment>
    <comment ref="O32" authorId="0" shapeId="0" xr:uid="{00000000-0006-0000-0400-00004E010000}">
      <text>
        <r>
          <rPr>
            <sz val="8"/>
            <color indexed="81"/>
            <rFont val="Tahoma"/>
            <family val="2"/>
          </rPr>
          <t>Control Options are;
Left
Right
When Bracket Type is Link Together, 
Left or Right can only be selected once per Linked Set.</t>
        </r>
      </text>
    </comment>
    <comment ref="Q32" authorId="0" shapeId="0" xr:uid="{00000000-0006-0000-0400-00004F010000}">
      <text>
        <r>
          <rPr>
            <sz val="8"/>
            <color indexed="81"/>
            <rFont val="Tahoma"/>
            <family val="2"/>
          </rPr>
          <t>Chain Length options are; 
Default
500mm
750mm
1000mm
1250mm
1500mm
2000mm</t>
        </r>
      </text>
    </comment>
    <comment ref="R32" authorId="0" shapeId="0" xr:uid="{00000000-0006-0000-0400-000050010000}">
      <text>
        <r>
          <rPr>
            <sz val="8"/>
            <color indexed="81"/>
            <rFont val="Tahoma"/>
            <family val="2"/>
          </rPr>
          <t>Chain Colour options are; 
White
White Birch
Black
Nickel Plated Brass
Stainless Steel</t>
        </r>
      </text>
    </comment>
    <comment ref="S32" authorId="0" shapeId="0" xr:uid="{00000000-0006-0000-0400-000051010000}">
      <text>
        <r>
          <rPr>
            <sz val="8"/>
            <color indexed="81"/>
            <rFont val="Tahoma"/>
            <family val="2"/>
          </rPr>
          <t>When
 Standard or Common 
is selected the 
Pelmet Colour 
must be entered.</t>
        </r>
      </text>
    </comment>
    <comment ref="W32" authorId="0" shapeId="0" xr:uid="{00000000-0006-0000-0400-000052010000}">
      <text>
        <r>
          <rPr>
            <sz val="8"/>
            <color indexed="81"/>
            <rFont val="Tahoma"/>
            <family val="2"/>
          </rPr>
          <t>Bracket Options include:
All other options;
Standard
Double
Link
Double Link</t>
        </r>
      </text>
    </comment>
    <comment ref="X32" authorId="0" shapeId="0" xr:uid="{00000000-0006-0000-0400-000053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33" authorId="0" shapeId="0" xr:uid="{00000000-0006-0000-0400-000054010000}">
      <text>
        <r>
          <rPr>
            <sz val="8"/>
            <color indexed="81"/>
            <rFont val="Tahoma"/>
            <family val="2"/>
          </rPr>
          <t>Products options are;
London
Maui
Paris
Sunscreen</t>
        </r>
      </text>
    </comment>
    <comment ref="E33" authorId="0" shapeId="0" xr:uid="{00000000-0006-0000-0400-000055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33" authorId="0" shapeId="0" xr:uid="{00000000-0006-0000-0400-000056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3" authorId="0" shapeId="0" xr:uid="{00000000-0006-0000-0400-000057010000}">
      <text>
        <r>
          <rPr>
            <sz val="8"/>
            <color indexed="81"/>
            <rFont val="Tahoma"/>
            <family val="2"/>
          </rPr>
          <t xml:space="preserve">Minimum Height/Drop is 300mm.
Maximum Height/Drop is 3000mm. </t>
        </r>
      </text>
    </comment>
    <comment ref="H33" authorId="0" shapeId="0" xr:uid="{00000000-0006-0000-0400-000058010000}">
      <text>
        <r>
          <rPr>
            <sz val="8"/>
            <color indexed="81"/>
            <rFont val="Tahoma"/>
            <family val="2"/>
          </rPr>
          <t>When selecting a
Corner or Bay 
Window Type, 
the 
CMB Corner WS 
or 
CMB Bay WS 
must be completed.</t>
        </r>
      </text>
    </comment>
    <comment ref="J33" authorId="0" shapeId="0" xr:uid="{00000000-0006-0000-0400-000059010000}">
      <text>
        <r>
          <rPr>
            <sz val="8"/>
            <color indexed="81"/>
            <rFont val="Tahoma"/>
            <family val="2"/>
          </rPr>
          <t>ACT 
Actual Measurements
You have made the allowances.
NAM
No Allowances Made 
The factory will make the deductions.</t>
        </r>
      </text>
    </comment>
    <comment ref="M33" authorId="0" shapeId="0" xr:uid="{00000000-0006-0000-0400-00005A010000}">
      <text>
        <r>
          <rPr>
            <sz val="8"/>
            <color indexed="81"/>
            <rFont val="Tahoma"/>
            <family val="2"/>
          </rPr>
          <t xml:space="preserve">
Bottom Rail Colour options;
Clear Anodised
Metallic Black
Mocha
White
White Birch</t>
        </r>
      </text>
    </comment>
    <comment ref="O33" authorId="0" shapeId="0" xr:uid="{00000000-0006-0000-0400-00005B010000}">
      <text>
        <r>
          <rPr>
            <sz val="8"/>
            <color indexed="81"/>
            <rFont val="Tahoma"/>
            <family val="2"/>
          </rPr>
          <t>Control Options are;
Left
Right
When Bracket Type is Link Together, 
Left or Right can only be selected once per Linked Set.</t>
        </r>
      </text>
    </comment>
    <comment ref="Q33" authorId="0" shapeId="0" xr:uid="{00000000-0006-0000-0400-00005C010000}">
      <text>
        <r>
          <rPr>
            <sz val="8"/>
            <color indexed="81"/>
            <rFont val="Tahoma"/>
            <family val="2"/>
          </rPr>
          <t>Chain Length options are; 
Default
500mm
750mm
1000mm
1250mm
1500mm
2000mm</t>
        </r>
      </text>
    </comment>
    <comment ref="R33" authorId="0" shapeId="0" xr:uid="{00000000-0006-0000-0400-00005D010000}">
      <text>
        <r>
          <rPr>
            <sz val="8"/>
            <color indexed="81"/>
            <rFont val="Tahoma"/>
            <family val="2"/>
          </rPr>
          <t>Chain Colour options are; 
White
White Birch
Black
Nickel Plated Brass
Stainless Steel</t>
        </r>
      </text>
    </comment>
    <comment ref="S33" authorId="0" shapeId="0" xr:uid="{00000000-0006-0000-0400-00005E010000}">
      <text>
        <r>
          <rPr>
            <sz val="8"/>
            <color indexed="81"/>
            <rFont val="Tahoma"/>
            <family val="2"/>
          </rPr>
          <t>When
 Standard or Common 
is selected the 
Pelmet Colour 
must be entered.</t>
        </r>
      </text>
    </comment>
    <comment ref="W33" authorId="0" shapeId="0" xr:uid="{00000000-0006-0000-0400-00005F010000}">
      <text>
        <r>
          <rPr>
            <sz val="8"/>
            <color indexed="81"/>
            <rFont val="Tahoma"/>
            <family val="2"/>
          </rPr>
          <t>Bracket Options include:
All other options;
Standard
Double
Link
Double Link</t>
        </r>
      </text>
    </comment>
    <comment ref="X33" authorId="0" shapeId="0" xr:uid="{00000000-0006-0000-0400-000060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34" authorId="0" shapeId="0" xr:uid="{00000000-0006-0000-0400-000061010000}">
      <text>
        <r>
          <rPr>
            <sz val="8"/>
            <color indexed="81"/>
            <rFont val="Tahoma"/>
            <family val="2"/>
          </rPr>
          <t>Products options are;
London
Maui
Paris
Sunscreen</t>
        </r>
      </text>
    </comment>
    <comment ref="E34" authorId="0" shapeId="0" xr:uid="{00000000-0006-0000-0400-000062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34" authorId="0" shapeId="0" xr:uid="{00000000-0006-0000-0400-000063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4" authorId="0" shapeId="0" xr:uid="{00000000-0006-0000-0400-000064010000}">
      <text>
        <r>
          <rPr>
            <sz val="8"/>
            <color indexed="81"/>
            <rFont val="Tahoma"/>
            <family val="2"/>
          </rPr>
          <t xml:space="preserve">Minimum Height/Drop is 300mm.
Maximum Height/Drop is 3000mm. </t>
        </r>
      </text>
    </comment>
    <comment ref="H34" authorId="0" shapeId="0" xr:uid="{00000000-0006-0000-0400-000065010000}">
      <text>
        <r>
          <rPr>
            <sz val="8"/>
            <color indexed="81"/>
            <rFont val="Tahoma"/>
            <family val="2"/>
          </rPr>
          <t>When selecting a
Corner or Bay 
Window Type, 
the 
CMB Corner WS 
or 
CMB Bay WS 
must be completed.</t>
        </r>
      </text>
    </comment>
    <comment ref="J34" authorId="0" shapeId="0" xr:uid="{00000000-0006-0000-0400-000066010000}">
      <text>
        <r>
          <rPr>
            <sz val="8"/>
            <color indexed="81"/>
            <rFont val="Tahoma"/>
            <family val="2"/>
          </rPr>
          <t>ACT 
Actual Measurements
You have made the allowances.
NAM
No Allowances Made 
The factory will make the deductions.</t>
        </r>
      </text>
    </comment>
    <comment ref="M34" authorId="0" shapeId="0" xr:uid="{00000000-0006-0000-0400-000067010000}">
      <text>
        <r>
          <rPr>
            <sz val="8"/>
            <color indexed="81"/>
            <rFont val="Tahoma"/>
            <family val="2"/>
          </rPr>
          <t xml:space="preserve">
Bottom Rail Colour options;
Clear Anodised
Metallic Black
Mocha
White
White Birch</t>
        </r>
      </text>
    </comment>
    <comment ref="O34" authorId="0" shapeId="0" xr:uid="{00000000-0006-0000-0400-000068010000}">
      <text>
        <r>
          <rPr>
            <sz val="8"/>
            <color indexed="81"/>
            <rFont val="Tahoma"/>
            <family val="2"/>
          </rPr>
          <t>Control Options are;
Left
Right
When Bracket Type is Link Together, 
Left or Right can only be selected once per Linked Set.</t>
        </r>
      </text>
    </comment>
    <comment ref="Q34" authorId="0" shapeId="0" xr:uid="{00000000-0006-0000-0400-000069010000}">
      <text>
        <r>
          <rPr>
            <sz val="8"/>
            <color indexed="81"/>
            <rFont val="Tahoma"/>
            <family val="2"/>
          </rPr>
          <t>Chain Length options are; 
Default
500mm
750mm
1000mm
1250mm
1500mm
2000mm</t>
        </r>
      </text>
    </comment>
    <comment ref="R34" authorId="0" shapeId="0" xr:uid="{00000000-0006-0000-0400-00006A010000}">
      <text>
        <r>
          <rPr>
            <sz val="8"/>
            <color indexed="81"/>
            <rFont val="Tahoma"/>
            <family val="2"/>
          </rPr>
          <t>Chain Colour options are; 
White
White Birch
Black
Nickel Plated Brass
Stainless Steel</t>
        </r>
      </text>
    </comment>
    <comment ref="S34" authorId="0" shapeId="0" xr:uid="{00000000-0006-0000-0400-00006B010000}">
      <text>
        <r>
          <rPr>
            <sz val="8"/>
            <color indexed="81"/>
            <rFont val="Tahoma"/>
            <family val="2"/>
          </rPr>
          <t>When
 Standard or Common 
is selected the 
Pelmet Colour 
must be entered.</t>
        </r>
      </text>
    </comment>
    <comment ref="W34" authorId="0" shapeId="0" xr:uid="{00000000-0006-0000-0400-00006C010000}">
      <text>
        <r>
          <rPr>
            <sz val="8"/>
            <color indexed="81"/>
            <rFont val="Tahoma"/>
            <family val="2"/>
          </rPr>
          <t>Bracket Options include:
All other options;
Standard
Double
Link
Double Link</t>
        </r>
      </text>
    </comment>
    <comment ref="X34" authorId="0" shapeId="0" xr:uid="{00000000-0006-0000-0400-00006D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35" authorId="0" shapeId="0" xr:uid="{00000000-0006-0000-0400-00006E010000}">
      <text>
        <r>
          <rPr>
            <sz val="8"/>
            <color indexed="81"/>
            <rFont val="Tahoma"/>
            <family val="2"/>
          </rPr>
          <t>Products options are;
London
Maui
Paris
Sunscreen</t>
        </r>
      </text>
    </comment>
    <comment ref="E35" authorId="0" shapeId="0" xr:uid="{00000000-0006-0000-0400-00006F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35" authorId="0" shapeId="0" xr:uid="{00000000-0006-0000-0400-000070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5" authorId="0" shapeId="0" xr:uid="{00000000-0006-0000-0400-000071010000}">
      <text>
        <r>
          <rPr>
            <sz val="8"/>
            <color indexed="81"/>
            <rFont val="Tahoma"/>
            <family val="2"/>
          </rPr>
          <t xml:space="preserve">Minimum Height/Drop is 300mm.
Maximum Height/Drop is 3000mm. </t>
        </r>
      </text>
    </comment>
    <comment ref="H35" authorId="0" shapeId="0" xr:uid="{00000000-0006-0000-0400-000072010000}">
      <text>
        <r>
          <rPr>
            <sz val="8"/>
            <color indexed="81"/>
            <rFont val="Tahoma"/>
            <family val="2"/>
          </rPr>
          <t>When selecting a
Corner or Bay 
Window Type, 
the 
CMB Corner WS 
or 
CMB Bay WS 
must be completed.</t>
        </r>
      </text>
    </comment>
    <comment ref="J35" authorId="0" shapeId="0" xr:uid="{00000000-0006-0000-0400-000073010000}">
      <text>
        <r>
          <rPr>
            <sz val="8"/>
            <color indexed="81"/>
            <rFont val="Tahoma"/>
            <family val="2"/>
          </rPr>
          <t>ACT 
Actual Measurements
You have made the allowances.
NAM
No Allowances Made 
The factory will make the deductions.</t>
        </r>
      </text>
    </comment>
    <comment ref="M35" authorId="0" shapeId="0" xr:uid="{00000000-0006-0000-0400-000074010000}">
      <text>
        <r>
          <rPr>
            <sz val="8"/>
            <color indexed="81"/>
            <rFont val="Tahoma"/>
            <family val="2"/>
          </rPr>
          <t xml:space="preserve">
Bottom Rail Colour options;
Clear Anodised
Metallic Black
Mocha
White
White Birch</t>
        </r>
      </text>
    </comment>
    <comment ref="O35" authorId="0" shapeId="0" xr:uid="{00000000-0006-0000-0400-000075010000}">
      <text>
        <r>
          <rPr>
            <sz val="8"/>
            <color indexed="81"/>
            <rFont val="Tahoma"/>
            <family val="2"/>
          </rPr>
          <t>Control Options are;
Left
Right
When Bracket Type is Link Together, 
Left or Right can only be selected once per Linked Set.</t>
        </r>
      </text>
    </comment>
    <comment ref="Q35" authorId="0" shapeId="0" xr:uid="{00000000-0006-0000-0400-000076010000}">
      <text>
        <r>
          <rPr>
            <sz val="8"/>
            <color indexed="81"/>
            <rFont val="Tahoma"/>
            <family val="2"/>
          </rPr>
          <t>Chain Length options are; 
Default
500mm
750mm
1000mm
1250mm
1500mm
2000mm</t>
        </r>
      </text>
    </comment>
    <comment ref="R35" authorId="0" shapeId="0" xr:uid="{00000000-0006-0000-0400-000077010000}">
      <text>
        <r>
          <rPr>
            <sz val="8"/>
            <color indexed="81"/>
            <rFont val="Tahoma"/>
            <family val="2"/>
          </rPr>
          <t>Chain Colour options are; 
White
White Birch
Black
Nickel Plated Brass
Stainless Steel</t>
        </r>
      </text>
    </comment>
    <comment ref="S35" authorId="0" shapeId="0" xr:uid="{00000000-0006-0000-0400-000078010000}">
      <text>
        <r>
          <rPr>
            <sz val="8"/>
            <color indexed="81"/>
            <rFont val="Tahoma"/>
            <family val="2"/>
          </rPr>
          <t>When
 Standard or Common 
is selected the 
Pelmet Colour 
must be entered.</t>
        </r>
      </text>
    </comment>
    <comment ref="W35" authorId="0" shapeId="0" xr:uid="{00000000-0006-0000-0400-000079010000}">
      <text>
        <r>
          <rPr>
            <sz val="8"/>
            <color indexed="81"/>
            <rFont val="Tahoma"/>
            <family val="2"/>
          </rPr>
          <t>Bracket Options include:
All other options;
Standard
Double
Link
Double Link</t>
        </r>
      </text>
    </comment>
    <comment ref="X35" authorId="0" shapeId="0" xr:uid="{00000000-0006-0000-0400-00007A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36" authorId="0" shapeId="0" xr:uid="{00000000-0006-0000-0400-00007B010000}">
      <text>
        <r>
          <rPr>
            <sz val="8"/>
            <color indexed="81"/>
            <rFont val="Tahoma"/>
            <family val="2"/>
          </rPr>
          <t>Products options are;
London
Maui
Paris
Sunscreen</t>
        </r>
      </text>
    </comment>
    <comment ref="E36" authorId="0" shapeId="0" xr:uid="{00000000-0006-0000-0400-00007C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36" authorId="0" shapeId="0" xr:uid="{00000000-0006-0000-0400-00007D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6" authorId="0" shapeId="0" xr:uid="{00000000-0006-0000-0400-00007E010000}">
      <text>
        <r>
          <rPr>
            <sz val="8"/>
            <color indexed="81"/>
            <rFont val="Tahoma"/>
            <family val="2"/>
          </rPr>
          <t xml:space="preserve">Minimum Height/Drop is 300mm.
Maximum Height/Drop is 3000mm. </t>
        </r>
      </text>
    </comment>
    <comment ref="H36" authorId="0" shapeId="0" xr:uid="{00000000-0006-0000-0400-00007F010000}">
      <text>
        <r>
          <rPr>
            <sz val="8"/>
            <color indexed="81"/>
            <rFont val="Tahoma"/>
            <family val="2"/>
          </rPr>
          <t>When selecting a
Corner or Bay 
Window Type, 
the 
CMB Corner WS 
or 
CMB Bay WS 
must be completed.</t>
        </r>
      </text>
    </comment>
    <comment ref="J36" authorId="0" shapeId="0" xr:uid="{00000000-0006-0000-0400-000080010000}">
      <text>
        <r>
          <rPr>
            <sz val="8"/>
            <color indexed="81"/>
            <rFont val="Tahoma"/>
            <family val="2"/>
          </rPr>
          <t>ACT 
Actual Measurements
You have made the allowances.
NAM
No Allowances Made 
The factory will make the deductions.</t>
        </r>
      </text>
    </comment>
    <comment ref="M36" authorId="0" shapeId="0" xr:uid="{00000000-0006-0000-0400-000081010000}">
      <text>
        <r>
          <rPr>
            <sz val="8"/>
            <color indexed="81"/>
            <rFont val="Tahoma"/>
            <family val="2"/>
          </rPr>
          <t xml:space="preserve">
Bottom Rail Colour options;
Clear Anodised
Metallic Black
Mocha
White
White Birch</t>
        </r>
      </text>
    </comment>
    <comment ref="O36" authorId="0" shapeId="0" xr:uid="{00000000-0006-0000-0400-000082010000}">
      <text>
        <r>
          <rPr>
            <sz val="8"/>
            <color indexed="81"/>
            <rFont val="Tahoma"/>
            <family val="2"/>
          </rPr>
          <t>Control Options are;
Left
Right
When Bracket Type is Link Together, 
Left or Right can only be selected once per Linked Set.</t>
        </r>
      </text>
    </comment>
    <comment ref="Q36" authorId="0" shapeId="0" xr:uid="{00000000-0006-0000-0400-000083010000}">
      <text>
        <r>
          <rPr>
            <sz val="8"/>
            <color indexed="81"/>
            <rFont val="Tahoma"/>
            <family val="2"/>
          </rPr>
          <t>Chain Length options are; 
Default
500mm
750mm
1000mm
1250mm
1500mm
2000mm</t>
        </r>
      </text>
    </comment>
    <comment ref="R36" authorId="0" shapeId="0" xr:uid="{00000000-0006-0000-0400-000084010000}">
      <text>
        <r>
          <rPr>
            <sz val="8"/>
            <color indexed="81"/>
            <rFont val="Tahoma"/>
            <family val="2"/>
          </rPr>
          <t>Chain Colour options are; 
White
White Birch
Black
Nickel Plated Brass
Stainless Steel</t>
        </r>
      </text>
    </comment>
    <comment ref="S36" authorId="0" shapeId="0" xr:uid="{00000000-0006-0000-0400-000085010000}">
      <text>
        <r>
          <rPr>
            <sz val="8"/>
            <color indexed="81"/>
            <rFont val="Tahoma"/>
            <family val="2"/>
          </rPr>
          <t>When
 Standard or Common 
is selected the 
Pelmet Colour 
must be entered.</t>
        </r>
      </text>
    </comment>
    <comment ref="W36" authorId="0" shapeId="0" xr:uid="{00000000-0006-0000-0400-000086010000}">
      <text>
        <r>
          <rPr>
            <sz val="8"/>
            <color indexed="81"/>
            <rFont val="Tahoma"/>
            <family val="2"/>
          </rPr>
          <t>Bracket Options include:
All other options;
Standard
Double
Link
Double Link</t>
        </r>
      </text>
    </comment>
    <comment ref="X36" authorId="0" shapeId="0" xr:uid="{00000000-0006-0000-0400-000087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37" authorId="0" shapeId="0" xr:uid="{00000000-0006-0000-0400-000088010000}">
      <text>
        <r>
          <rPr>
            <sz val="8"/>
            <color indexed="81"/>
            <rFont val="Tahoma"/>
            <family val="2"/>
          </rPr>
          <t>Products options are;
London
Maui
Paris
Sunscreen</t>
        </r>
      </text>
    </comment>
    <comment ref="E37" authorId="0" shapeId="0" xr:uid="{00000000-0006-0000-0400-000089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37" authorId="0" shapeId="0" xr:uid="{00000000-0006-0000-0400-00008A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7" authorId="0" shapeId="0" xr:uid="{00000000-0006-0000-0400-00008B010000}">
      <text>
        <r>
          <rPr>
            <sz val="8"/>
            <color indexed="81"/>
            <rFont val="Tahoma"/>
            <family val="2"/>
          </rPr>
          <t xml:space="preserve">Minimum Height/Drop is 300mm.
Maximum Height/Drop is 3000mm. </t>
        </r>
      </text>
    </comment>
    <comment ref="H37" authorId="0" shapeId="0" xr:uid="{00000000-0006-0000-0400-00008C010000}">
      <text>
        <r>
          <rPr>
            <sz val="8"/>
            <color indexed="81"/>
            <rFont val="Tahoma"/>
            <family val="2"/>
          </rPr>
          <t>When selecting a
Corner or Bay 
Window Type, 
the 
CMB Corner WS 
or 
CMB Bay WS 
must be completed.</t>
        </r>
      </text>
    </comment>
    <comment ref="J37" authorId="0" shapeId="0" xr:uid="{00000000-0006-0000-0400-00008D010000}">
      <text>
        <r>
          <rPr>
            <sz val="8"/>
            <color indexed="81"/>
            <rFont val="Tahoma"/>
            <family val="2"/>
          </rPr>
          <t>ACT 
Actual Measurements
You have made the allowances.
NAM
No Allowances Made 
The factory will make the deductions.</t>
        </r>
      </text>
    </comment>
    <comment ref="M37" authorId="0" shapeId="0" xr:uid="{00000000-0006-0000-0400-00008E010000}">
      <text>
        <r>
          <rPr>
            <sz val="8"/>
            <color indexed="81"/>
            <rFont val="Tahoma"/>
            <family val="2"/>
          </rPr>
          <t xml:space="preserve">
Bottom Rail Colour options;
Clear Anodised
Metallic Black
Mocha
White
White Birch</t>
        </r>
      </text>
    </comment>
    <comment ref="O37" authorId="0" shapeId="0" xr:uid="{00000000-0006-0000-0400-00008F010000}">
      <text>
        <r>
          <rPr>
            <sz val="8"/>
            <color indexed="81"/>
            <rFont val="Tahoma"/>
            <family val="2"/>
          </rPr>
          <t>Control Options are;
Left
Right
When Bracket Type is Link Together, 
Left or Right can only be selected once per Linked Set.</t>
        </r>
      </text>
    </comment>
    <comment ref="Q37" authorId="0" shapeId="0" xr:uid="{00000000-0006-0000-0400-000090010000}">
      <text>
        <r>
          <rPr>
            <sz val="8"/>
            <color indexed="81"/>
            <rFont val="Tahoma"/>
            <family val="2"/>
          </rPr>
          <t>Chain Length options are; 
Default
500mm
750mm
1000mm
1250mm
1500mm
2000mm</t>
        </r>
      </text>
    </comment>
    <comment ref="R37" authorId="0" shapeId="0" xr:uid="{00000000-0006-0000-0400-000091010000}">
      <text>
        <r>
          <rPr>
            <sz val="8"/>
            <color indexed="81"/>
            <rFont val="Tahoma"/>
            <family val="2"/>
          </rPr>
          <t>Chain Colour options are; 
White
White Birch
Black
Nickel Plated Brass
Stainless Steel</t>
        </r>
      </text>
    </comment>
    <comment ref="S37" authorId="0" shapeId="0" xr:uid="{00000000-0006-0000-0400-000092010000}">
      <text>
        <r>
          <rPr>
            <sz val="8"/>
            <color indexed="81"/>
            <rFont val="Tahoma"/>
            <family val="2"/>
          </rPr>
          <t>When
 Standard or Common 
is selected the 
Pelmet Colour 
must be entered.</t>
        </r>
      </text>
    </comment>
    <comment ref="W37" authorId="0" shapeId="0" xr:uid="{00000000-0006-0000-0400-000093010000}">
      <text>
        <r>
          <rPr>
            <sz val="8"/>
            <color indexed="81"/>
            <rFont val="Tahoma"/>
            <family val="2"/>
          </rPr>
          <t>Bracket Options include:
All other options;
Standard
Double
Link
Double Link</t>
        </r>
      </text>
    </comment>
    <comment ref="X37" authorId="0" shapeId="0" xr:uid="{00000000-0006-0000-0400-000094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38" authorId="0" shapeId="0" xr:uid="{00000000-0006-0000-0400-000095010000}">
      <text>
        <r>
          <rPr>
            <sz val="8"/>
            <color indexed="81"/>
            <rFont val="Tahoma"/>
            <family val="2"/>
          </rPr>
          <t>Products options are;
London
Maui
Paris
Sunscreen</t>
        </r>
      </text>
    </comment>
    <comment ref="E38" authorId="0" shapeId="0" xr:uid="{00000000-0006-0000-0400-000096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38" authorId="0" shapeId="0" xr:uid="{00000000-0006-0000-0400-000097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8" authorId="0" shapeId="0" xr:uid="{00000000-0006-0000-0400-000098010000}">
      <text>
        <r>
          <rPr>
            <sz val="8"/>
            <color indexed="81"/>
            <rFont val="Tahoma"/>
            <family val="2"/>
          </rPr>
          <t xml:space="preserve">Minimum Height/Drop is 300mm.
Maximum Height/Drop is 3000mm. </t>
        </r>
      </text>
    </comment>
    <comment ref="H38" authorId="0" shapeId="0" xr:uid="{00000000-0006-0000-0400-000099010000}">
      <text>
        <r>
          <rPr>
            <sz val="8"/>
            <color indexed="81"/>
            <rFont val="Tahoma"/>
            <family val="2"/>
          </rPr>
          <t>When selecting a
Corner or Bay 
Window Type, 
the 
CMB Corner WS 
or 
CMB Bay WS 
must be completed.</t>
        </r>
      </text>
    </comment>
    <comment ref="J38" authorId="0" shapeId="0" xr:uid="{00000000-0006-0000-0400-00009A010000}">
      <text>
        <r>
          <rPr>
            <sz val="8"/>
            <color indexed="81"/>
            <rFont val="Tahoma"/>
            <family val="2"/>
          </rPr>
          <t>ACT 
Actual Measurements
You have made the allowances.
NAM
No Allowances Made 
The factory will make the deductions.</t>
        </r>
      </text>
    </comment>
    <comment ref="M38" authorId="0" shapeId="0" xr:uid="{00000000-0006-0000-0400-00009B010000}">
      <text>
        <r>
          <rPr>
            <sz val="8"/>
            <color indexed="81"/>
            <rFont val="Tahoma"/>
            <family val="2"/>
          </rPr>
          <t xml:space="preserve">
Bottom Rail Colour options;
Clear Anodised
Metallic Black
Mocha
White
White Birch</t>
        </r>
      </text>
    </comment>
    <comment ref="O38" authorId="0" shapeId="0" xr:uid="{00000000-0006-0000-0400-00009C010000}">
      <text>
        <r>
          <rPr>
            <sz val="8"/>
            <color indexed="81"/>
            <rFont val="Tahoma"/>
            <family val="2"/>
          </rPr>
          <t>Control Options are;
Left
Right
When Bracket Type is Link Together, 
Left or Right can only be selected once per Linked Set.</t>
        </r>
      </text>
    </comment>
    <comment ref="Q38" authorId="0" shapeId="0" xr:uid="{00000000-0006-0000-0400-00009D010000}">
      <text>
        <r>
          <rPr>
            <sz val="8"/>
            <color indexed="81"/>
            <rFont val="Tahoma"/>
            <family val="2"/>
          </rPr>
          <t>Chain Length options are; 
Default
500mm
750mm
1000mm
1250mm
1500mm
2000mm</t>
        </r>
      </text>
    </comment>
    <comment ref="R38" authorId="0" shapeId="0" xr:uid="{00000000-0006-0000-0400-00009E010000}">
      <text>
        <r>
          <rPr>
            <sz val="8"/>
            <color indexed="81"/>
            <rFont val="Tahoma"/>
            <family val="2"/>
          </rPr>
          <t>Chain Colour options are; 
White
White Birch
Black
Nickel Plated Brass
Stainless Steel</t>
        </r>
      </text>
    </comment>
    <comment ref="S38" authorId="0" shapeId="0" xr:uid="{00000000-0006-0000-0400-00009F010000}">
      <text>
        <r>
          <rPr>
            <sz val="8"/>
            <color indexed="81"/>
            <rFont val="Tahoma"/>
            <family val="2"/>
          </rPr>
          <t>When
 Standard or Common 
is selected the 
Pelmet Colour 
must be entered.</t>
        </r>
      </text>
    </comment>
    <comment ref="W38" authorId="0" shapeId="0" xr:uid="{00000000-0006-0000-0400-0000A0010000}">
      <text>
        <r>
          <rPr>
            <sz val="8"/>
            <color indexed="81"/>
            <rFont val="Tahoma"/>
            <family val="2"/>
          </rPr>
          <t>Bracket Options include:
All other options;
Standard
Double
Link
Double Link</t>
        </r>
      </text>
    </comment>
    <comment ref="X38" authorId="0" shapeId="0" xr:uid="{00000000-0006-0000-0400-0000A1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39" authorId="0" shapeId="0" xr:uid="{00000000-0006-0000-0400-0000A2010000}">
      <text>
        <r>
          <rPr>
            <sz val="8"/>
            <color indexed="81"/>
            <rFont val="Tahoma"/>
            <family val="2"/>
          </rPr>
          <t>Products options are;
London
Maui
Paris
Sunscreen</t>
        </r>
      </text>
    </comment>
    <comment ref="E39" authorId="0" shapeId="0" xr:uid="{00000000-0006-0000-0400-0000A3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39" authorId="0" shapeId="0" xr:uid="{00000000-0006-0000-0400-0000A4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9" authorId="0" shapeId="0" xr:uid="{00000000-0006-0000-0400-0000A5010000}">
      <text>
        <r>
          <rPr>
            <sz val="8"/>
            <color indexed="81"/>
            <rFont val="Tahoma"/>
            <family val="2"/>
          </rPr>
          <t xml:space="preserve">Minimum Height/Drop is 300mm.
Maximum Height/Drop is 3000mm. </t>
        </r>
      </text>
    </comment>
    <comment ref="H39" authorId="0" shapeId="0" xr:uid="{00000000-0006-0000-0400-0000A6010000}">
      <text>
        <r>
          <rPr>
            <sz val="8"/>
            <color indexed="81"/>
            <rFont val="Tahoma"/>
            <family val="2"/>
          </rPr>
          <t>When selecting a
Corner or Bay 
Window Type, 
the 
CMB Corner WS 
or 
CMB Bay WS 
must be completed.</t>
        </r>
      </text>
    </comment>
    <comment ref="J39" authorId="0" shapeId="0" xr:uid="{00000000-0006-0000-0400-0000A7010000}">
      <text>
        <r>
          <rPr>
            <sz val="8"/>
            <color indexed="81"/>
            <rFont val="Tahoma"/>
            <family val="2"/>
          </rPr>
          <t>ACT 
Actual Measurements
You have made the allowances.
NAM
No Allowances Made 
The factory will make the deductions.</t>
        </r>
      </text>
    </comment>
    <comment ref="M39" authorId="0" shapeId="0" xr:uid="{00000000-0006-0000-0400-0000A8010000}">
      <text>
        <r>
          <rPr>
            <sz val="8"/>
            <color indexed="81"/>
            <rFont val="Tahoma"/>
            <family val="2"/>
          </rPr>
          <t xml:space="preserve">
Bottom Rail Colour options;
Clear Anodised
Metallic Black
Mocha
White
White Birch</t>
        </r>
      </text>
    </comment>
    <comment ref="O39" authorId="0" shapeId="0" xr:uid="{00000000-0006-0000-0400-0000A9010000}">
      <text>
        <r>
          <rPr>
            <sz val="8"/>
            <color indexed="81"/>
            <rFont val="Tahoma"/>
            <family val="2"/>
          </rPr>
          <t>Control Options are;
Left
Right
When Bracket Type is Link Together, 
Left or Right can only be selected once per Linked Set.</t>
        </r>
      </text>
    </comment>
    <comment ref="Q39" authorId="0" shapeId="0" xr:uid="{00000000-0006-0000-0400-0000AA010000}">
      <text>
        <r>
          <rPr>
            <sz val="8"/>
            <color indexed="81"/>
            <rFont val="Tahoma"/>
            <family val="2"/>
          </rPr>
          <t>Chain Length options are; 
Default
500mm
750mm
1000mm
1250mm
1500mm
2000mm</t>
        </r>
      </text>
    </comment>
    <comment ref="R39" authorId="0" shapeId="0" xr:uid="{00000000-0006-0000-0400-0000AB010000}">
      <text>
        <r>
          <rPr>
            <sz val="8"/>
            <color indexed="81"/>
            <rFont val="Tahoma"/>
            <family val="2"/>
          </rPr>
          <t>Chain Colour options are; 
White
White Birch
Black
Nickel Plated Brass
Stainless Steel</t>
        </r>
      </text>
    </comment>
    <comment ref="S39" authorId="0" shapeId="0" xr:uid="{00000000-0006-0000-0400-0000AC010000}">
      <text>
        <r>
          <rPr>
            <sz val="8"/>
            <color indexed="81"/>
            <rFont val="Tahoma"/>
            <family val="2"/>
          </rPr>
          <t>When
 Standard or Common 
is selected the 
Pelmet Colour 
must be entered.</t>
        </r>
      </text>
    </comment>
    <comment ref="W39" authorId="0" shapeId="0" xr:uid="{00000000-0006-0000-0400-0000AD010000}">
      <text>
        <r>
          <rPr>
            <sz val="8"/>
            <color indexed="81"/>
            <rFont val="Tahoma"/>
            <family val="2"/>
          </rPr>
          <t>Bracket Options include:
All other options;
Standard
Double
Link
Double Link</t>
        </r>
      </text>
    </comment>
    <comment ref="X39" authorId="0" shapeId="0" xr:uid="{00000000-0006-0000-0400-0000AE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40" authorId="0" shapeId="0" xr:uid="{00000000-0006-0000-0400-0000AF010000}">
      <text>
        <r>
          <rPr>
            <sz val="8"/>
            <color indexed="81"/>
            <rFont val="Tahoma"/>
            <family val="2"/>
          </rPr>
          <t>Products options are;
London
Maui
Paris
Sunscreen</t>
        </r>
      </text>
    </comment>
    <comment ref="E40" authorId="0" shapeId="0" xr:uid="{00000000-0006-0000-0400-0000B0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40" authorId="0" shapeId="0" xr:uid="{00000000-0006-0000-0400-0000B1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0" authorId="0" shapeId="0" xr:uid="{00000000-0006-0000-0400-0000B2010000}">
      <text>
        <r>
          <rPr>
            <sz val="8"/>
            <color indexed="81"/>
            <rFont val="Tahoma"/>
            <family val="2"/>
          </rPr>
          <t xml:space="preserve">Minimum Height/Drop is 300mm.
Maximum Height/Drop is 3000mm. </t>
        </r>
      </text>
    </comment>
    <comment ref="H40" authorId="0" shapeId="0" xr:uid="{00000000-0006-0000-0400-0000B3010000}">
      <text>
        <r>
          <rPr>
            <sz val="8"/>
            <color indexed="81"/>
            <rFont val="Tahoma"/>
            <family val="2"/>
          </rPr>
          <t>When selecting a
Corner or Bay 
Window Type, 
the 
CMB Corner WS 
or 
CMB Bay WS 
must be completed.</t>
        </r>
      </text>
    </comment>
    <comment ref="J40" authorId="0" shapeId="0" xr:uid="{00000000-0006-0000-0400-0000B4010000}">
      <text>
        <r>
          <rPr>
            <sz val="8"/>
            <color indexed="81"/>
            <rFont val="Tahoma"/>
            <family val="2"/>
          </rPr>
          <t>ACT 
Actual Measurements
You have made the allowances.
NAM
No Allowances Made 
The factory will make the deductions.</t>
        </r>
      </text>
    </comment>
    <comment ref="M40" authorId="0" shapeId="0" xr:uid="{00000000-0006-0000-0400-0000B5010000}">
      <text>
        <r>
          <rPr>
            <sz val="8"/>
            <color indexed="81"/>
            <rFont val="Tahoma"/>
            <family val="2"/>
          </rPr>
          <t xml:space="preserve">
Bottom Rail Colour options;
Clear Anodised
Metallic Black
Mocha
White
White Birch</t>
        </r>
      </text>
    </comment>
    <comment ref="O40" authorId="0" shapeId="0" xr:uid="{00000000-0006-0000-0400-0000B6010000}">
      <text>
        <r>
          <rPr>
            <sz val="8"/>
            <color indexed="81"/>
            <rFont val="Tahoma"/>
            <family val="2"/>
          </rPr>
          <t>Control Options are;
Left
Right
When Bracket Type is Link Together, 
Left or Right can only be selected once per Linked Set.</t>
        </r>
      </text>
    </comment>
    <comment ref="Q40" authorId="0" shapeId="0" xr:uid="{00000000-0006-0000-0400-0000B7010000}">
      <text>
        <r>
          <rPr>
            <sz val="8"/>
            <color indexed="81"/>
            <rFont val="Tahoma"/>
            <family val="2"/>
          </rPr>
          <t>Chain Length options are; 
Default
500mm
750mm
1000mm
1250mm
1500mm
2000mm</t>
        </r>
      </text>
    </comment>
    <comment ref="R40" authorId="0" shapeId="0" xr:uid="{00000000-0006-0000-0400-0000B8010000}">
      <text>
        <r>
          <rPr>
            <sz val="8"/>
            <color indexed="81"/>
            <rFont val="Tahoma"/>
            <family val="2"/>
          </rPr>
          <t>Chain Colour options are; 
White
White Birch
Black
Nickel Plated Brass
Stainless Steel</t>
        </r>
      </text>
    </comment>
    <comment ref="S40" authorId="0" shapeId="0" xr:uid="{00000000-0006-0000-0400-0000B9010000}">
      <text>
        <r>
          <rPr>
            <sz val="8"/>
            <color indexed="81"/>
            <rFont val="Tahoma"/>
            <family val="2"/>
          </rPr>
          <t>When
 Standard or Common 
is selected the 
Pelmet Colour 
must be entered.</t>
        </r>
      </text>
    </comment>
    <comment ref="W40" authorId="0" shapeId="0" xr:uid="{00000000-0006-0000-0400-0000BA010000}">
      <text>
        <r>
          <rPr>
            <sz val="8"/>
            <color indexed="81"/>
            <rFont val="Tahoma"/>
            <family val="2"/>
          </rPr>
          <t>Bracket Options include:
All other options;
Standard
Double
Link
Double Link</t>
        </r>
      </text>
    </comment>
    <comment ref="X40" authorId="0" shapeId="0" xr:uid="{00000000-0006-0000-0400-0000BB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41" authorId="0" shapeId="0" xr:uid="{00000000-0006-0000-0400-0000BC010000}">
      <text>
        <r>
          <rPr>
            <sz val="8"/>
            <color indexed="81"/>
            <rFont val="Tahoma"/>
            <family val="2"/>
          </rPr>
          <t>Products options are;
London
Maui
Paris
Sunscreen</t>
        </r>
      </text>
    </comment>
    <comment ref="E41" authorId="0" shapeId="0" xr:uid="{00000000-0006-0000-0400-0000BD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41" authorId="0" shapeId="0" xr:uid="{00000000-0006-0000-0400-0000BE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1" authorId="0" shapeId="0" xr:uid="{00000000-0006-0000-0400-0000BF010000}">
      <text>
        <r>
          <rPr>
            <sz val="8"/>
            <color indexed="81"/>
            <rFont val="Tahoma"/>
            <family val="2"/>
          </rPr>
          <t xml:space="preserve">Minimum Height/Drop is 300mm.
Maximum Height/Drop is 3000mm. </t>
        </r>
      </text>
    </comment>
    <comment ref="H41" authorId="0" shapeId="0" xr:uid="{00000000-0006-0000-0400-0000C0010000}">
      <text>
        <r>
          <rPr>
            <sz val="8"/>
            <color indexed="81"/>
            <rFont val="Tahoma"/>
            <family val="2"/>
          </rPr>
          <t>When selecting a
Corner or Bay 
Window Type, 
the 
CMB Corner WS 
or 
CMB Bay WS 
must be completed.</t>
        </r>
      </text>
    </comment>
    <comment ref="J41" authorId="0" shapeId="0" xr:uid="{00000000-0006-0000-0400-0000C1010000}">
      <text>
        <r>
          <rPr>
            <sz val="8"/>
            <color indexed="81"/>
            <rFont val="Tahoma"/>
            <family val="2"/>
          </rPr>
          <t>ACT 
Actual Measurements
You have made the allowances.
NAM
No Allowances Made 
The factory will make the deductions.</t>
        </r>
      </text>
    </comment>
    <comment ref="M41" authorId="0" shapeId="0" xr:uid="{00000000-0006-0000-0400-0000C2010000}">
      <text>
        <r>
          <rPr>
            <sz val="8"/>
            <color indexed="81"/>
            <rFont val="Tahoma"/>
            <family val="2"/>
          </rPr>
          <t xml:space="preserve">
Bottom Rail Colour options;
Clear Anodised
Metallic Black
Mocha
White
White Birch</t>
        </r>
      </text>
    </comment>
    <comment ref="O41" authorId="0" shapeId="0" xr:uid="{00000000-0006-0000-0400-0000C3010000}">
      <text>
        <r>
          <rPr>
            <sz val="8"/>
            <color indexed="81"/>
            <rFont val="Tahoma"/>
            <family val="2"/>
          </rPr>
          <t>Control Options are;
Left
Right
When Bracket Type is Link Together, 
Left or Right can only be selected once per Linked Set.</t>
        </r>
      </text>
    </comment>
    <comment ref="Q41" authorId="0" shapeId="0" xr:uid="{00000000-0006-0000-0400-0000C4010000}">
      <text>
        <r>
          <rPr>
            <sz val="8"/>
            <color indexed="81"/>
            <rFont val="Tahoma"/>
            <family val="2"/>
          </rPr>
          <t>Chain Length options are; 
Default
500mm
750mm
1000mm
1250mm
1500mm
2000mm</t>
        </r>
      </text>
    </comment>
    <comment ref="R41" authorId="0" shapeId="0" xr:uid="{00000000-0006-0000-0400-0000C5010000}">
      <text>
        <r>
          <rPr>
            <sz val="8"/>
            <color indexed="81"/>
            <rFont val="Tahoma"/>
            <family val="2"/>
          </rPr>
          <t>Chain Colour options are; 
White
White Birch
Black
Nickel Plated Brass
Stainless Steel</t>
        </r>
      </text>
    </comment>
    <comment ref="S41" authorId="0" shapeId="0" xr:uid="{00000000-0006-0000-0400-0000C6010000}">
      <text>
        <r>
          <rPr>
            <sz val="8"/>
            <color indexed="81"/>
            <rFont val="Tahoma"/>
            <family val="2"/>
          </rPr>
          <t>When
 Standard or Common 
is selected the 
Pelmet Colour 
must be entered.</t>
        </r>
      </text>
    </comment>
    <comment ref="W41" authorId="0" shapeId="0" xr:uid="{00000000-0006-0000-0400-0000C7010000}">
      <text>
        <r>
          <rPr>
            <sz val="8"/>
            <color indexed="81"/>
            <rFont val="Tahoma"/>
            <family val="2"/>
          </rPr>
          <t>Bracket Options include:
All other options;
Standard
Double
Link
Double Link</t>
        </r>
      </text>
    </comment>
    <comment ref="X41" authorId="0" shapeId="0" xr:uid="{00000000-0006-0000-0400-0000C8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42" authorId="0" shapeId="0" xr:uid="{00000000-0006-0000-0400-0000C9010000}">
      <text>
        <r>
          <rPr>
            <sz val="8"/>
            <color indexed="81"/>
            <rFont val="Tahoma"/>
            <family val="2"/>
          </rPr>
          <t>Products options are;
London
Maui
Paris
Sunscreen</t>
        </r>
      </text>
    </comment>
    <comment ref="E42" authorId="0" shapeId="0" xr:uid="{00000000-0006-0000-0400-0000CA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42" authorId="0" shapeId="0" xr:uid="{00000000-0006-0000-0400-0000CB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2" authorId="0" shapeId="0" xr:uid="{00000000-0006-0000-0400-0000CC010000}">
      <text>
        <r>
          <rPr>
            <sz val="8"/>
            <color indexed="81"/>
            <rFont val="Tahoma"/>
            <family val="2"/>
          </rPr>
          <t xml:space="preserve">Minimum Height/Drop is 300mm.
Maximum Height/Drop is 3000mm. </t>
        </r>
      </text>
    </comment>
    <comment ref="H42" authorId="0" shapeId="0" xr:uid="{00000000-0006-0000-0400-0000CD010000}">
      <text>
        <r>
          <rPr>
            <sz val="8"/>
            <color indexed="81"/>
            <rFont val="Tahoma"/>
            <family val="2"/>
          </rPr>
          <t>When selecting a
Corner or Bay 
Window Type, 
the 
CMB Corner WS 
or 
CMB Bay WS 
must be completed.</t>
        </r>
      </text>
    </comment>
    <comment ref="J42" authorId="0" shapeId="0" xr:uid="{00000000-0006-0000-0400-0000CE010000}">
      <text>
        <r>
          <rPr>
            <sz val="8"/>
            <color indexed="81"/>
            <rFont val="Tahoma"/>
            <family val="2"/>
          </rPr>
          <t>ACT 
Actual Measurements
You have made the allowances.
NAM
No Allowances Made 
The factory will make the deductions.</t>
        </r>
      </text>
    </comment>
    <comment ref="M42" authorId="0" shapeId="0" xr:uid="{00000000-0006-0000-0400-0000CF010000}">
      <text>
        <r>
          <rPr>
            <sz val="8"/>
            <color indexed="81"/>
            <rFont val="Tahoma"/>
            <family val="2"/>
          </rPr>
          <t xml:space="preserve">
Bottom Rail Colour options;
Clear Anodised
Metallic Black
Mocha
White
White Birch</t>
        </r>
      </text>
    </comment>
    <comment ref="O42" authorId="0" shapeId="0" xr:uid="{00000000-0006-0000-0400-0000D0010000}">
      <text>
        <r>
          <rPr>
            <sz val="8"/>
            <color indexed="81"/>
            <rFont val="Tahoma"/>
            <family val="2"/>
          </rPr>
          <t>Control Options are;
Left
Right
When Bracket Type is Link Together, 
Left or Right can only be selected once per Linked Set.</t>
        </r>
      </text>
    </comment>
    <comment ref="Q42" authorId="0" shapeId="0" xr:uid="{00000000-0006-0000-0400-0000D1010000}">
      <text>
        <r>
          <rPr>
            <sz val="8"/>
            <color indexed="81"/>
            <rFont val="Tahoma"/>
            <family val="2"/>
          </rPr>
          <t>Chain Length options are; 
Default
500mm
750mm
1000mm
1250mm
1500mm
2000mm</t>
        </r>
      </text>
    </comment>
    <comment ref="R42" authorId="0" shapeId="0" xr:uid="{00000000-0006-0000-0400-0000D2010000}">
      <text>
        <r>
          <rPr>
            <sz val="8"/>
            <color indexed="81"/>
            <rFont val="Tahoma"/>
            <family val="2"/>
          </rPr>
          <t>Chain Colour options are; 
White
White Birch
Black
Nickel Plated Brass
Stainless Steel</t>
        </r>
      </text>
    </comment>
    <comment ref="S42" authorId="0" shapeId="0" xr:uid="{00000000-0006-0000-0400-0000D3010000}">
      <text>
        <r>
          <rPr>
            <sz val="8"/>
            <color indexed="81"/>
            <rFont val="Tahoma"/>
            <family val="2"/>
          </rPr>
          <t>When
 Standard or Common 
is selected the 
Pelmet Colour 
must be entered.</t>
        </r>
      </text>
    </comment>
    <comment ref="W42" authorId="0" shapeId="0" xr:uid="{00000000-0006-0000-0400-0000D4010000}">
      <text>
        <r>
          <rPr>
            <sz val="8"/>
            <color indexed="81"/>
            <rFont val="Tahoma"/>
            <family val="2"/>
          </rPr>
          <t>Bracket Options include:
All other options;
Standard
Double
Link
Double Link</t>
        </r>
      </text>
    </comment>
    <comment ref="X42" authorId="0" shapeId="0" xr:uid="{00000000-0006-0000-0400-0000D5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43" authorId="0" shapeId="0" xr:uid="{00000000-0006-0000-0400-0000D6010000}">
      <text>
        <r>
          <rPr>
            <sz val="8"/>
            <color indexed="81"/>
            <rFont val="Tahoma"/>
            <family val="2"/>
          </rPr>
          <t>Products options are;
London
Maui
Paris
Sunscreen</t>
        </r>
      </text>
    </comment>
    <comment ref="E43" authorId="0" shapeId="0" xr:uid="{00000000-0006-0000-0400-0000D7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43" authorId="0" shapeId="0" xr:uid="{00000000-0006-0000-0400-0000D8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3" authorId="0" shapeId="0" xr:uid="{00000000-0006-0000-0400-0000D9010000}">
      <text>
        <r>
          <rPr>
            <sz val="8"/>
            <color indexed="81"/>
            <rFont val="Tahoma"/>
            <family val="2"/>
          </rPr>
          <t xml:space="preserve">Minimum Height/Drop is 300mm.
Maximum Height/Drop is 3000mm. </t>
        </r>
      </text>
    </comment>
    <comment ref="H43" authorId="0" shapeId="0" xr:uid="{00000000-0006-0000-0400-0000DA010000}">
      <text>
        <r>
          <rPr>
            <sz val="8"/>
            <color indexed="81"/>
            <rFont val="Tahoma"/>
            <family val="2"/>
          </rPr>
          <t>When selecting a
Corner or Bay 
Window Type, 
the 
CMB Corner WS 
or 
CMB Bay WS 
must be completed.</t>
        </r>
      </text>
    </comment>
    <comment ref="J43" authorId="0" shapeId="0" xr:uid="{00000000-0006-0000-0400-0000DB010000}">
      <text>
        <r>
          <rPr>
            <sz val="8"/>
            <color indexed="81"/>
            <rFont val="Tahoma"/>
            <family val="2"/>
          </rPr>
          <t>ACT 
Actual Measurements
You have made the allowances.
NAM
No Allowances Made 
The factory will make the deductions.</t>
        </r>
      </text>
    </comment>
    <comment ref="M43" authorId="0" shapeId="0" xr:uid="{00000000-0006-0000-0400-0000DC010000}">
      <text>
        <r>
          <rPr>
            <sz val="8"/>
            <color indexed="81"/>
            <rFont val="Tahoma"/>
            <family val="2"/>
          </rPr>
          <t xml:space="preserve">
Bottom Rail Colour options;
Clear Anodised
Metallic Black
Mocha
White
White Birch</t>
        </r>
      </text>
    </comment>
    <comment ref="O43" authorId="0" shapeId="0" xr:uid="{00000000-0006-0000-0400-0000DD010000}">
      <text>
        <r>
          <rPr>
            <sz val="8"/>
            <color indexed="81"/>
            <rFont val="Tahoma"/>
            <family val="2"/>
          </rPr>
          <t>Control Options are;
Left
Right
When Bracket Type is Link Together, 
Left or Right can only be selected once per Linked Set.</t>
        </r>
      </text>
    </comment>
    <comment ref="Q43" authorId="0" shapeId="0" xr:uid="{00000000-0006-0000-0400-0000DE010000}">
      <text>
        <r>
          <rPr>
            <sz val="8"/>
            <color indexed="81"/>
            <rFont val="Tahoma"/>
            <family val="2"/>
          </rPr>
          <t>Chain Length options are; 
Default
500mm
750mm
1000mm
1250mm
1500mm
2000mm</t>
        </r>
      </text>
    </comment>
    <comment ref="R43" authorId="0" shapeId="0" xr:uid="{00000000-0006-0000-0400-0000DF010000}">
      <text>
        <r>
          <rPr>
            <sz val="8"/>
            <color indexed="81"/>
            <rFont val="Tahoma"/>
            <family val="2"/>
          </rPr>
          <t>Chain Colour options are; 
White
White Birch
Black
Nickel Plated Brass
Stainless Steel</t>
        </r>
      </text>
    </comment>
    <comment ref="S43" authorId="0" shapeId="0" xr:uid="{00000000-0006-0000-0400-0000E0010000}">
      <text>
        <r>
          <rPr>
            <sz val="8"/>
            <color indexed="81"/>
            <rFont val="Tahoma"/>
            <family val="2"/>
          </rPr>
          <t>When
 Standard or Common 
is selected the 
Pelmet Colour 
must be entered.</t>
        </r>
      </text>
    </comment>
    <comment ref="W43" authorId="0" shapeId="0" xr:uid="{00000000-0006-0000-0400-0000E1010000}">
      <text>
        <r>
          <rPr>
            <sz val="8"/>
            <color indexed="81"/>
            <rFont val="Tahoma"/>
            <family val="2"/>
          </rPr>
          <t>Bracket Options include:
All other options;
Standard
Double
Link
Double Link</t>
        </r>
      </text>
    </comment>
    <comment ref="X43" authorId="0" shapeId="0" xr:uid="{00000000-0006-0000-0400-0000E2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44" authorId="0" shapeId="0" xr:uid="{00000000-0006-0000-0400-0000E3010000}">
      <text>
        <r>
          <rPr>
            <sz val="8"/>
            <color indexed="81"/>
            <rFont val="Tahoma"/>
            <family val="2"/>
          </rPr>
          <t>Products options are;
London
Maui
Paris
Sunscreen</t>
        </r>
      </text>
    </comment>
    <comment ref="E44" authorId="0" shapeId="0" xr:uid="{00000000-0006-0000-0400-0000E4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44" authorId="0" shapeId="0" xr:uid="{00000000-0006-0000-0400-0000E5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4" authorId="0" shapeId="0" xr:uid="{00000000-0006-0000-0400-0000E6010000}">
      <text>
        <r>
          <rPr>
            <sz val="8"/>
            <color indexed="81"/>
            <rFont val="Tahoma"/>
            <family val="2"/>
          </rPr>
          <t xml:space="preserve">Minimum Height/Drop is 300mm.
Maximum Height/Drop is 3000mm. </t>
        </r>
      </text>
    </comment>
    <comment ref="H44" authorId="0" shapeId="0" xr:uid="{00000000-0006-0000-0400-0000E7010000}">
      <text>
        <r>
          <rPr>
            <sz val="8"/>
            <color indexed="81"/>
            <rFont val="Tahoma"/>
            <family val="2"/>
          </rPr>
          <t>When selecting a
Corner or Bay 
Window Type, 
the 
CMB Corner WS 
or 
CMB Bay WS 
must be completed.</t>
        </r>
      </text>
    </comment>
    <comment ref="J44" authorId="0" shapeId="0" xr:uid="{00000000-0006-0000-0400-0000E8010000}">
      <text>
        <r>
          <rPr>
            <sz val="8"/>
            <color indexed="81"/>
            <rFont val="Tahoma"/>
            <family val="2"/>
          </rPr>
          <t>ACT 
Actual Measurements
You have made the allowances.
NAM
No Allowances Made 
The factory will make the deductions.</t>
        </r>
      </text>
    </comment>
    <comment ref="M44" authorId="0" shapeId="0" xr:uid="{00000000-0006-0000-0400-0000E9010000}">
      <text>
        <r>
          <rPr>
            <sz val="8"/>
            <color indexed="81"/>
            <rFont val="Tahoma"/>
            <family val="2"/>
          </rPr>
          <t xml:space="preserve">
Bottom Rail Colour options;
Clear Anodised
Metallic Black
Mocha
White
White Birch</t>
        </r>
      </text>
    </comment>
    <comment ref="O44" authorId="0" shapeId="0" xr:uid="{00000000-0006-0000-0400-0000EA010000}">
      <text>
        <r>
          <rPr>
            <sz val="8"/>
            <color indexed="81"/>
            <rFont val="Tahoma"/>
            <family val="2"/>
          </rPr>
          <t>Control Options are;
Left
Right
When Bracket Type is Link Together, 
Left or Right can only be selected once per Linked Set.</t>
        </r>
      </text>
    </comment>
    <comment ref="Q44" authorId="0" shapeId="0" xr:uid="{00000000-0006-0000-0400-0000EB010000}">
      <text>
        <r>
          <rPr>
            <sz val="8"/>
            <color indexed="81"/>
            <rFont val="Tahoma"/>
            <family val="2"/>
          </rPr>
          <t>Chain Length options are; 
Default
500mm
750mm
1000mm
1250mm
1500mm
2000mm</t>
        </r>
      </text>
    </comment>
    <comment ref="R44" authorId="0" shapeId="0" xr:uid="{00000000-0006-0000-0400-0000EC010000}">
      <text>
        <r>
          <rPr>
            <sz val="8"/>
            <color indexed="81"/>
            <rFont val="Tahoma"/>
            <family val="2"/>
          </rPr>
          <t>Chain Colour options are; 
White
White Birch
Black
Nickel Plated Brass
Stainless Steel</t>
        </r>
      </text>
    </comment>
    <comment ref="S44" authorId="0" shapeId="0" xr:uid="{00000000-0006-0000-0400-0000ED010000}">
      <text>
        <r>
          <rPr>
            <sz val="8"/>
            <color indexed="81"/>
            <rFont val="Tahoma"/>
            <family val="2"/>
          </rPr>
          <t>When
 Standard or Common 
is selected the 
Pelmet Colour 
must be entered.</t>
        </r>
      </text>
    </comment>
    <comment ref="W44" authorId="0" shapeId="0" xr:uid="{00000000-0006-0000-0400-0000EE010000}">
      <text>
        <r>
          <rPr>
            <sz val="8"/>
            <color indexed="81"/>
            <rFont val="Tahoma"/>
            <family val="2"/>
          </rPr>
          <t>Bracket Options include:
All other options;
Standard
Double
Link
Double Link</t>
        </r>
      </text>
    </comment>
    <comment ref="X44" authorId="0" shapeId="0" xr:uid="{00000000-0006-0000-0400-0000EF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45" authorId="0" shapeId="0" xr:uid="{00000000-0006-0000-0400-0000F0010000}">
      <text>
        <r>
          <rPr>
            <sz val="8"/>
            <color indexed="81"/>
            <rFont val="Tahoma"/>
            <family val="2"/>
          </rPr>
          <t>Products options are;
London
Maui
Paris
Sunscreen</t>
        </r>
      </text>
    </comment>
    <comment ref="E45" authorId="0" shapeId="0" xr:uid="{00000000-0006-0000-0400-0000F1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45" authorId="0" shapeId="0" xr:uid="{00000000-0006-0000-0400-0000F2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5" authorId="0" shapeId="0" xr:uid="{00000000-0006-0000-0400-0000F3010000}">
      <text>
        <r>
          <rPr>
            <sz val="8"/>
            <color indexed="81"/>
            <rFont val="Tahoma"/>
            <family val="2"/>
          </rPr>
          <t xml:space="preserve">Minimum Height/Drop is 300mm.
Maximum Height/Drop is 3000mm. </t>
        </r>
      </text>
    </comment>
    <comment ref="H45" authorId="0" shapeId="0" xr:uid="{00000000-0006-0000-0400-0000F4010000}">
      <text>
        <r>
          <rPr>
            <sz val="8"/>
            <color indexed="81"/>
            <rFont val="Tahoma"/>
            <family val="2"/>
          </rPr>
          <t>When selecting a
Corner or Bay 
Window Type, 
the 
CMB Corner WS 
or 
CMB Bay WS 
must be completed.</t>
        </r>
      </text>
    </comment>
    <comment ref="J45" authorId="0" shapeId="0" xr:uid="{00000000-0006-0000-0400-0000F5010000}">
      <text>
        <r>
          <rPr>
            <sz val="8"/>
            <color indexed="81"/>
            <rFont val="Tahoma"/>
            <family val="2"/>
          </rPr>
          <t>ACT 
Actual Measurements
You have made the allowances.
NAM
No Allowances Made 
The factory will make the deductions.</t>
        </r>
      </text>
    </comment>
    <comment ref="M45" authorId="0" shapeId="0" xr:uid="{00000000-0006-0000-0400-0000F6010000}">
      <text>
        <r>
          <rPr>
            <sz val="8"/>
            <color indexed="81"/>
            <rFont val="Tahoma"/>
            <family val="2"/>
          </rPr>
          <t xml:space="preserve">
Bottom Rail Colour options;
Clear Anodised
Metallic Black
Mocha
White
White Birch</t>
        </r>
      </text>
    </comment>
    <comment ref="O45" authorId="0" shapeId="0" xr:uid="{00000000-0006-0000-0400-0000F7010000}">
      <text>
        <r>
          <rPr>
            <sz val="8"/>
            <color indexed="81"/>
            <rFont val="Tahoma"/>
            <family val="2"/>
          </rPr>
          <t>Control Options are;
Left
Right
When Bracket Type is Link Together, 
Left or Right can only be selected once per Linked Set.</t>
        </r>
      </text>
    </comment>
    <comment ref="Q45" authorId="0" shapeId="0" xr:uid="{00000000-0006-0000-0400-0000F8010000}">
      <text>
        <r>
          <rPr>
            <sz val="8"/>
            <color indexed="81"/>
            <rFont val="Tahoma"/>
            <family val="2"/>
          </rPr>
          <t>Chain Length options are; 
Default
500mm
750mm
1000mm
1250mm
1500mm
2000mm</t>
        </r>
      </text>
    </comment>
    <comment ref="R45" authorId="0" shapeId="0" xr:uid="{00000000-0006-0000-0400-0000F9010000}">
      <text>
        <r>
          <rPr>
            <sz val="8"/>
            <color indexed="81"/>
            <rFont val="Tahoma"/>
            <family val="2"/>
          </rPr>
          <t>Chain Colour options are; 
White
White Birch
Black
Nickel Plated Brass
Stainless Steel</t>
        </r>
      </text>
    </comment>
    <comment ref="S45" authorId="0" shapeId="0" xr:uid="{00000000-0006-0000-0400-0000FA010000}">
      <text>
        <r>
          <rPr>
            <sz val="8"/>
            <color indexed="81"/>
            <rFont val="Tahoma"/>
            <family val="2"/>
          </rPr>
          <t>When
 Standard or Common 
is selected the 
Pelmet Colour 
must be entered.</t>
        </r>
      </text>
    </comment>
    <comment ref="W45" authorId="0" shapeId="0" xr:uid="{00000000-0006-0000-0400-0000FB010000}">
      <text>
        <r>
          <rPr>
            <sz val="8"/>
            <color indexed="81"/>
            <rFont val="Tahoma"/>
            <family val="2"/>
          </rPr>
          <t>Bracket Options include:
All other options;
Standard
Double
Link
Double Link</t>
        </r>
      </text>
    </comment>
    <comment ref="X45" authorId="0" shapeId="0" xr:uid="{00000000-0006-0000-0400-0000FC01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46" authorId="0" shapeId="0" xr:uid="{00000000-0006-0000-0400-0000FD010000}">
      <text>
        <r>
          <rPr>
            <sz val="8"/>
            <color indexed="81"/>
            <rFont val="Tahoma"/>
            <family val="2"/>
          </rPr>
          <t>Products options are;
London
Maui
Paris
Sunscreen</t>
        </r>
      </text>
    </comment>
    <comment ref="E46" authorId="0" shapeId="0" xr:uid="{00000000-0006-0000-0400-0000FE01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46" authorId="0" shapeId="0" xr:uid="{00000000-0006-0000-0400-0000FF01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6" authorId="0" shapeId="0" xr:uid="{00000000-0006-0000-0400-000000020000}">
      <text>
        <r>
          <rPr>
            <sz val="8"/>
            <color indexed="81"/>
            <rFont val="Tahoma"/>
            <family val="2"/>
          </rPr>
          <t xml:space="preserve">Minimum Height/Drop is 300mm.
Maximum Height/Drop is 3000mm. </t>
        </r>
      </text>
    </comment>
    <comment ref="H46" authorId="0" shapeId="0" xr:uid="{00000000-0006-0000-0400-000001020000}">
      <text>
        <r>
          <rPr>
            <sz val="8"/>
            <color indexed="81"/>
            <rFont val="Tahoma"/>
            <family val="2"/>
          </rPr>
          <t>When selecting a
Corner or Bay 
Window Type, 
the 
CMB Corner WS 
or 
CMB Bay WS 
must be completed.</t>
        </r>
      </text>
    </comment>
    <comment ref="J46" authorId="0" shapeId="0" xr:uid="{00000000-0006-0000-0400-000002020000}">
      <text>
        <r>
          <rPr>
            <sz val="8"/>
            <color indexed="81"/>
            <rFont val="Tahoma"/>
            <family val="2"/>
          </rPr>
          <t>ACT 
Actual Measurements
You have made the allowances.
NAM
No Allowances Made 
The factory will make the deductions.</t>
        </r>
      </text>
    </comment>
    <comment ref="M46" authorId="0" shapeId="0" xr:uid="{00000000-0006-0000-0400-000003020000}">
      <text>
        <r>
          <rPr>
            <sz val="8"/>
            <color indexed="81"/>
            <rFont val="Tahoma"/>
            <family val="2"/>
          </rPr>
          <t xml:space="preserve">
Bottom Rail Colour options;
Clear Anodised
Metallic Black
Mocha
White
White Birch</t>
        </r>
      </text>
    </comment>
    <comment ref="O46" authorId="0" shapeId="0" xr:uid="{00000000-0006-0000-0400-000004020000}">
      <text>
        <r>
          <rPr>
            <sz val="8"/>
            <color indexed="81"/>
            <rFont val="Tahoma"/>
            <family val="2"/>
          </rPr>
          <t>Control Options are;
Left
Right
When Bracket Type is Link Together, 
Left or Right can only be selected once per Linked Set.</t>
        </r>
      </text>
    </comment>
    <comment ref="Q46" authorId="0" shapeId="0" xr:uid="{00000000-0006-0000-0400-000005020000}">
      <text>
        <r>
          <rPr>
            <sz val="8"/>
            <color indexed="81"/>
            <rFont val="Tahoma"/>
            <family val="2"/>
          </rPr>
          <t>Chain Length options are; 
Default
500mm
750mm
1000mm
1250mm
1500mm
2000mm</t>
        </r>
      </text>
    </comment>
    <comment ref="R46" authorId="0" shapeId="0" xr:uid="{00000000-0006-0000-0400-000006020000}">
      <text>
        <r>
          <rPr>
            <sz val="8"/>
            <color indexed="81"/>
            <rFont val="Tahoma"/>
            <family val="2"/>
          </rPr>
          <t>Chain Colour options are; 
White
White Birch
Black
Nickel Plated Brass
Stainless Steel</t>
        </r>
      </text>
    </comment>
    <comment ref="S46" authorId="0" shapeId="0" xr:uid="{00000000-0006-0000-0400-000007020000}">
      <text>
        <r>
          <rPr>
            <sz val="8"/>
            <color indexed="81"/>
            <rFont val="Tahoma"/>
            <family val="2"/>
          </rPr>
          <t>When
 Standard or Common 
is selected the 
Pelmet Colour 
must be entered.</t>
        </r>
      </text>
    </comment>
    <comment ref="W46" authorId="0" shapeId="0" xr:uid="{00000000-0006-0000-0400-000008020000}">
      <text>
        <r>
          <rPr>
            <sz val="8"/>
            <color indexed="81"/>
            <rFont val="Tahoma"/>
            <family val="2"/>
          </rPr>
          <t>Bracket Options include:
All other options;
Standard
Double
Link
Double Link</t>
        </r>
      </text>
    </comment>
    <comment ref="X46" authorId="0" shapeId="0" xr:uid="{00000000-0006-0000-0400-000009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47" authorId="0" shapeId="0" xr:uid="{00000000-0006-0000-0400-00000A020000}">
      <text>
        <r>
          <rPr>
            <sz val="8"/>
            <color indexed="81"/>
            <rFont val="Tahoma"/>
            <family val="2"/>
          </rPr>
          <t>Products options are;
London
Maui
Paris
Sunscreen</t>
        </r>
      </text>
    </comment>
    <comment ref="E47" authorId="0" shapeId="0" xr:uid="{00000000-0006-0000-0400-00000B02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47" authorId="0" shapeId="0" xr:uid="{00000000-0006-0000-0400-00000C02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7" authorId="0" shapeId="0" xr:uid="{00000000-0006-0000-0400-00000D020000}">
      <text>
        <r>
          <rPr>
            <sz val="8"/>
            <color indexed="81"/>
            <rFont val="Tahoma"/>
            <family val="2"/>
          </rPr>
          <t xml:space="preserve">Minimum Height/Drop is 300mm.
Maximum Height/Drop is 3000mm. </t>
        </r>
      </text>
    </comment>
    <comment ref="H47" authorId="0" shapeId="0" xr:uid="{00000000-0006-0000-0400-00000E020000}">
      <text>
        <r>
          <rPr>
            <sz val="8"/>
            <color indexed="81"/>
            <rFont val="Tahoma"/>
            <family val="2"/>
          </rPr>
          <t>When selecting a
Corner or Bay 
Window Type, 
the 
CMB Corner WS 
or 
CMB Bay WS 
must be completed.</t>
        </r>
      </text>
    </comment>
    <comment ref="J47" authorId="0" shapeId="0" xr:uid="{00000000-0006-0000-0400-00000F020000}">
      <text>
        <r>
          <rPr>
            <sz val="8"/>
            <color indexed="81"/>
            <rFont val="Tahoma"/>
            <family val="2"/>
          </rPr>
          <t>ACT 
Actual Measurements
You have made the allowances.
NAM
No Allowances Made 
The factory will make the deductions.</t>
        </r>
      </text>
    </comment>
    <comment ref="M47" authorId="0" shapeId="0" xr:uid="{00000000-0006-0000-0400-000010020000}">
      <text>
        <r>
          <rPr>
            <sz val="8"/>
            <color indexed="81"/>
            <rFont val="Tahoma"/>
            <family val="2"/>
          </rPr>
          <t xml:space="preserve">
Bottom Rail Colour options;
Clear Anodised
Metallic Black
Mocha
White
White Birch</t>
        </r>
      </text>
    </comment>
    <comment ref="O47" authorId="0" shapeId="0" xr:uid="{00000000-0006-0000-0400-000011020000}">
      <text>
        <r>
          <rPr>
            <sz val="8"/>
            <color indexed="81"/>
            <rFont val="Tahoma"/>
            <family val="2"/>
          </rPr>
          <t>Control Options are;
Left
Right
When Bracket Type is Link Together, 
Left or Right can only be selected once per Linked Set.</t>
        </r>
      </text>
    </comment>
    <comment ref="Q47" authorId="0" shapeId="0" xr:uid="{00000000-0006-0000-0400-000012020000}">
      <text>
        <r>
          <rPr>
            <sz val="8"/>
            <color indexed="81"/>
            <rFont val="Tahoma"/>
            <family val="2"/>
          </rPr>
          <t>Chain Length options are; 
Default
500mm
750mm
1000mm
1250mm
1500mm
2000mm</t>
        </r>
      </text>
    </comment>
    <comment ref="R47" authorId="0" shapeId="0" xr:uid="{00000000-0006-0000-0400-000013020000}">
      <text>
        <r>
          <rPr>
            <sz val="8"/>
            <color indexed="81"/>
            <rFont val="Tahoma"/>
            <family val="2"/>
          </rPr>
          <t>Chain Colour options are; 
White
White Birch
Black
Nickel Plated Brass
Stainless Steel</t>
        </r>
      </text>
    </comment>
    <comment ref="S47" authorId="0" shapeId="0" xr:uid="{00000000-0006-0000-0400-000014020000}">
      <text>
        <r>
          <rPr>
            <sz val="8"/>
            <color indexed="81"/>
            <rFont val="Tahoma"/>
            <family val="2"/>
          </rPr>
          <t>When
 Standard or Common 
is selected the 
Pelmet Colour 
must be entered.</t>
        </r>
      </text>
    </comment>
    <comment ref="W47" authorId="0" shapeId="0" xr:uid="{00000000-0006-0000-0400-000015020000}">
      <text>
        <r>
          <rPr>
            <sz val="8"/>
            <color indexed="81"/>
            <rFont val="Tahoma"/>
            <family val="2"/>
          </rPr>
          <t>Bracket Options include:
All other options;
Standard
Double
Link
Double Link</t>
        </r>
      </text>
    </comment>
    <comment ref="X47" authorId="0" shapeId="0" xr:uid="{00000000-0006-0000-0400-000016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48" authorId="0" shapeId="0" xr:uid="{00000000-0006-0000-0400-000017020000}">
      <text>
        <r>
          <rPr>
            <sz val="8"/>
            <color indexed="81"/>
            <rFont val="Tahoma"/>
            <family val="2"/>
          </rPr>
          <t>Products options are;
London
Maui
Paris
Sunscreen</t>
        </r>
      </text>
    </comment>
    <comment ref="E48" authorId="0" shapeId="0" xr:uid="{00000000-0006-0000-0400-00001802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48" authorId="0" shapeId="0" xr:uid="{00000000-0006-0000-0400-00001902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8" authorId="0" shapeId="0" xr:uid="{00000000-0006-0000-0400-00001A020000}">
      <text>
        <r>
          <rPr>
            <sz val="8"/>
            <color indexed="81"/>
            <rFont val="Tahoma"/>
            <family val="2"/>
          </rPr>
          <t xml:space="preserve">Minimum Height/Drop is 300mm.
Maximum Height/Drop is 3000mm. </t>
        </r>
      </text>
    </comment>
    <comment ref="H48" authorId="0" shapeId="0" xr:uid="{00000000-0006-0000-0400-00001B020000}">
      <text>
        <r>
          <rPr>
            <sz val="8"/>
            <color indexed="81"/>
            <rFont val="Tahoma"/>
            <family val="2"/>
          </rPr>
          <t>When selecting a
Corner or Bay 
Window Type, 
the 
CMB Corner WS 
or 
CMB Bay WS 
must be completed.</t>
        </r>
      </text>
    </comment>
    <comment ref="J48" authorId="0" shapeId="0" xr:uid="{00000000-0006-0000-0400-00001C020000}">
      <text>
        <r>
          <rPr>
            <sz val="8"/>
            <color indexed="81"/>
            <rFont val="Tahoma"/>
            <family val="2"/>
          </rPr>
          <t>ACT 
Actual Measurements
You have made the allowances.
NAM
No Allowances Made 
The factory will make the deductions.</t>
        </r>
      </text>
    </comment>
    <comment ref="M48" authorId="0" shapeId="0" xr:uid="{00000000-0006-0000-0400-00001D020000}">
      <text>
        <r>
          <rPr>
            <sz val="8"/>
            <color indexed="81"/>
            <rFont val="Tahoma"/>
            <family val="2"/>
          </rPr>
          <t xml:space="preserve">
Bottom Rail Colour options;
Clear Anodised
Metallic Black
Mocha
White
White Birch</t>
        </r>
      </text>
    </comment>
    <comment ref="O48" authorId="0" shapeId="0" xr:uid="{00000000-0006-0000-0400-00001E020000}">
      <text>
        <r>
          <rPr>
            <sz val="8"/>
            <color indexed="81"/>
            <rFont val="Tahoma"/>
            <family val="2"/>
          </rPr>
          <t>Control Options are;
Left
Right
When Bracket Type is Link Together, 
Left or Right can only be selected once per Linked Set.</t>
        </r>
      </text>
    </comment>
    <comment ref="Q48" authorId="0" shapeId="0" xr:uid="{00000000-0006-0000-0400-00001F020000}">
      <text>
        <r>
          <rPr>
            <sz val="8"/>
            <color indexed="81"/>
            <rFont val="Tahoma"/>
            <family val="2"/>
          </rPr>
          <t>Chain Length options are; 
Default
500mm
750mm
1000mm
1250mm
1500mm
2000mm</t>
        </r>
      </text>
    </comment>
    <comment ref="R48" authorId="0" shapeId="0" xr:uid="{00000000-0006-0000-0400-000020020000}">
      <text>
        <r>
          <rPr>
            <sz val="8"/>
            <color indexed="81"/>
            <rFont val="Tahoma"/>
            <family val="2"/>
          </rPr>
          <t>Chain Colour options are; 
White
White Birch
Black
Nickel Plated Brass
Stainless Steel</t>
        </r>
      </text>
    </comment>
    <comment ref="S48" authorId="0" shapeId="0" xr:uid="{00000000-0006-0000-0400-000021020000}">
      <text>
        <r>
          <rPr>
            <sz val="8"/>
            <color indexed="81"/>
            <rFont val="Tahoma"/>
            <family val="2"/>
          </rPr>
          <t>When
 Standard or Common 
is selected the 
Pelmet Colour 
must be entered.</t>
        </r>
      </text>
    </comment>
    <comment ref="W48" authorId="0" shapeId="0" xr:uid="{00000000-0006-0000-0400-000022020000}">
      <text>
        <r>
          <rPr>
            <sz val="8"/>
            <color indexed="81"/>
            <rFont val="Tahoma"/>
            <family val="2"/>
          </rPr>
          <t>Bracket Options include:
All other options;
Standard
Double
Link
Double Link</t>
        </r>
      </text>
    </comment>
    <comment ref="X48" authorId="0" shapeId="0" xr:uid="{00000000-0006-0000-0400-000023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49" authorId="0" shapeId="0" xr:uid="{00000000-0006-0000-0400-000024020000}">
      <text>
        <r>
          <rPr>
            <sz val="8"/>
            <color indexed="81"/>
            <rFont val="Tahoma"/>
            <family val="2"/>
          </rPr>
          <t>Products options are;
London
Maui
Paris
Sunscreen</t>
        </r>
      </text>
    </comment>
    <comment ref="E49" authorId="0" shapeId="0" xr:uid="{00000000-0006-0000-0400-00002502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49" authorId="0" shapeId="0" xr:uid="{00000000-0006-0000-0400-00002602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9" authorId="0" shapeId="0" xr:uid="{00000000-0006-0000-0400-000027020000}">
      <text>
        <r>
          <rPr>
            <sz val="8"/>
            <color indexed="81"/>
            <rFont val="Tahoma"/>
            <family val="2"/>
          </rPr>
          <t xml:space="preserve">Minimum Height/Drop is 300mm.
Maximum Height/Drop is 3000mm. </t>
        </r>
      </text>
    </comment>
    <comment ref="H49" authorId="0" shapeId="0" xr:uid="{00000000-0006-0000-0400-000028020000}">
      <text>
        <r>
          <rPr>
            <sz val="8"/>
            <color indexed="81"/>
            <rFont val="Tahoma"/>
            <family val="2"/>
          </rPr>
          <t>When selecting a
Corner or Bay 
Window Type, 
the 
CMB Corner WS 
or 
CMB Bay WS 
must be completed.</t>
        </r>
      </text>
    </comment>
    <comment ref="J49" authorId="0" shapeId="0" xr:uid="{00000000-0006-0000-0400-000029020000}">
      <text>
        <r>
          <rPr>
            <sz val="8"/>
            <color indexed="81"/>
            <rFont val="Tahoma"/>
            <family val="2"/>
          </rPr>
          <t>ACT 
Actual Measurements
You have made the allowances.
NAM
No Allowances Made 
The factory will make the deductions.</t>
        </r>
      </text>
    </comment>
    <comment ref="M49" authorId="0" shapeId="0" xr:uid="{00000000-0006-0000-0400-00002A020000}">
      <text>
        <r>
          <rPr>
            <sz val="8"/>
            <color indexed="81"/>
            <rFont val="Tahoma"/>
            <family val="2"/>
          </rPr>
          <t xml:space="preserve">
Bottom Rail Colour options;
Clear Anodised
Metallic Black
Mocha
White
White Birch</t>
        </r>
      </text>
    </comment>
    <comment ref="O49" authorId="0" shapeId="0" xr:uid="{00000000-0006-0000-0400-00002B020000}">
      <text>
        <r>
          <rPr>
            <sz val="8"/>
            <color indexed="81"/>
            <rFont val="Tahoma"/>
            <family val="2"/>
          </rPr>
          <t>Control Options are;
Left
Right
When Bracket Type is Link Together, 
Left or Right can only be selected once per Linked Set.</t>
        </r>
      </text>
    </comment>
    <comment ref="Q49" authorId="0" shapeId="0" xr:uid="{00000000-0006-0000-0400-00002C020000}">
      <text>
        <r>
          <rPr>
            <sz val="8"/>
            <color indexed="81"/>
            <rFont val="Tahoma"/>
            <family val="2"/>
          </rPr>
          <t>Chain Length options are; 
Default
500mm
750mm
1000mm
1250mm
1500mm
2000mm</t>
        </r>
      </text>
    </comment>
    <comment ref="R49" authorId="0" shapeId="0" xr:uid="{00000000-0006-0000-0400-00002D020000}">
      <text>
        <r>
          <rPr>
            <sz val="8"/>
            <color indexed="81"/>
            <rFont val="Tahoma"/>
            <family val="2"/>
          </rPr>
          <t>Chain Colour options are; 
White
White Birch
Black
Nickel Plated Brass
Stainless Steel</t>
        </r>
      </text>
    </comment>
    <comment ref="S49" authorId="0" shapeId="0" xr:uid="{00000000-0006-0000-0400-00002E020000}">
      <text>
        <r>
          <rPr>
            <sz val="8"/>
            <color indexed="81"/>
            <rFont val="Tahoma"/>
            <family val="2"/>
          </rPr>
          <t>When
 Standard or Common 
is selected the 
Pelmet Colour 
must be entered.</t>
        </r>
      </text>
    </comment>
    <comment ref="W49" authorId="0" shapeId="0" xr:uid="{00000000-0006-0000-0400-00002F020000}">
      <text>
        <r>
          <rPr>
            <sz val="8"/>
            <color indexed="81"/>
            <rFont val="Tahoma"/>
            <family val="2"/>
          </rPr>
          <t>Bracket Options include:
All other options;
Standard
Double
Link
Double Link</t>
        </r>
      </text>
    </comment>
    <comment ref="X49" authorId="0" shapeId="0" xr:uid="{00000000-0006-0000-0400-000030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50" authorId="0" shapeId="0" xr:uid="{00000000-0006-0000-0400-000031020000}">
      <text>
        <r>
          <rPr>
            <sz val="8"/>
            <color indexed="81"/>
            <rFont val="Tahoma"/>
            <family val="2"/>
          </rPr>
          <t>Products options are;
London
Maui
Paris
Sunscreen</t>
        </r>
      </text>
    </comment>
    <comment ref="E50" authorId="0" shapeId="0" xr:uid="{00000000-0006-0000-0400-00003202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50" authorId="0" shapeId="0" xr:uid="{00000000-0006-0000-0400-00003302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0" authorId="0" shapeId="0" xr:uid="{00000000-0006-0000-0400-000034020000}">
      <text>
        <r>
          <rPr>
            <sz val="8"/>
            <color indexed="81"/>
            <rFont val="Tahoma"/>
            <family val="2"/>
          </rPr>
          <t xml:space="preserve">Minimum Height/Drop is 300mm.
Maximum Height/Drop is 3000mm. </t>
        </r>
      </text>
    </comment>
    <comment ref="H50" authorId="0" shapeId="0" xr:uid="{00000000-0006-0000-0400-000035020000}">
      <text>
        <r>
          <rPr>
            <sz val="8"/>
            <color indexed="81"/>
            <rFont val="Tahoma"/>
            <family val="2"/>
          </rPr>
          <t>When selecting a
Corner or Bay 
Window Type, 
the 
CMB Corner WS 
or 
CMB Bay WS 
must be completed.</t>
        </r>
      </text>
    </comment>
    <comment ref="J50" authorId="0" shapeId="0" xr:uid="{00000000-0006-0000-0400-000036020000}">
      <text>
        <r>
          <rPr>
            <sz val="8"/>
            <color indexed="81"/>
            <rFont val="Tahoma"/>
            <family val="2"/>
          </rPr>
          <t>ACT 
Actual Measurements
You have made the allowances.
NAM
No Allowances Made 
The factory will make the deductions.</t>
        </r>
      </text>
    </comment>
    <comment ref="M50" authorId="0" shapeId="0" xr:uid="{00000000-0006-0000-0400-000037020000}">
      <text>
        <r>
          <rPr>
            <sz val="8"/>
            <color indexed="81"/>
            <rFont val="Tahoma"/>
            <family val="2"/>
          </rPr>
          <t xml:space="preserve">
Bottom Rail Colour options;
Clear Anodised
Metallic Black
Mocha
White
White Birch</t>
        </r>
      </text>
    </comment>
    <comment ref="O50" authorId="0" shapeId="0" xr:uid="{00000000-0006-0000-0400-000038020000}">
      <text>
        <r>
          <rPr>
            <sz val="8"/>
            <color indexed="81"/>
            <rFont val="Tahoma"/>
            <family val="2"/>
          </rPr>
          <t>Control Options are;
Left
Right
When Bracket Type is Link Together, 
Left or Right can only be selected once per Linked Set.</t>
        </r>
      </text>
    </comment>
    <comment ref="Q50" authorId="0" shapeId="0" xr:uid="{00000000-0006-0000-0400-000039020000}">
      <text>
        <r>
          <rPr>
            <sz val="8"/>
            <color indexed="81"/>
            <rFont val="Tahoma"/>
            <family val="2"/>
          </rPr>
          <t>Chain Length options are; 
Default
500mm
750mm
1000mm
1250mm
1500mm
2000mm</t>
        </r>
      </text>
    </comment>
    <comment ref="R50" authorId="0" shapeId="0" xr:uid="{00000000-0006-0000-0400-00003A020000}">
      <text>
        <r>
          <rPr>
            <sz val="8"/>
            <color indexed="81"/>
            <rFont val="Tahoma"/>
            <family val="2"/>
          </rPr>
          <t>Chain Colour options are; 
White
White Birch
Black
Nickel Plated Brass
Stainless Steel</t>
        </r>
      </text>
    </comment>
    <comment ref="S50" authorId="0" shapeId="0" xr:uid="{00000000-0006-0000-0400-00003B020000}">
      <text>
        <r>
          <rPr>
            <sz val="8"/>
            <color indexed="81"/>
            <rFont val="Tahoma"/>
            <family val="2"/>
          </rPr>
          <t>When
 Standard or Common 
is selected the 
Pelmet Colour 
must be entered.</t>
        </r>
      </text>
    </comment>
    <comment ref="W50" authorId="0" shapeId="0" xr:uid="{00000000-0006-0000-0400-00003C020000}">
      <text>
        <r>
          <rPr>
            <sz val="8"/>
            <color indexed="81"/>
            <rFont val="Tahoma"/>
            <family val="2"/>
          </rPr>
          <t>Bracket Options include:
All other options;
Standard
Double
Link
Double Link</t>
        </r>
      </text>
    </comment>
    <comment ref="X50" authorId="0" shapeId="0" xr:uid="{00000000-0006-0000-0400-00003D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51" authorId="0" shapeId="0" xr:uid="{00000000-0006-0000-0400-00003E020000}">
      <text>
        <r>
          <rPr>
            <sz val="8"/>
            <color indexed="81"/>
            <rFont val="Tahoma"/>
            <family val="2"/>
          </rPr>
          <t>Products options are;
London
Maui
Paris
Sunscreen</t>
        </r>
      </text>
    </comment>
    <comment ref="E51" authorId="0" shapeId="0" xr:uid="{00000000-0006-0000-0400-00003F02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51" authorId="0" shapeId="0" xr:uid="{00000000-0006-0000-0400-00004002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1" authorId="0" shapeId="0" xr:uid="{00000000-0006-0000-0400-000041020000}">
      <text>
        <r>
          <rPr>
            <sz val="8"/>
            <color indexed="81"/>
            <rFont val="Tahoma"/>
            <family val="2"/>
          </rPr>
          <t xml:space="preserve">Minimum Height/Drop is 300mm.
Maximum Height/Drop is 3000mm. </t>
        </r>
      </text>
    </comment>
    <comment ref="H51" authorId="0" shapeId="0" xr:uid="{00000000-0006-0000-0400-000042020000}">
      <text>
        <r>
          <rPr>
            <sz val="8"/>
            <color indexed="81"/>
            <rFont val="Tahoma"/>
            <family val="2"/>
          </rPr>
          <t>When selecting a
Corner or Bay 
Window Type, 
the 
CMB Corner WS 
or 
CMB Bay WS 
must be completed.</t>
        </r>
      </text>
    </comment>
    <comment ref="J51" authorId="0" shapeId="0" xr:uid="{00000000-0006-0000-0400-000043020000}">
      <text>
        <r>
          <rPr>
            <sz val="8"/>
            <color indexed="81"/>
            <rFont val="Tahoma"/>
            <family val="2"/>
          </rPr>
          <t>ACT 
Actual Measurements
You have made the allowances.
NAM
No Allowances Made 
The factory will make the deductions.</t>
        </r>
      </text>
    </comment>
    <comment ref="M51" authorId="0" shapeId="0" xr:uid="{00000000-0006-0000-0400-000044020000}">
      <text>
        <r>
          <rPr>
            <sz val="8"/>
            <color indexed="81"/>
            <rFont val="Tahoma"/>
            <family val="2"/>
          </rPr>
          <t xml:space="preserve">
Bottom Rail Colour options;
Clear Anodised
Metallic Black
Mocha
White
White Birch</t>
        </r>
      </text>
    </comment>
    <comment ref="O51" authorId="0" shapeId="0" xr:uid="{00000000-0006-0000-0400-000045020000}">
      <text>
        <r>
          <rPr>
            <sz val="8"/>
            <color indexed="81"/>
            <rFont val="Tahoma"/>
            <family val="2"/>
          </rPr>
          <t>Control Options are;
Left
Right
When Bracket Type is Link Together, 
Left or Right can only be selected once per Linked Set.</t>
        </r>
      </text>
    </comment>
    <comment ref="Q51" authorId="0" shapeId="0" xr:uid="{00000000-0006-0000-0400-000046020000}">
      <text>
        <r>
          <rPr>
            <sz val="8"/>
            <color indexed="81"/>
            <rFont val="Tahoma"/>
            <family val="2"/>
          </rPr>
          <t>Chain Length options are; 
Default
500mm
750mm
1000mm
1250mm
1500mm
2000mm</t>
        </r>
      </text>
    </comment>
    <comment ref="R51" authorId="0" shapeId="0" xr:uid="{00000000-0006-0000-0400-000047020000}">
      <text>
        <r>
          <rPr>
            <sz val="8"/>
            <color indexed="81"/>
            <rFont val="Tahoma"/>
            <family val="2"/>
          </rPr>
          <t>Chain Colour options are; 
White
White Birch
Black
Nickel Plated Brass
Stainless Steel</t>
        </r>
      </text>
    </comment>
    <comment ref="S51" authorId="0" shapeId="0" xr:uid="{00000000-0006-0000-0400-000048020000}">
      <text>
        <r>
          <rPr>
            <sz val="8"/>
            <color indexed="81"/>
            <rFont val="Tahoma"/>
            <family val="2"/>
          </rPr>
          <t>When
 Standard or Common 
is selected the 
Pelmet Colour 
must be entered.</t>
        </r>
      </text>
    </comment>
    <comment ref="W51" authorId="0" shapeId="0" xr:uid="{00000000-0006-0000-0400-000049020000}">
      <text>
        <r>
          <rPr>
            <sz val="8"/>
            <color indexed="81"/>
            <rFont val="Tahoma"/>
            <family val="2"/>
          </rPr>
          <t>Bracket Options include:
All other options;
Standard
Double
Link
Double Link</t>
        </r>
      </text>
    </comment>
    <comment ref="X51" authorId="0" shapeId="0" xr:uid="{00000000-0006-0000-0400-00004A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52" authorId="0" shapeId="0" xr:uid="{00000000-0006-0000-0400-00004B020000}">
      <text>
        <r>
          <rPr>
            <sz val="8"/>
            <color indexed="81"/>
            <rFont val="Tahoma"/>
            <family val="2"/>
          </rPr>
          <t>Products options are;
London
Maui
Paris
Sunscreen</t>
        </r>
      </text>
    </comment>
    <comment ref="E52" authorId="0" shapeId="0" xr:uid="{00000000-0006-0000-0400-00004C02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52" authorId="0" shapeId="0" xr:uid="{00000000-0006-0000-0400-00004D02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2" authorId="0" shapeId="0" xr:uid="{00000000-0006-0000-0400-00004E020000}">
      <text>
        <r>
          <rPr>
            <sz val="8"/>
            <color indexed="81"/>
            <rFont val="Tahoma"/>
            <family val="2"/>
          </rPr>
          <t xml:space="preserve">Minimum Height/Drop is 300mm.
Maximum Height/Drop is 3000mm. </t>
        </r>
      </text>
    </comment>
    <comment ref="H52" authorId="0" shapeId="0" xr:uid="{00000000-0006-0000-0400-00004F020000}">
      <text>
        <r>
          <rPr>
            <sz val="8"/>
            <color indexed="81"/>
            <rFont val="Tahoma"/>
            <family val="2"/>
          </rPr>
          <t>When selecting a
Corner or Bay 
Window Type, 
the 
CMB Corner WS 
or 
CMB Bay WS 
must be completed.</t>
        </r>
      </text>
    </comment>
    <comment ref="J52" authorId="0" shapeId="0" xr:uid="{00000000-0006-0000-0400-000050020000}">
      <text>
        <r>
          <rPr>
            <sz val="8"/>
            <color indexed="81"/>
            <rFont val="Tahoma"/>
            <family val="2"/>
          </rPr>
          <t>ACT 
Actual Measurements
You have made the allowances.
NAM
No Allowances Made 
The factory will make the deductions.</t>
        </r>
      </text>
    </comment>
    <comment ref="M52" authorId="0" shapeId="0" xr:uid="{00000000-0006-0000-0400-000051020000}">
      <text>
        <r>
          <rPr>
            <sz val="8"/>
            <color indexed="81"/>
            <rFont val="Tahoma"/>
            <family val="2"/>
          </rPr>
          <t xml:space="preserve">
Bottom Rail Colour options;
Clear Anodised
Metallic Black
Mocha
White
White Birch</t>
        </r>
      </text>
    </comment>
    <comment ref="O52" authorId="0" shapeId="0" xr:uid="{00000000-0006-0000-0400-000052020000}">
      <text>
        <r>
          <rPr>
            <sz val="8"/>
            <color indexed="81"/>
            <rFont val="Tahoma"/>
            <family val="2"/>
          </rPr>
          <t>Control Options are;
Left
Right
When Bracket Type is Link Together, 
Left or Right can only be selected once per Linked Set.</t>
        </r>
      </text>
    </comment>
    <comment ref="Q52" authorId="0" shapeId="0" xr:uid="{00000000-0006-0000-0400-000053020000}">
      <text>
        <r>
          <rPr>
            <sz val="8"/>
            <color indexed="81"/>
            <rFont val="Tahoma"/>
            <family val="2"/>
          </rPr>
          <t>Chain Length options are; 
Default
500mm
750mm
1000mm
1250mm
1500mm
2000mm</t>
        </r>
      </text>
    </comment>
    <comment ref="R52" authorId="0" shapeId="0" xr:uid="{00000000-0006-0000-0400-000054020000}">
      <text>
        <r>
          <rPr>
            <sz val="8"/>
            <color indexed="81"/>
            <rFont val="Tahoma"/>
            <family val="2"/>
          </rPr>
          <t>Chain Colour options are; 
White
White Birch
Black
Nickel Plated Brass
Stainless Steel</t>
        </r>
      </text>
    </comment>
    <comment ref="S52" authorId="0" shapeId="0" xr:uid="{00000000-0006-0000-0400-000055020000}">
      <text>
        <r>
          <rPr>
            <sz val="8"/>
            <color indexed="81"/>
            <rFont val="Tahoma"/>
            <family val="2"/>
          </rPr>
          <t>When
 Standard or Common 
is selected the 
Pelmet Colour 
must be entered.</t>
        </r>
      </text>
    </comment>
    <comment ref="W52" authorId="0" shapeId="0" xr:uid="{00000000-0006-0000-0400-000056020000}">
      <text>
        <r>
          <rPr>
            <sz val="8"/>
            <color indexed="81"/>
            <rFont val="Tahoma"/>
            <family val="2"/>
          </rPr>
          <t>Bracket Options include:
All other options;
Standard
Double
Link
Double Link</t>
        </r>
      </text>
    </comment>
    <comment ref="X52" authorId="0" shapeId="0" xr:uid="{00000000-0006-0000-0400-000057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53" authorId="0" shapeId="0" xr:uid="{00000000-0006-0000-0400-000058020000}">
      <text>
        <r>
          <rPr>
            <sz val="8"/>
            <color indexed="81"/>
            <rFont val="Tahoma"/>
            <family val="2"/>
          </rPr>
          <t>Products options are;
London
Maui
Paris
Sunscreen</t>
        </r>
      </text>
    </comment>
    <comment ref="E53" authorId="0" shapeId="0" xr:uid="{00000000-0006-0000-0400-00005902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53" authorId="0" shapeId="0" xr:uid="{00000000-0006-0000-0400-00005A02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3" authorId="0" shapeId="0" xr:uid="{00000000-0006-0000-0400-00005B020000}">
      <text>
        <r>
          <rPr>
            <sz val="8"/>
            <color indexed="81"/>
            <rFont val="Tahoma"/>
            <family val="2"/>
          </rPr>
          <t xml:space="preserve">Minimum Height/Drop is 300mm.
Maximum Height/Drop is 3000mm. </t>
        </r>
      </text>
    </comment>
    <comment ref="H53" authorId="0" shapeId="0" xr:uid="{00000000-0006-0000-0400-00005C020000}">
      <text>
        <r>
          <rPr>
            <sz val="8"/>
            <color indexed="81"/>
            <rFont val="Tahoma"/>
            <family val="2"/>
          </rPr>
          <t>When selecting a
Corner or Bay 
Window Type, 
the 
CMB Corner WS 
or 
CMB Bay WS 
must be completed.</t>
        </r>
      </text>
    </comment>
    <comment ref="J53" authorId="0" shapeId="0" xr:uid="{00000000-0006-0000-0400-00005D020000}">
      <text>
        <r>
          <rPr>
            <sz val="8"/>
            <color indexed="81"/>
            <rFont val="Tahoma"/>
            <family val="2"/>
          </rPr>
          <t>ACT 
Actual Measurements
You have made the allowances.
NAM
No Allowances Made 
The factory will make the deductions.</t>
        </r>
      </text>
    </comment>
    <comment ref="M53" authorId="0" shapeId="0" xr:uid="{00000000-0006-0000-0400-00005E020000}">
      <text>
        <r>
          <rPr>
            <sz val="8"/>
            <color indexed="81"/>
            <rFont val="Tahoma"/>
            <family val="2"/>
          </rPr>
          <t xml:space="preserve">
Bottom Rail Colour options;
Clear Anodised
Metallic Black
Mocha
White
White Birch</t>
        </r>
      </text>
    </comment>
    <comment ref="O53" authorId="0" shapeId="0" xr:uid="{00000000-0006-0000-0400-00005F020000}">
      <text>
        <r>
          <rPr>
            <sz val="8"/>
            <color indexed="81"/>
            <rFont val="Tahoma"/>
            <family val="2"/>
          </rPr>
          <t>Control Options are;
Left
Right
When Bracket Type is Link Together, 
Left or Right can only be selected once per Linked Set.</t>
        </r>
      </text>
    </comment>
    <comment ref="Q53" authorId="0" shapeId="0" xr:uid="{00000000-0006-0000-0400-000060020000}">
      <text>
        <r>
          <rPr>
            <sz val="8"/>
            <color indexed="81"/>
            <rFont val="Tahoma"/>
            <family val="2"/>
          </rPr>
          <t>Chain Length options are; 
Default
500mm
750mm
1000mm
1250mm
1500mm
2000mm</t>
        </r>
      </text>
    </comment>
    <comment ref="R53" authorId="0" shapeId="0" xr:uid="{00000000-0006-0000-0400-000061020000}">
      <text>
        <r>
          <rPr>
            <sz val="8"/>
            <color indexed="81"/>
            <rFont val="Tahoma"/>
            <family val="2"/>
          </rPr>
          <t>Chain Colour options are; 
White
White Birch
Black
Nickel Plated Brass
Stainless Steel</t>
        </r>
      </text>
    </comment>
    <comment ref="S53" authorId="0" shapeId="0" xr:uid="{00000000-0006-0000-0400-000062020000}">
      <text>
        <r>
          <rPr>
            <sz val="8"/>
            <color indexed="81"/>
            <rFont val="Tahoma"/>
            <family val="2"/>
          </rPr>
          <t>When
 Standard or Common 
is selected the 
Pelmet Colour 
must be entered.</t>
        </r>
      </text>
    </comment>
    <comment ref="W53" authorId="0" shapeId="0" xr:uid="{00000000-0006-0000-0400-000063020000}">
      <text>
        <r>
          <rPr>
            <sz val="8"/>
            <color indexed="81"/>
            <rFont val="Tahoma"/>
            <family val="2"/>
          </rPr>
          <t>Bracket Options include:
All other options;
Standard
Double
Link
Double Link</t>
        </r>
      </text>
    </comment>
    <comment ref="X53" authorId="0" shapeId="0" xr:uid="{00000000-0006-0000-0400-000064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54" authorId="0" shapeId="0" xr:uid="{00000000-0006-0000-0400-000065020000}">
      <text>
        <r>
          <rPr>
            <sz val="8"/>
            <color indexed="81"/>
            <rFont val="Tahoma"/>
            <family val="2"/>
          </rPr>
          <t>Products options are;
London
Maui
Paris
Sunscreen</t>
        </r>
      </text>
    </comment>
    <comment ref="E54" authorId="0" shapeId="0" xr:uid="{00000000-0006-0000-0400-00006602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54" authorId="0" shapeId="0" xr:uid="{00000000-0006-0000-0400-00006702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4" authorId="0" shapeId="0" xr:uid="{00000000-0006-0000-0400-000068020000}">
      <text>
        <r>
          <rPr>
            <sz val="8"/>
            <color indexed="81"/>
            <rFont val="Tahoma"/>
            <family val="2"/>
          </rPr>
          <t xml:space="preserve">Minimum Height/Drop is 300mm.
Maximum Height/Drop is 3000mm. </t>
        </r>
      </text>
    </comment>
    <comment ref="H54" authorId="0" shapeId="0" xr:uid="{00000000-0006-0000-0400-000069020000}">
      <text>
        <r>
          <rPr>
            <sz val="8"/>
            <color indexed="81"/>
            <rFont val="Tahoma"/>
            <family val="2"/>
          </rPr>
          <t>When selecting a
Corner or Bay 
Window Type, 
the 
CMB Corner WS 
or 
CMB Bay WS 
must be completed.</t>
        </r>
      </text>
    </comment>
    <comment ref="J54" authorId="0" shapeId="0" xr:uid="{00000000-0006-0000-0400-00006A020000}">
      <text>
        <r>
          <rPr>
            <sz val="8"/>
            <color indexed="81"/>
            <rFont val="Tahoma"/>
            <family val="2"/>
          </rPr>
          <t>ACT 
Actual Measurements
You have made the allowances.
NAM
No Allowances Made 
The factory will make the deductions.</t>
        </r>
      </text>
    </comment>
    <comment ref="M54" authorId="0" shapeId="0" xr:uid="{00000000-0006-0000-0400-00006B020000}">
      <text>
        <r>
          <rPr>
            <sz val="8"/>
            <color indexed="81"/>
            <rFont val="Tahoma"/>
            <family val="2"/>
          </rPr>
          <t xml:space="preserve">
Bottom Rail Colour options;
Clear Anodised
Metallic Black
Mocha
White
White Birch</t>
        </r>
      </text>
    </comment>
    <comment ref="O54" authorId="0" shapeId="0" xr:uid="{00000000-0006-0000-0400-00006C020000}">
      <text>
        <r>
          <rPr>
            <sz val="8"/>
            <color indexed="81"/>
            <rFont val="Tahoma"/>
            <family val="2"/>
          </rPr>
          <t>Control Options are;
Left
Right
When Bracket Type is Link Together, 
Left or Right can only be selected once per Linked Set.</t>
        </r>
      </text>
    </comment>
    <comment ref="Q54" authorId="0" shapeId="0" xr:uid="{00000000-0006-0000-0400-00006D020000}">
      <text>
        <r>
          <rPr>
            <sz val="8"/>
            <color indexed="81"/>
            <rFont val="Tahoma"/>
            <family val="2"/>
          </rPr>
          <t>Chain Length options are; 
Default
500mm
750mm
1000mm
1250mm
1500mm
2000mm</t>
        </r>
      </text>
    </comment>
    <comment ref="R54" authorId="0" shapeId="0" xr:uid="{00000000-0006-0000-0400-00006E020000}">
      <text>
        <r>
          <rPr>
            <sz val="8"/>
            <color indexed="81"/>
            <rFont val="Tahoma"/>
            <family val="2"/>
          </rPr>
          <t>Chain Colour options are; 
White
White Birch
Black
Nickel Plated Brass
Stainless Steel</t>
        </r>
      </text>
    </comment>
    <comment ref="S54" authorId="0" shapeId="0" xr:uid="{00000000-0006-0000-0400-00006F020000}">
      <text>
        <r>
          <rPr>
            <sz val="8"/>
            <color indexed="81"/>
            <rFont val="Tahoma"/>
            <family val="2"/>
          </rPr>
          <t>When
 Standard or Common 
is selected the 
Pelmet Colour 
must be entered.</t>
        </r>
      </text>
    </comment>
    <comment ref="W54" authorId="0" shapeId="0" xr:uid="{00000000-0006-0000-0400-000070020000}">
      <text>
        <r>
          <rPr>
            <sz val="8"/>
            <color indexed="81"/>
            <rFont val="Tahoma"/>
            <family val="2"/>
          </rPr>
          <t>Bracket Options include:
All other options;
Standard
Double
Link
Double Link</t>
        </r>
      </text>
    </comment>
    <comment ref="X54" authorId="0" shapeId="0" xr:uid="{00000000-0006-0000-0400-000071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55" authorId="0" shapeId="0" xr:uid="{00000000-0006-0000-0400-000072020000}">
      <text>
        <r>
          <rPr>
            <sz val="8"/>
            <color indexed="81"/>
            <rFont val="Tahoma"/>
            <family val="2"/>
          </rPr>
          <t>Products options are;
London
Maui
Paris
Sunscreen</t>
        </r>
      </text>
    </comment>
    <comment ref="E55" authorId="0" shapeId="0" xr:uid="{00000000-0006-0000-0400-00007302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55" authorId="0" shapeId="0" xr:uid="{00000000-0006-0000-0400-00007402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5" authorId="0" shapeId="0" xr:uid="{00000000-0006-0000-0400-000075020000}">
      <text>
        <r>
          <rPr>
            <sz val="8"/>
            <color indexed="81"/>
            <rFont val="Tahoma"/>
            <family val="2"/>
          </rPr>
          <t xml:space="preserve">Minimum Height/Drop is 300mm.
Maximum Height/Drop is 3000mm. </t>
        </r>
      </text>
    </comment>
    <comment ref="H55" authorId="0" shapeId="0" xr:uid="{00000000-0006-0000-0400-000076020000}">
      <text>
        <r>
          <rPr>
            <sz val="8"/>
            <color indexed="81"/>
            <rFont val="Tahoma"/>
            <family val="2"/>
          </rPr>
          <t>When selecting a
Corner or Bay 
Window Type, 
the 
CMB Corner WS 
or 
CMB Bay WS 
must be completed.</t>
        </r>
      </text>
    </comment>
    <comment ref="J55" authorId="0" shapeId="0" xr:uid="{00000000-0006-0000-0400-000077020000}">
      <text>
        <r>
          <rPr>
            <sz val="8"/>
            <color indexed="81"/>
            <rFont val="Tahoma"/>
            <family val="2"/>
          </rPr>
          <t>ACT 
Actual Measurements
You have made the allowances.
NAM
No Allowances Made 
The factory will make the deductions.</t>
        </r>
      </text>
    </comment>
    <comment ref="M55" authorId="0" shapeId="0" xr:uid="{00000000-0006-0000-0400-000078020000}">
      <text>
        <r>
          <rPr>
            <sz val="8"/>
            <color indexed="81"/>
            <rFont val="Tahoma"/>
            <family val="2"/>
          </rPr>
          <t xml:space="preserve">
Bottom Rail Colour options;
Clear Anodised
Metallic Black
Mocha
White
White Birch</t>
        </r>
      </text>
    </comment>
    <comment ref="O55" authorId="0" shapeId="0" xr:uid="{00000000-0006-0000-0400-000079020000}">
      <text>
        <r>
          <rPr>
            <sz val="8"/>
            <color indexed="81"/>
            <rFont val="Tahoma"/>
            <family val="2"/>
          </rPr>
          <t>Control Options are;
Left
Right
When Bracket Type is Link Together, 
Left or Right can only be selected once per Linked Set.</t>
        </r>
      </text>
    </comment>
    <comment ref="Q55" authorId="0" shapeId="0" xr:uid="{00000000-0006-0000-0400-00007A020000}">
      <text>
        <r>
          <rPr>
            <sz val="8"/>
            <color indexed="81"/>
            <rFont val="Tahoma"/>
            <family val="2"/>
          </rPr>
          <t>Chain Length options are; 
Default
500mm
750mm
1000mm
1250mm
1500mm
2000mm</t>
        </r>
      </text>
    </comment>
    <comment ref="R55" authorId="0" shapeId="0" xr:uid="{00000000-0006-0000-0400-00007B020000}">
      <text>
        <r>
          <rPr>
            <sz val="8"/>
            <color indexed="81"/>
            <rFont val="Tahoma"/>
            <family val="2"/>
          </rPr>
          <t>Chain Colour options are; 
White
White Birch
Black
Nickel Plated Brass
Stainless Steel</t>
        </r>
      </text>
    </comment>
    <comment ref="S55" authorId="0" shapeId="0" xr:uid="{00000000-0006-0000-0400-00007C020000}">
      <text>
        <r>
          <rPr>
            <sz val="8"/>
            <color indexed="81"/>
            <rFont val="Tahoma"/>
            <family val="2"/>
          </rPr>
          <t>When
 Standard or Common 
is selected the 
Pelmet Colour 
must be entered.</t>
        </r>
      </text>
    </comment>
    <comment ref="W55" authorId="0" shapeId="0" xr:uid="{00000000-0006-0000-0400-00007D020000}">
      <text>
        <r>
          <rPr>
            <sz val="8"/>
            <color indexed="81"/>
            <rFont val="Tahoma"/>
            <family val="2"/>
          </rPr>
          <t>Bracket Options include:
All other options;
Standard
Double
Link
Double Link</t>
        </r>
      </text>
    </comment>
    <comment ref="X55" authorId="0" shapeId="0" xr:uid="{00000000-0006-0000-0400-00007E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56" authorId="0" shapeId="0" xr:uid="{00000000-0006-0000-0400-00007F020000}">
      <text>
        <r>
          <rPr>
            <sz val="8"/>
            <color indexed="81"/>
            <rFont val="Tahoma"/>
            <family val="2"/>
          </rPr>
          <t>Products options are;
London
Maui
Paris
Sunscreen</t>
        </r>
      </text>
    </comment>
    <comment ref="E56" authorId="0" shapeId="0" xr:uid="{00000000-0006-0000-0400-00008002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56" authorId="0" shapeId="0" xr:uid="{00000000-0006-0000-0400-00008102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6" authorId="0" shapeId="0" xr:uid="{00000000-0006-0000-0400-000082020000}">
      <text>
        <r>
          <rPr>
            <sz val="8"/>
            <color indexed="81"/>
            <rFont val="Tahoma"/>
            <family val="2"/>
          </rPr>
          <t xml:space="preserve">Minimum Height/Drop is 300mm.
Maximum Height/Drop is 3000mm. </t>
        </r>
      </text>
    </comment>
    <comment ref="H56" authorId="0" shapeId="0" xr:uid="{00000000-0006-0000-0400-000083020000}">
      <text>
        <r>
          <rPr>
            <sz val="8"/>
            <color indexed="81"/>
            <rFont val="Tahoma"/>
            <family val="2"/>
          </rPr>
          <t>When selecting a
Corner or Bay 
Window Type, 
the 
CMB Corner WS 
or 
CMB Bay WS 
must be completed.</t>
        </r>
      </text>
    </comment>
    <comment ref="J56" authorId="0" shapeId="0" xr:uid="{00000000-0006-0000-0400-000084020000}">
      <text>
        <r>
          <rPr>
            <sz val="8"/>
            <color indexed="81"/>
            <rFont val="Tahoma"/>
            <family val="2"/>
          </rPr>
          <t>ACT 
Actual Measurements
You have made the allowances.
NAM
No Allowances Made 
The factory will make the deductions.</t>
        </r>
      </text>
    </comment>
    <comment ref="M56" authorId="0" shapeId="0" xr:uid="{00000000-0006-0000-0400-000085020000}">
      <text>
        <r>
          <rPr>
            <sz val="8"/>
            <color indexed="81"/>
            <rFont val="Tahoma"/>
            <family val="2"/>
          </rPr>
          <t xml:space="preserve">
Bottom Rail Colour options;
Clear Anodised
Metallic Black
Mocha
White
White Birch</t>
        </r>
      </text>
    </comment>
    <comment ref="O56" authorId="0" shapeId="0" xr:uid="{00000000-0006-0000-0400-000086020000}">
      <text>
        <r>
          <rPr>
            <sz val="8"/>
            <color indexed="81"/>
            <rFont val="Tahoma"/>
            <family val="2"/>
          </rPr>
          <t>Control Options are;
Left
Right
When Bracket Type is Link Together, 
Left or Right can only be selected once per Linked Set.</t>
        </r>
      </text>
    </comment>
    <comment ref="Q56" authorId="0" shapeId="0" xr:uid="{00000000-0006-0000-0400-000087020000}">
      <text>
        <r>
          <rPr>
            <sz val="8"/>
            <color indexed="81"/>
            <rFont val="Tahoma"/>
            <family val="2"/>
          </rPr>
          <t>Chain Length options are; 
Default
500mm
750mm
1000mm
1250mm
1500mm
2000mm</t>
        </r>
      </text>
    </comment>
    <comment ref="R56" authorId="0" shapeId="0" xr:uid="{00000000-0006-0000-0400-000088020000}">
      <text>
        <r>
          <rPr>
            <sz val="8"/>
            <color indexed="81"/>
            <rFont val="Tahoma"/>
            <family val="2"/>
          </rPr>
          <t>Chain Colour options are; 
White
White Birch
Black
Nickel Plated Brass
Stainless Steel</t>
        </r>
      </text>
    </comment>
    <comment ref="S56" authorId="0" shapeId="0" xr:uid="{00000000-0006-0000-0400-000089020000}">
      <text>
        <r>
          <rPr>
            <sz val="8"/>
            <color indexed="81"/>
            <rFont val="Tahoma"/>
            <family val="2"/>
          </rPr>
          <t>When
 Standard or Common 
is selected the 
Pelmet Colour 
must be entered.</t>
        </r>
      </text>
    </comment>
    <comment ref="W56" authorId="0" shapeId="0" xr:uid="{00000000-0006-0000-0400-00008A020000}">
      <text>
        <r>
          <rPr>
            <sz val="8"/>
            <color indexed="81"/>
            <rFont val="Tahoma"/>
            <family val="2"/>
          </rPr>
          <t>Bracket Options include:
All other options;
Standard
Double
Link
Double Link</t>
        </r>
      </text>
    </comment>
    <comment ref="X56" authorId="0" shapeId="0" xr:uid="{00000000-0006-0000-0400-00008B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 ref="D57" authorId="0" shapeId="0" xr:uid="{00000000-0006-0000-0400-00008C020000}">
      <text>
        <r>
          <rPr>
            <sz val="8"/>
            <color indexed="81"/>
            <rFont val="Tahoma"/>
            <family val="2"/>
          </rPr>
          <t>Products options are;
London
Maui
Paris
Sunscreen</t>
        </r>
      </text>
    </comment>
    <comment ref="E57" authorId="0" shapeId="0" xr:uid="{00000000-0006-0000-0400-00008D020000}">
      <text>
        <r>
          <rPr>
            <sz val="8"/>
            <color indexed="81"/>
            <rFont val="Tahoma"/>
            <family val="2"/>
          </rPr>
          <t>Fabric &amp; Colour can only be selected once the Product has been entered.
Colours available;
London; Biscuit, Dune, Dusk, Linen, Natural, Onyx, White Talc 
Maui; Espresso, Latte, Off White, Pebble, Sand
Paris; Ash Grey, Ashmere, Black, Bone, Burnt Sienna, Camel, Champagne, 
Cocoa, Essence, Fawn, Hazelnut, Latte, Natural, Pacific Blue, 
Scarlet, Slate, Soft White, Stone, Turquoise, White
Sunscreen; Bronze, Charcoal, Fox, Jasper, Pumice, Slate, Storm, Vanilla, White</t>
        </r>
      </text>
    </comment>
    <comment ref="F57" authorId="0" shapeId="0" xr:uid="{00000000-0006-0000-0400-00008E020000}">
      <text>
        <r>
          <rPr>
            <sz val="8"/>
            <color indexed="81"/>
            <rFont val="Tahoma"/>
            <family val="2"/>
          </rPr>
          <t xml:space="preserve">Minimum Width is 300mm.
For London &amp; Maui the 
Maximum Width is 2800mm.
For Paris &amp; Sunscreen the 
Maximum Width is 3000mm.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7" authorId="0" shapeId="0" xr:uid="{00000000-0006-0000-0400-00008F020000}">
      <text>
        <r>
          <rPr>
            <sz val="8"/>
            <color indexed="81"/>
            <rFont val="Tahoma"/>
            <family val="2"/>
          </rPr>
          <t xml:space="preserve">Minimum Height/Drop is 300mm.
Maximum Height/Drop is 3000mm. </t>
        </r>
      </text>
    </comment>
    <comment ref="H57" authorId="0" shapeId="0" xr:uid="{00000000-0006-0000-0400-000090020000}">
      <text>
        <r>
          <rPr>
            <sz val="8"/>
            <color indexed="81"/>
            <rFont val="Tahoma"/>
            <family val="2"/>
          </rPr>
          <t>When selecting a
Corner or Bay 
Window Type, 
the 
CMB Corner WS 
or 
CMB Bay WS 
must be completed.</t>
        </r>
      </text>
    </comment>
    <comment ref="J57" authorId="0" shapeId="0" xr:uid="{00000000-0006-0000-0400-000091020000}">
      <text>
        <r>
          <rPr>
            <sz val="8"/>
            <color indexed="81"/>
            <rFont val="Tahoma"/>
            <family val="2"/>
          </rPr>
          <t>ACT 
Actual Measurements
You have made the allowances.
NAM
No Allowances Made 
The factory will make the deductions.</t>
        </r>
      </text>
    </comment>
    <comment ref="M57" authorId="0" shapeId="0" xr:uid="{00000000-0006-0000-0400-000092020000}">
      <text>
        <r>
          <rPr>
            <sz val="8"/>
            <color indexed="81"/>
            <rFont val="Tahoma"/>
            <family val="2"/>
          </rPr>
          <t xml:space="preserve">
Bottom Rail Colour options;
Clear Anodised
Metallic Black
Mocha
White
White Birch</t>
        </r>
      </text>
    </comment>
    <comment ref="O57" authorId="0" shapeId="0" xr:uid="{00000000-0006-0000-0400-000093020000}">
      <text>
        <r>
          <rPr>
            <sz val="8"/>
            <color indexed="81"/>
            <rFont val="Tahoma"/>
            <family val="2"/>
          </rPr>
          <t>Control Options are;
Left
Right
When Bracket Type is Link Together, 
Left or Right can only be selected once per Linked Set.</t>
        </r>
      </text>
    </comment>
    <comment ref="Q57" authorId="0" shapeId="0" xr:uid="{00000000-0006-0000-0400-000094020000}">
      <text>
        <r>
          <rPr>
            <sz val="8"/>
            <color indexed="81"/>
            <rFont val="Tahoma"/>
            <family val="2"/>
          </rPr>
          <t>Chain Length options are; 
Default
500mm
750mm
1000mm
1250mm
1500mm
2000mm</t>
        </r>
      </text>
    </comment>
    <comment ref="R57" authorId="0" shapeId="0" xr:uid="{00000000-0006-0000-0400-000095020000}">
      <text>
        <r>
          <rPr>
            <sz val="8"/>
            <color indexed="81"/>
            <rFont val="Tahoma"/>
            <family val="2"/>
          </rPr>
          <t>Chain Colour options are; 
White
White Birch
Black
Nickel Plated Brass
Stainless Steel</t>
        </r>
      </text>
    </comment>
    <comment ref="S57" authorId="0" shapeId="0" xr:uid="{00000000-0006-0000-0400-000096020000}">
      <text>
        <r>
          <rPr>
            <sz val="8"/>
            <color indexed="81"/>
            <rFont val="Tahoma"/>
            <family val="2"/>
          </rPr>
          <t>When
 Standard or Common 
is selected the 
Pelmet Colour 
must be entered.</t>
        </r>
      </text>
    </comment>
    <comment ref="W57" authorId="0" shapeId="0" xr:uid="{00000000-0006-0000-0400-000097020000}">
      <text>
        <r>
          <rPr>
            <sz val="8"/>
            <color indexed="81"/>
            <rFont val="Tahoma"/>
            <family val="2"/>
          </rPr>
          <t>Bracket Options include:
All other options;
Standard
Double
Link
Double Link</t>
        </r>
      </text>
    </comment>
    <comment ref="X57" authorId="0" shapeId="0" xr:uid="{00000000-0006-0000-0400-000098020000}">
      <text>
        <r>
          <rPr>
            <sz val="8"/>
            <color indexed="81"/>
            <rFont val="Tahoma"/>
            <family val="2"/>
          </rPr>
          <t xml:space="preserve">Blinds larger than 2130mm Width or 2100mm Height will require a 45mm Tube.
This affects the Double and Double Link Bracket option types.
For 38mm Tube there are Double/Double Link Brackets in Standard and Slimline options.
For 45mm Tube there are Double/Double Link Brackets in Slimline options only.
The options are dependent based on the dimensions of the Blind.
</t>
        </r>
        <r>
          <rPr>
            <sz val="9"/>
            <color indexed="81"/>
            <rFont val="Tahoma"/>
            <family val="2"/>
          </rPr>
          <t xml:space="preserve">
If you want the </t>
        </r>
        <r>
          <rPr>
            <sz val="8"/>
            <color indexed="81"/>
            <rFont val="Tahoma"/>
            <family val="2"/>
          </rPr>
          <t>Bracket option types and Tube size matched for continuity, then please specify which lines you want to match in the Special Comments section.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E7" authorId="0" shapeId="0" xr:uid="{00000000-0006-0000-0500-000001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H7" authorId="0" shapeId="0" xr:uid="{00000000-0006-0000-0500-000002000000}">
      <text>
        <r>
          <rPr>
            <sz val="8"/>
            <color indexed="81"/>
            <rFont val="Tahoma"/>
            <family val="2"/>
          </rPr>
          <t>When selecting a
Corner or Bay Window Type, 
the CMB Corner WS or CMB Bay WS 
must be completed.</t>
        </r>
      </text>
    </comment>
    <comment ref="J7" authorId="0" shapeId="0" xr:uid="{00000000-0006-0000-0500-000003000000}">
      <text>
        <r>
          <rPr>
            <sz val="8"/>
            <color indexed="81"/>
            <rFont val="Tahoma"/>
            <family val="2"/>
          </rPr>
          <t>ACT 
Actual Measurements
You have made the allowances.
NAM
No Allowances Made 
The factory will make the deductions.</t>
        </r>
      </text>
    </comment>
    <comment ref="T7" authorId="0" shapeId="0" xr:uid="{00000000-0006-0000-0500-000004000000}">
      <text>
        <r>
          <rPr>
            <sz val="8"/>
            <color indexed="81"/>
            <rFont val="Tahoma"/>
            <family val="2"/>
          </rPr>
          <t>The Quantity is 
automatically calculated.</t>
        </r>
      </text>
    </comment>
    <comment ref="E8" authorId="0" shapeId="0" xr:uid="{00000000-0006-0000-0500-000005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8" authorId="0" shapeId="0" xr:uid="{00000000-0006-0000-0500-000006000000}">
      <text>
        <r>
          <rPr>
            <sz val="8"/>
            <color indexed="81"/>
            <rFont val="Tahoma"/>
            <family val="2"/>
          </rPr>
          <t xml:space="preserve">Minimum Width is 500mm.
Maximum Width is 4800mm. </t>
        </r>
      </text>
    </comment>
    <comment ref="G8" authorId="0" shapeId="0" xr:uid="{00000000-0006-0000-0500-000007000000}">
      <text>
        <r>
          <rPr>
            <sz val="8"/>
            <color indexed="81"/>
            <rFont val="Tahoma"/>
            <family val="2"/>
          </rPr>
          <t xml:space="preserve">Minimum Height/Drop is 200mm.
Maximum Height/Drop is 3600mm. </t>
        </r>
      </text>
    </comment>
    <comment ref="H8" authorId="0" shapeId="0" xr:uid="{00000000-0006-0000-0500-000008000000}">
      <text>
        <r>
          <rPr>
            <sz val="8"/>
            <color indexed="81"/>
            <rFont val="Tahoma"/>
            <family val="2"/>
          </rPr>
          <t>When selecting a
Corner or Bay Window Type, 
the CMB Corner WS or CMB Bay WS 
must be completed.</t>
        </r>
      </text>
    </comment>
    <comment ref="J8" authorId="0" shapeId="0" xr:uid="{00000000-0006-0000-0500-000009000000}">
      <text>
        <r>
          <rPr>
            <sz val="8"/>
            <color indexed="81"/>
            <rFont val="Tahoma"/>
            <family val="2"/>
          </rPr>
          <t>ACT 
Actual Measurements
You have made the allowances.
NAM
No Allowances Made 
The factory will make the deductions.</t>
        </r>
      </text>
    </comment>
    <comment ref="O8" authorId="0" shapeId="0" xr:uid="{00000000-0006-0000-0500-00000A000000}">
      <text>
        <r>
          <rPr>
            <sz val="8"/>
            <color indexed="81"/>
            <rFont val="Tahoma"/>
            <family val="2"/>
          </rPr>
          <t>When Yes is selected the Pelmet Colour must be entered.</t>
        </r>
      </text>
    </comment>
    <comment ref="E9" authorId="0" shapeId="0" xr:uid="{00000000-0006-0000-0500-00000B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9" authorId="0" shapeId="0" xr:uid="{00000000-0006-0000-0500-00000C000000}">
      <text>
        <r>
          <rPr>
            <sz val="8"/>
            <color indexed="81"/>
            <rFont val="Tahoma"/>
            <family val="2"/>
          </rPr>
          <t xml:space="preserve">Minimum Width is 500mm.
Maximum Width is 4800mm. </t>
        </r>
      </text>
    </comment>
    <comment ref="G9" authorId="0" shapeId="0" xr:uid="{00000000-0006-0000-0500-00000D000000}">
      <text>
        <r>
          <rPr>
            <sz val="8"/>
            <color indexed="81"/>
            <rFont val="Tahoma"/>
            <family val="2"/>
          </rPr>
          <t xml:space="preserve">Minimum Height/Drop is 200mm.
Maximum Height/Drop is 3600mm. </t>
        </r>
      </text>
    </comment>
    <comment ref="H9" authorId="0" shapeId="0" xr:uid="{00000000-0006-0000-0500-00000E000000}">
      <text>
        <r>
          <rPr>
            <sz val="8"/>
            <color indexed="81"/>
            <rFont val="Tahoma"/>
            <family val="2"/>
          </rPr>
          <t>When selecting a
Corner or Bay Window Type, 
the CMB Corner WS or CMB Bay WS 
must be completed.</t>
        </r>
      </text>
    </comment>
    <comment ref="J9" authorId="0" shapeId="0" xr:uid="{00000000-0006-0000-0500-00000F000000}">
      <text>
        <r>
          <rPr>
            <sz val="8"/>
            <color indexed="81"/>
            <rFont val="Tahoma"/>
            <family val="2"/>
          </rPr>
          <t>ACT 
Actual Measurements
You have made the allowances.
NAM
No Allowances Made 
The factory will make the deductions.</t>
        </r>
      </text>
    </comment>
    <comment ref="O9" authorId="0" shapeId="0" xr:uid="{00000000-0006-0000-0500-000010000000}">
      <text>
        <r>
          <rPr>
            <sz val="8"/>
            <color indexed="81"/>
            <rFont val="Tahoma"/>
            <family val="2"/>
          </rPr>
          <t>When Yes is selected the Pelmet Colour must be entered.</t>
        </r>
      </text>
    </comment>
    <comment ref="E10" authorId="0" shapeId="0" xr:uid="{00000000-0006-0000-0500-000011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10" authorId="0" shapeId="0" xr:uid="{00000000-0006-0000-0500-000012000000}">
      <text>
        <r>
          <rPr>
            <sz val="8"/>
            <color indexed="81"/>
            <rFont val="Tahoma"/>
            <family val="2"/>
          </rPr>
          <t xml:space="preserve">Minimum Width is 500mm.
Maximum Width is 4800mm. </t>
        </r>
      </text>
    </comment>
    <comment ref="G10" authorId="0" shapeId="0" xr:uid="{00000000-0006-0000-0500-000013000000}">
      <text>
        <r>
          <rPr>
            <sz val="8"/>
            <color indexed="81"/>
            <rFont val="Tahoma"/>
            <family val="2"/>
          </rPr>
          <t xml:space="preserve">Minimum Height/Drop is 200mm.
Maximum Height/Drop is 3600mm. </t>
        </r>
      </text>
    </comment>
    <comment ref="H10" authorId="0" shapeId="0" xr:uid="{00000000-0006-0000-0500-000014000000}">
      <text>
        <r>
          <rPr>
            <sz val="8"/>
            <color indexed="81"/>
            <rFont val="Tahoma"/>
            <family val="2"/>
          </rPr>
          <t>When selecting a
Corner or Bay Window Type, 
the CMB Corner WS or CMB Bay WS 
must be completed.</t>
        </r>
      </text>
    </comment>
    <comment ref="J10" authorId="0" shapeId="0" xr:uid="{00000000-0006-0000-0500-000015000000}">
      <text>
        <r>
          <rPr>
            <sz val="8"/>
            <color indexed="81"/>
            <rFont val="Tahoma"/>
            <family val="2"/>
          </rPr>
          <t>ACT 
Actual Measurements
You have made the allowances.
NAM
No Allowances Made 
The factory will make the deductions.</t>
        </r>
      </text>
    </comment>
    <comment ref="O10" authorId="0" shapeId="0" xr:uid="{00000000-0006-0000-0500-000016000000}">
      <text>
        <r>
          <rPr>
            <sz val="8"/>
            <color indexed="81"/>
            <rFont val="Tahoma"/>
            <family val="2"/>
          </rPr>
          <t>When Yes is selected the Pelmet Colour must be entered.</t>
        </r>
      </text>
    </comment>
    <comment ref="E11" authorId="0" shapeId="0" xr:uid="{00000000-0006-0000-0500-000017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11" authorId="0" shapeId="0" xr:uid="{00000000-0006-0000-0500-000018000000}">
      <text>
        <r>
          <rPr>
            <sz val="8"/>
            <color indexed="81"/>
            <rFont val="Tahoma"/>
            <family val="2"/>
          </rPr>
          <t xml:space="preserve">Minimum Width is 500mm.
Maximum Width is 4800mm. </t>
        </r>
      </text>
    </comment>
    <comment ref="G11" authorId="0" shapeId="0" xr:uid="{00000000-0006-0000-0500-000019000000}">
      <text>
        <r>
          <rPr>
            <sz val="8"/>
            <color indexed="81"/>
            <rFont val="Tahoma"/>
            <family val="2"/>
          </rPr>
          <t xml:space="preserve">Minimum Height/Drop is 200mm.
Maximum Height/Drop is 3600mm. </t>
        </r>
      </text>
    </comment>
    <comment ref="H11" authorId="0" shapeId="0" xr:uid="{00000000-0006-0000-0500-00001A000000}">
      <text>
        <r>
          <rPr>
            <sz val="8"/>
            <color indexed="81"/>
            <rFont val="Tahoma"/>
            <family val="2"/>
          </rPr>
          <t>When selecting a
Corner or Bay Window Type, 
the CMB Corner WS or CMB Bay WS 
must be completed.</t>
        </r>
      </text>
    </comment>
    <comment ref="J11" authorId="0" shapeId="0" xr:uid="{00000000-0006-0000-0500-00001B000000}">
      <text>
        <r>
          <rPr>
            <sz val="8"/>
            <color indexed="81"/>
            <rFont val="Tahoma"/>
            <family val="2"/>
          </rPr>
          <t>ACT 
Actual Measurements
You have made the allowances.
NAM
No Allowances Made 
The factory will make the deductions.</t>
        </r>
      </text>
    </comment>
    <comment ref="O11" authorId="0" shapeId="0" xr:uid="{00000000-0006-0000-0500-00001C000000}">
      <text>
        <r>
          <rPr>
            <sz val="8"/>
            <color indexed="81"/>
            <rFont val="Tahoma"/>
            <family val="2"/>
          </rPr>
          <t>When Yes is selected the Pelmet Colour must be entered.</t>
        </r>
      </text>
    </comment>
    <comment ref="E12" authorId="0" shapeId="0" xr:uid="{00000000-0006-0000-0500-00001D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12" authorId="0" shapeId="0" xr:uid="{00000000-0006-0000-0500-00001E000000}">
      <text>
        <r>
          <rPr>
            <sz val="8"/>
            <color indexed="81"/>
            <rFont val="Tahoma"/>
            <family val="2"/>
          </rPr>
          <t xml:space="preserve">Minimum Width is 500mm.
Maximum Width is 4800mm. </t>
        </r>
      </text>
    </comment>
    <comment ref="G12" authorId="0" shapeId="0" xr:uid="{00000000-0006-0000-0500-00001F000000}">
      <text>
        <r>
          <rPr>
            <sz val="8"/>
            <color indexed="81"/>
            <rFont val="Tahoma"/>
            <family val="2"/>
          </rPr>
          <t xml:space="preserve">Minimum Height/Drop is 200mm.
Maximum Height/Drop is 3600mm. </t>
        </r>
      </text>
    </comment>
    <comment ref="H12" authorId="0" shapeId="0" xr:uid="{00000000-0006-0000-0500-000020000000}">
      <text>
        <r>
          <rPr>
            <sz val="8"/>
            <color indexed="81"/>
            <rFont val="Tahoma"/>
            <family val="2"/>
          </rPr>
          <t>When selecting a
Corner or Bay Window Type, 
the CMB Corner WS or CMB Bay WS 
must be completed.</t>
        </r>
      </text>
    </comment>
    <comment ref="J12" authorId="0" shapeId="0" xr:uid="{00000000-0006-0000-0500-000021000000}">
      <text>
        <r>
          <rPr>
            <sz val="8"/>
            <color indexed="81"/>
            <rFont val="Tahoma"/>
            <family val="2"/>
          </rPr>
          <t>ACT 
Actual Measurements
You have made the allowances.
NAM
No Allowances Made 
The factory will make the deductions.</t>
        </r>
      </text>
    </comment>
    <comment ref="O12" authorId="0" shapeId="0" xr:uid="{00000000-0006-0000-0500-000022000000}">
      <text>
        <r>
          <rPr>
            <sz val="8"/>
            <color indexed="81"/>
            <rFont val="Tahoma"/>
            <family val="2"/>
          </rPr>
          <t>When Yes is selected the Pelmet Colour must be entered.</t>
        </r>
      </text>
    </comment>
    <comment ref="E13" authorId="0" shapeId="0" xr:uid="{00000000-0006-0000-0500-000023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13" authorId="0" shapeId="0" xr:uid="{00000000-0006-0000-0500-000024000000}">
      <text>
        <r>
          <rPr>
            <sz val="8"/>
            <color indexed="81"/>
            <rFont val="Tahoma"/>
            <family val="2"/>
          </rPr>
          <t xml:space="preserve">Minimum Width is 500mm.
Maximum Width is 4800mm. </t>
        </r>
      </text>
    </comment>
    <comment ref="G13" authorId="0" shapeId="0" xr:uid="{00000000-0006-0000-0500-000025000000}">
      <text>
        <r>
          <rPr>
            <sz val="8"/>
            <color indexed="81"/>
            <rFont val="Tahoma"/>
            <family val="2"/>
          </rPr>
          <t xml:space="preserve">Minimum Height/Drop is 200mm.
Maximum Height/Drop is 3600mm. </t>
        </r>
      </text>
    </comment>
    <comment ref="H13" authorId="0" shapeId="0" xr:uid="{00000000-0006-0000-0500-000026000000}">
      <text>
        <r>
          <rPr>
            <sz val="8"/>
            <color indexed="81"/>
            <rFont val="Tahoma"/>
            <family val="2"/>
          </rPr>
          <t>When selecting a
Corner or Bay Window Type, 
the CMB Corner WS or CMB Bay WS 
must be completed.</t>
        </r>
      </text>
    </comment>
    <comment ref="J13" authorId="0" shapeId="0" xr:uid="{00000000-0006-0000-0500-000027000000}">
      <text>
        <r>
          <rPr>
            <sz val="8"/>
            <color indexed="81"/>
            <rFont val="Tahoma"/>
            <family val="2"/>
          </rPr>
          <t>ACT 
Actual Measurements
You have made the allowances.
NAM
No Allowances Made 
The factory will make the deductions.</t>
        </r>
      </text>
    </comment>
    <comment ref="O13" authorId="0" shapeId="0" xr:uid="{00000000-0006-0000-0500-000028000000}">
      <text>
        <r>
          <rPr>
            <sz val="8"/>
            <color indexed="81"/>
            <rFont val="Tahoma"/>
            <family val="2"/>
          </rPr>
          <t>When Yes is selected the Pelmet Colour must be entered.</t>
        </r>
      </text>
    </comment>
    <comment ref="E14" authorId="0" shapeId="0" xr:uid="{00000000-0006-0000-0500-000029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14" authorId="0" shapeId="0" xr:uid="{00000000-0006-0000-0500-00002A000000}">
      <text>
        <r>
          <rPr>
            <sz val="8"/>
            <color indexed="81"/>
            <rFont val="Tahoma"/>
            <family val="2"/>
          </rPr>
          <t xml:space="preserve">Minimum Width is 500mm.
Maximum Width is 4800mm. </t>
        </r>
      </text>
    </comment>
    <comment ref="G14" authorId="0" shapeId="0" xr:uid="{00000000-0006-0000-0500-00002B000000}">
      <text>
        <r>
          <rPr>
            <sz val="8"/>
            <color indexed="81"/>
            <rFont val="Tahoma"/>
            <family val="2"/>
          </rPr>
          <t xml:space="preserve">Minimum Height/Drop is 200mm.
Maximum Height/Drop is 3600mm. </t>
        </r>
      </text>
    </comment>
    <comment ref="H14" authorId="0" shapeId="0" xr:uid="{00000000-0006-0000-0500-00002C000000}">
      <text>
        <r>
          <rPr>
            <sz val="8"/>
            <color indexed="81"/>
            <rFont val="Tahoma"/>
            <family val="2"/>
          </rPr>
          <t>When selecting a
Corner or Bay Window Type, 
the CMB Corner WS or CMB Bay WS 
must be completed.</t>
        </r>
      </text>
    </comment>
    <comment ref="J14" authorId="0" shapeId="0" xr:uid="{00000000-0006-0000-0500-00002D000000}">
      <text>
        <r>
          <rPr>
            <sz val="8"/>
            <color indexed="81"/>
            <rFont val="Tahoma"/>
            <family val="2"/>
          </rPr>
          <t>ACT 
Actual Measurements
You have made the allowances.
NAM
No Allowances Made 
The factory will make the deductions.</t>
        </r>
      </text>
    </comment>
    <comment ref="O14" authorId="0" shapeId="0" xr:uid="{00000000-0006-0000-0500-00002E000000}">
      <text>
        <r>
          <rPr>
            <sz val="8"/>
            <color indexed="81"/>
            <rFont val="Tahoma"/>
            <family val="2"/>
          </rPr>
          <t>When Yes is selected the Pelmet Colour must be entered.</t>
        </r>
      </text>
    </comment>
    <comment ref="E15" authorId="0" shapeId="0" xr:uid="{00000000-0006-0000-0500-00002F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15" authorId="0" shapeId="0" xr:uid="{00000000-0006-0000-0500-000030000000}">
      <text>
        <r>
          <rPr>
            <sz val="8"/>
            <color indexed="81"/>
            <rFont val="Tahoma"/>
            <family val="2"/>
          </rPr>
          <t xml:space="preserve">Minimum Width is 500mm.
Maximum Width is 4800mm. </t>
        </r>
      </text>
    </comment>
    <comment ref="G15" authorId="0" shapeId="0" xr:uid="{00000000-0006-0000-0500-000031000000}">
      <text>
        <r>
          <rPr>
            <sz val="8"/>
            <color indexed="81"/>
            <rFont val="Tahoma"/>
            <family val="2"/>
          </rPr>
          <t xml:space="preserve">Minimum Height/Drop is 200mm.
Maximum Height/Drop is 3600mm. </t>
        </r>
      </text>
    </comment>
    <comment ref="H15" authorId="0" shapeId="0" xr:uid="{00000000-0006-0000-0500-000032000000}">
      <text>
        <r>
          <rPr>
            <sz val="8"/>
            <color indexed="81"/>
            <rFont val="Tahoma"/>
            <family val="2"/>
          </rPr>
          <t>When selecting a
Corner or Bay Window Type, 
the CMB Corner WS or CMB Bay WS 
must be completed.</t>
        </r>
      </text>
    </comment>
    <comment ref="J15" authorId="0" shapeId="0" xr:uid="{00000000-0006-0000-0500-000033000000}">
      <text>
        <r>
          <rPr>
            <sz val="8"/>
            <color indexed="81"/>
            <rFont val="Tahoma"/>
            <family val="2"/>
          </rPr>
          <t>ACT 
Actual Measurements
You have made the allowances.
NAM
No Allowances Made 
The factory will make the deductions.</t>
        </r>
      </text>
    </comment>
    <comment ref="O15" authorId="0" shapeId="0" xr:uid="{00000000-0006-0000-0500-000034000000}">
      <text>
        <r>
          <rPr>
            <sz val="8"/>
            <color indexed="81"/>
            <rFont val="Tahoma"/>
            <family val="2"/>
          </rPr>
          <t>When Yes is selected the Pelmet Colour must be entered.</t>
        </r>
      </text>
    </comment>
    <comment ref="E16" authorId="0" shapeId="0" xr:uid="{00000000-0006-0000-0500-000035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16" authorId="0" shapeId="0" xr:uid="{00000000-0006-0000-0500-000036000000}">
      <text>
        <r>
          <rPr>
            <sz val="8"/>
            <color indexed="81"/>
            <rFont val="Tahoma"/>
            <family val="2"/>
          </rPr>
          <t xml:space="preserve">Minimum Width is 500mm.
Maximum Width is 4800mm. </t>
        </r>
      </text>
    </comment>
    <comment ref="G16" authorId="0" shapeId="0" xr:uid="{00000000-0006-0000-0500-000037000000}">
      <text>
        <r>
          <rPr>
            <sz val="8"/>
            <color indexed="81"/>
            <rFont val="Tahoma"/>
            <family val="2"/>
          </rPr>
          <t xml:space="preserve">Minimum Height/Drop is 200mm.
Maximum Height/Drop is 3600mm. </t>
        </r>
      </text>
    </comment>
    <comment ref="H16" authorId="0" shapeId="0" xr:uid="{00000000-0006-0000-0500-000038000000}">
      <text>
        <r>
          <rPr>
            <sz val="8"/>
            <color indexed="81"/>
            <rFont val="Tahoma"/>
            <family val="2"/>
          </rPr>
          <t>When selecting a
Corner or Bay Window Type, 
the CMB Corner WS or CMB Bay WS 
must be completed.</t>
        </r>
      </text>
    </comment>
    <comment ref="J16" authorId="0" shapeId="0" xr:uid="{00000000-0006-0000-0500-000039000000}">
      <text>
        <r>
          <rPr>
            <sz val="8"/>
            <color indexed="81"/>
            <rFont val="Tahoma"/>
            <family val="2"/>
          </rPr>
          <t>ACT 
Actual Measurements
You have made the allowances.
NAM
No Allowances Made 
The factory will make the deductions.</t>
        </r>
      </text>
    </comment>
    <comment ref="O16" authorId="0" shapeId="0" xr:uid="{00000000-0006-0000-0500-00003A000000}">
      <text>
        <r>
          <rPr>
            <sz val="8"/>
            <color indexed="81"/>
            <rFont val="Tahoma"/>
            <family val="2"/>
          </rPr>
          <t>When Yes is selected the Pelmet Colour must be entered.</t>
        </r>
      </text>
    </comment>
    <comment ref="E17" authorId="0" shapeId="0" xr:uid="{00000000-0006-0000-0500-00003B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17" authorId="0" shapeId="0" xr:uid="{00000000-0006-0000-0500-00003C000000}">
      <text>
        <r>
          <rPr>
            <sz val="8"/>
            <color indexed="81"/>
            <rFont val="Tahoma"/>
            <family val="2"/>
          </rPr>
          <t xml:space="preserve">Minimum Width is 500mm.
Maximum Width is 4800mm. </t>
        </r>
      </text>
    </comment>
    <comment ref="G17" authorId="0" shapeId="0" xr:uid="{00000000-0006-0000-0500-00003D000000}">
      <text>
        <r>
          <rPr>
            <sz val="8"/>
            <color indexed="81"/>
            <rFont val="Tahoma"/>
            <family val="2"/>
          </rPr>
          <t xml:space="preserve">Minimum Height/Drop is 200mm.
Maximum Height/Drop is 3600mm. </t>
        </r>
      </text>
    </comment>
    <comment ref="H17" authorId="0" shapeId="0" xr:uid="{00000000-0006-0000-0500-00003E000000}">
      <text>
        <r>
          <rPr>
            <sz val="8"/>
            <color indexed="81"/>
            <rFont val="Tahoma"/>
            <family val="2"/>
          </rPr>
          <t>When selecting a
Corner or Bay Window Type, 
the CMB Corner WS or CMB Bay WS 
must be completed.</t>
        </r>
      </text>
    </comment>
    <comment ref="J17" authorId="0" shapeId="0" xr:uid="{00000000-0006-0000-0500-00003F000000}">
      <text>
        <r>
          <rPr>
            <sz val="8"/>
            <color indexed="81"/>
            <rFont val="Tahoma"/>
            <family val="2"/>
          </rPr>
          <t>ACT 
Actual Measurements
You have made the allowances.
NAM
No Allowances Made 
The factory will make the deductions.</t>
        </r>
      </text>
    </comment>
    <comment ref="O17" authorId="0" shapeId="0" xr:uid="{00000000-0006-0000-0500-000040000000}">
      <text>
        <r>
          <rPr>
            <sz val="8"/>
            <color indexed="81"/>
            <rFont val="Tahoma"/>
            <family val="2"/>
          </rPr>
          <t>When Yes is selected the Pelmet Colour must be entered.</t>
        </r>
      </text>
    </comment>
    <comment ref="E18" authorId="0" shapeId="0" xr:uid="{00000000-0006-0000-0500-000041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18" authorId="0" shapeId="0" xr:uid="{00000000-0006-0000-0500-000042000000}">
      <text>
        <r>
          <rPr>
            <sz val="8"/>
            <color indexed="81"/>
            <rFont val="Tahoma"/>
            <family val="2"/>
          </rPr>
          <t xml:space="preserve">Minimum Width is 500mm.
Maximum Width is 4800mm. </t>
        </r>
      </text>
    </comment>
    <comment ref="G18" authorId="0" shapeId="0" xr:uid="{00000000-0006-0000-0500-000043000000}">
      <text>
        <r>
          <rPr>
            <sz val="8"/>
            <color indexed="81"/>
            <rFont val="Tahoma"/>
            <family val="2"/>
          </rPr>
          <t xml:space="preserve">Minimum Height/Drop is 200mm.
Maximum Height/Drop is 3600mm. </t>
        </r>
      </text>
    </comment>
    <comment ref="H18" authorId="0" shapeId="0" xr:uid="{00000000-0006-0000-0500-000044000000}">
      <text>
        <r>
          <rPr>
            <sz val="8"/>
            <color indexed="81"/>
            <rFont val="Tahoma"/>
            <family val="2"/>
          </rPr>
          <t>When selecting a
Corner or Bay Window Type, 
the CMB Corner WS or CMB Bay WS 
must be completed.</t>
        </r>
      </text>
    </comment>
    <comment ref="J18" authorId="0" shapeId="0" xr:uid="{00000000-0006-0000-0500-000045000000}">
      <text>
        <r>
          <rPr>
            <sz val="8"/>
            <color indexed="81"/>
            <rFont val="Tahoma"/>
            <family val="2"/>
          </rPr>
          <t>ACT 
Actual Measurements
You have made the allowances.
NAM
No Allowances Made 
The factory will make the deductions.</t>
        </r>
      </text>
    </comment>
    <comment ref="O18" authorId="0" shapeId="0" xr:uid="{00000000-0006-0000-0500-000046000000}">
      <text>
        <r>
          <rPr>
            <sz val="8"/>
            <color indexed="81"/>
            <rFont val="Tahoma"/>
            <family val="2"/>
          </rPr>
          <t>When Yes is selected the Pelmet Colour must be entered.</t>
        </r>
      </text>
    </comment>
    <comment ref="E19" authorId="0" shapeId="0" xr:uid="{00000000-0006-0000-0500-000047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19" authorId="0" shapeId="0" xr:uid="{00000000-0006-0000-0500-000048000000}">
      <text>
        <r>
          <rPr>
            <sz val="8"/>
            <color indexed="81"/>
            <rFont val="Tahoma"/>
            <family val="2"/>
          </rPr>
          <t xml:space="preserve">Minimum Width is 500mm.
Maximum Width is 4800mm. </t>
        </r>
      </text>
    </comment>
    <comment ref="G19" authorId="0" shapeId="0" xr:uid="{00000000-0006-0000-0500-000049000000}">
      <text>
        <r>
          <rPr>
            <sz val="8"/>
            <color indexed="81"/>
            <rFont val="Tahoma"/>
            <family val="2"/>
          </rPr>
          <t xml:space="preserve">Minimum Height/Drop is 200mm.
Maximum Height/Drop is 3600mm. </t>
        </r>
      </text>
    </comment>
    <comment ref="H19" authorId="0" shapeId="0" xr:uid="{00000000-0006-0000-0500-00004A000000}">
      <text>
        <r>
          <rPr>
            <sz val="8"/>
            <color indexed="81"/>
            <rFont val="Tahoma"/>
            <family val="2"/>
          </rPr>
          <t>When selecting a
Corner or Bay Window Type, 
the CMB Corner WS or CMB Bay WS 
must be completed.</t>
        </r>
      </text>
    </comment>
    <comment ref="J19" authorId="0" shapeId="0" xr:uid="{00000000-0006-0000-0500-00004B000000}">
      <text>
        <r>
          <rPr>
            <sz val="8"/>
            <color indexed="81"/>
            <rFont val="Tahoma"/>
            <family val="2"/>
          </rPr>
          <t>ACT 
Actual Measurements
You have made the allowances.
NAM
No Allowances Made 
The factory will make the deductions.</t>
        </r>
      </text>
    </comment>
    <comment ref="O19" authorId="0" shapeId="0" xr:uid="{00000000-0006-0000-0500-00004C000000}">
      <text>
        <r>
          <rPr>
            <sz val="8"/>
            <color indexed="81"/>
            <rFont val="Tahoma"/>
            <family val="2"/>
          </rPr>
          <t>When Yes is selected the Pelmet Colour must be entered.</t>
        </r>
      </text>
    </comment>
    <comment ref="E20" authorId="0" shapeId="0" xr:uid="{00000000-0006-0000-0500-00004D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20" authorId="0" shapeId="0" xr:uid="{00000000-0006-0000-0500-00004E000000}">
      <text>
        <r>
          <rPr>
            <sz val="8"/>
            <color indexed="81"/>
            <rFont val="Tahoma"/>
            <family val="2"/>
          </rPr>
          <t xml:space="preserve">Minimum Width is 500mm.
Maximum Width is 4800mm. </t>
        </r>
      </text>
    </comment>
    <comment ref="G20" authorId="0" shapeId="0" xr:uid="{00000000-0006-0000-0500-00004F000000}">
      <text>
        <r>
          <rPr>
            <sz val="8"/>
            <color indexed="81"/>
            <rFont val="Tahoma"/>
            <family val="2"/>
          </rPr>
          <t xml:space="preserve">Minimum Height/Drop is 200mm.
Maximum Height/Drop is 3600mm. </t>
        </r>
      </text>
    </comment>
    <comment ref="H20" authorId="0" shapeId="0" xr:uid="{00000000-0006-0000-0500-000050000000}">
      <text>
        <r>
          <rPr>
            <sz val="8"/>
            <color indexed="81"/>
            <rFont val="Tahoma"/>
            <family val="2"/>
          </rPr>
          <t>When selecting a
Corner or Bay Window Type, 
the CMB Corner WS or CMB Bay WS 
must be completed.</t>
        </r>
      </text>
    </comment>
    <comment ref="J20" authorId="0" shapeId="0" xr:uid="{00000000-0006-0000-0500-000051000000}">
      <text>
        <r>
          <rPr>
            <sz val="8"/>
            <color indexed="81"/>
            <rFont val="Tahoma"/>
            <family val="2"/>
          </rPr>
          <t>ACT 
Actual Measurements
You have made the allowances.
NAM
No Allowances Made 
The factory will make the deductions.</t>
        </r>
      </text>
    </comment>
    <comment ref="O20" authorId="0" shapeId="0" xr:uid="{00000000-0006-0000-0500-000052000000}">
      <text>
        <r>
          <rPr>
            <sz val="8"/>
            <color indexed="81"/>
            <rFont val="Tahoma"/>
            <family val="2"/>
          </rPr>
          <t>When Yes is selected the Pelmet Colour must be entered.</t>
        </r>
      </text>
    </comment>
    <comment ref="E21" authorId="0" shapeId="0" xr:uid="{00000000-0006-0000-0500-000053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21" authorId="0" shapeId="0" xr:uid="{00000000-0006-0000-0500-000054000000}">
      <text>
        <r>
          <rPr>
            <sz val="8"/>
            <color indexed="81"/>
            <rFont val="Tahoma"/>
            <family val="2"/>
          </rPr>
          <t xml:space="preserve">Minimum Width is 500mm.
Maximum Width is 4800mm. </t>
        </r>
      </text>
    </comment>
    <comment ref="G21" authorId="0" shapeId="0" xr:uid="{00000000-0006-0000-0500-000055000000}">
      <text>
        <r>
          <rPr>
            <sz val="8"/>
            <color indexed="81"/>
            <rFont val="Tahoma"/>
            <family val="2"/>
          </rPr>
          <t xml:space="preserve">Minimum Height/Drop is 200mm.
Maximum Height/Drop is 3600mm. </t>
        </r>
      </text>
    </comment>
    <comment ref="H21" authorId="0" shapeId="0" xr:uid="{00000000-0006-0000-0500-000056000000}">
      <text>
        <r>
          <rPr>
            <sz val="8"/>
            <color indexed="81"/>
            <rFont val="Tahoma"/>
            <family val="2"/>
          </rPr>
          <t>When selecting a
Corner or Bay Window Type, 
the CMB Corner WS or CMB Bay WS 
must be completed.</t>
        </r>
      </text>
    </comment>
    <comment ref="J21" authorId="0" shapeId="0" xr:uid="{00000000-0006-0000-0500-000057000000}">
      <text>
        <r>
          <rPr>
            <sz val="8"/>
            <color indexed="81"/>
            <rFont val="Tahoma"/>
            <family val="2"/>
          </rPr>
          <t>ACT 
Actual Measurements
You have made the allowances.
NAM
No Allowances Made 
The factory will make the deductions.</t>
        </r>
      </text>
    </comment>
    <comment ref="O21" authorId="0" shapeId="0" xr:uid="{00000000-0006-0000-0500-000058000000}">
      <text>
        <r>
          <rPr>
            <sz val="8"/>
            <color indexed="81"/>
            <rFont val="Tahoma"/>
            <family val="2"/>
          </rPr>
          <t>When Yes is selected the Pelmet Colour must be entered.</t>
        </r>
      </text>
    </comment>
    <comment ref="E22" authorId="0" shapeId="0" xr:uid="{00000000-0006-0000-0500-000059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22" authorId="0" shapeId="0" xr:uid="{00000000-0006-0000-0500-00005A000000}">
      <text>
        <r>
          <rPr>
            <sz val="8"/>
            <color indexed="81"/>
            <rFont val="Tahoma"/>
            <family val="2"/>
          </rPr>
          <t xml:space="preserve">Minimum Width is 500mm.
Maximum Width is 4800mm. </t>
        </r>
      </text>
    </comment>
    <comment ref="G22" authorId="0" shapeId="0" xr:uid="{00000000-0006-0000-0500-00005B000000}">
      <text>
        <r>
          <rPr>
            <sz val="8"/>
            <color indexed="81"/>
            <rFont val="Tahoma"/>
            <family val="2"/>
          </rPr>
          <t xml:space="preserve">Minimum Height/Drop is 200mm.
Maximum Height/Drop is 3600mm. </t>
        </r>
      </text>
    </comment>
    <comment ref="H22" authorId="0" shapeId="0" xr:uid="{00000000-0006-0000-0500-00005C000000}">
      <text>
        <r>
          <rPr>
            <sz val="8"/>
            <color indexed="81"/>
            <rFont val="Tahoma"/>
            <family val="2"/>
          </rPr>
          <t>When selecting a
Corner or Bay Window Type, 
the CMB Corner WS or CMB Bay WS 
must be completed.</t>
        </r>
      </text>
    </comment>
    <comment ref="J22" authorId="0" shapeId="0" xr:uid="{00000000-0006-0000-0500-00005D000000}">
      <text>
        <r>
          <rPr>
            <sz val="8"/>
            <color indexed="81"/>
            <rFont val="Tahoma"/>
            <family val="2"/>
          </rPr>
          <t>ACT 
Actual Measurements
You have made the allowances.
NAM
No Allowances Made 
The factory will make the deductions.</t>
        </r>
      </text>
    </comment>
    <comment ref="O22" authorId="0" shapeId="0" xr:uid="{00000000-0006-0000-0500-00005E000000}">
      <text>
        <r>
          <rPr>
            <sz val="8"/>
            <color indexed="81"/>
            <rFont val="Tahoma"/>
            <family val="2"/>
          </rPr>
          <t>When Yes is selected the Pelmet Colour must be entered.</t>
        </r>
      </text>
    </comment>
    <comment ref="E23" authorId="0" shapeId="0" xr:uid="{00000000-0006-0000-0500-00005F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23" authorId="0" shapeId="0" xr:uid="{00000000-0006-0000-0500-000060000000}">
      <text>
        <r>
          <rPr>
            <sz val="8"/>
            <color indexed="81"/>
            <rFont val="Tahoma"/>
            <family val="2"/>
          </rPr>
          <t xml:space="preserve">Minimum Width is 500mm.
Maximum Width is 4800mm. </t>
        </r>
      </text>
    </comment>
    <comment ref="G23" authorId="0" shapeId="0" xr:uid="{00000000-0006-0000-0500-000061000000}">
      <text>
        <r>
          <rPr>
            <sz val="8"/>
            <color indexed="81"/>
            <rFont val="Tahoma"/>
            <family val="2"/>
          </rPr>
          <t xml:space="preserve">Minimum Height/Drop is 200mm.
Maximum Height/Drop is 3600mm. </t>
        </r>
      </text>
    </comment>
    <comment ref="H23" authorId="0" shapeId="0" xr:uid="{00000000-0006-0000-0500-000062000000}">
      <text>
        <r>
          <rPr>
            <sz val="8"/>
            <color indexed="81"/>
            <rFont val="Tahoma"/>
            <family val="2"/>
          </rPr>
          <t>When selecting a
Corner or Bay Window Type, 
the CMB Corner WS or CMB Bay WS 
must be completed.</t>
        </r>
      </text>
    </comment>
    <comment ref="J23" authorId="0" shapeId="0" xr:uid="{00000000-0006-0000-0500-000063000000}">
      <text>
        <r>
          <rPr>
            <sz val="8"/>
            <color indexed="81"/>
            <rFont val="Tahoma"/>
            <family val="2"/>
          </rPr>
          <t>ACT 
Actual Measurements
You have made the allowances.
NAM
No Allowances Made 
The factory will make the deductions.</t>
        </r>
      </text>
    </comment>
    <comment ref="O23" authorId="0" shapeId="0" xr:uid="{00000000-0006-0000-0500-000064000000}">
      <text>
        <r>
          <rPr>
            <sz val="8"/>
            <color indexed="81"/>
            <rFont val="Tahoma"/>
            <family val="2"/>
          </rPr>
          <t>When Yes is selected the Pelmet Colour must be entered.</t>
        </r>
      </text>
    </comment>
    <comment ref="E24" authorId="0" shapeId="0" xr:uid="{00000000-0006-0000-0500-000065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24" authorId="0" shapeId="0" xr:uid="{00000000-0006-0000-0500-000066000000}">
      <text>
        <r>
          <rPr>
            <sz val="8"/>
            <color indexed="81"/>
            <rFont val="Tahoma"/>
            <family val="2"/>
          </rPr>
          <t xml:space="preserve">Minimum Width is 500mm.
Maximum Width is 4800mm. </t>
        </r>
      </text>
    </comment>
    <comment ref="G24" authorId="0" shapeId="0" xr:uid="{00000000-0006-0000-0500-000067000000}">
      <text>
        <r>
          <rPr>
            <sz val="8"/>
            <color indexed="81"/>
            <rFont val="Tahoma"/>
            <family val="2"/>
          </rPr>
          <t xml:space="preserve">Minimum Height/Drop is 200mm.
Maximum Height/Drop is 3600mm. </t>
        </r>
      </text>
    </comment>
    <comment ref="H24" authorId="0" shapeId="0" xr:uid="{00000000-0006-0000-0500-000068000000}">
      <text>
        <r>
          <rPr>
            <sz val="8"/>
            <color indexed="81"/>
            <rFont val="Tahoma"/>
            <family val="2"/>
          </rPr>
          <t>When selecting a
Corner or Bay Window Type, 
the CMB Corner WS or CMB Bay WS 
must be completed.</t>
        </r>
      </text>
    </comment>
    <comment ref="J24" authorId="0" shapeId="0" xr:uid="{00000000-0006-0000-0500-000069000000}">
      <text>
        <r>
          <rPr>
            <sz val="8"/>
            <color indexed="81"/>
            <rFont val="Tahoma"/>
            <family val="2"/>
          </rPr>
          <t>ACT 
Actual Measurements
You have made the allowances.
NAM
No Allowances Made 
The factory will make the deductions.</t>
        </r>
      </text>
    </comment>
    <comment ref="O24" authorId="0" shapeId="0" xr:uid="{00000000-0006-0000-0500-00006A000000}">
      <text>
        <r>
          <rPr>
            <sz val="8"/>
            <color indexed="81"/>
            <rFont val="Tahoma"/>
            <family val="2"/>
          </rPr>
          <t>When Yes is selected the Pelmet Colour must be entered.</t>
        </r>
      </text>
    </comment>
    <comment ref="E25" authorId="0" shapeId="0" xr:uid="{00000000-0006-0000-0500-00006B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25" authorId="0" shapeId="0" xr:uid="{00000000-0006-0000-0500-00006C000000}">
      <text>
        <r>
          <rPr>
            <sz val="8"/>
            <color indexed="81"/>
            <rFont val="Tahoma"/>
            <family val="2"/>
          </rPr>
          <t xml:space="preserve">Minimum Width is 500mm.
Maximum Width is 4800mm. </t>
        </r>
      </text>
    </comment>
    <comment ref="G25" authorId="0" shapeId="0" xr:uid="{00000000-0006-0000-0500-00006D000000}">
      <text>
        <r>
          <rPr>
            <sz val="8"/>
            <color indexed="81"/>
            <rFont val="Tahoma"/>
            <family val="2"/>
          </rPr>
          <t xml:space="preserve">Minimum Height/Drop is 200mm.
Maximum Height/Drop is 3600mm. </t>
        </r>
      </text>
    </comment>
    <comment ref="H25" authorId="0" shapeId="0" xr:uid="{00000000-0006-0000-0500-00006E000000}">
      <text>
        <r>
          <rPr>
            <sz val="8"/>
            <color indexed="81"/>
            <rFont val="Tahoma"/>
            <family val="2"/>
          </rPr>
          <t>When selecting a
Corner or Bay Window Type, 
the CMB Corner WS or CMB Bay WS 
must be completed.</t>
        </r>
      </text>
    </comment>
    <comment ref="J25" authorId="0" shapeId="0" xr:uid="{00000000-0006-0000-0500-00006F000000}">
      <text>
        <r>
          <rPr>
            <sz val="8"/>
            <color indexed="81"/>
            <rFont val="Tahoma"/>
            <family val="2"/>
          </rPr>
          <t>ACT 
Actual Measurements
You have made the allowances.
NAM
No Allowances Made 
The factory will make the deductions.</t>
        </r>
      </text>
    </comment>
    <comment ref="O25" authorId="0" shapeId="0" xr:uid="{00000000-0006-0000-0500-000070000000}">
      <text>
        <r>
          <rPr>
            <sz val="8"/>
            <color indexed="81"/>
            <rFont val="Tahoma"/>
            <family val="2"/>
          </rPr>
          <t>When Yes is selected the Pelmet Colour must be entered.</t>
        </r>
      </text>
    </comment>
    <comment ref="E26" authorId="0" shapeId="0" xr:uid="{00000000-0006-0000-0500-000071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26" authorId="0" shapeId="0" xr:uid="{00000000-0006-0000-0500-000072000000}">
      <text>
        <r>
          <rPr>
            <sz val="8"/>
            <color indexed="81"/>
            <rFont val="Tahoma"/>
            <family val="2"/>
          </rPr>
          <t xml:space="preserve">Minimum Width is 500mm.
Maximum Width is 4800mm. </t>
        </r>
      </text>
    </comment>
    <comment ref="G26" authorId="0" shapeId="0" xr:uid="{00000000-0006-0000-0500-000073000000}">
      <text>
        <r>
          <rPr>
            <sz val="8"/>
            <color indexed="81"/>
            <rFont val="Tahoma"/>
            <family val="2"/>
          </rPr>
          <t xml:space="preserve">Minimum Height/Drop is 200mm.
Maximum Height/Drop is 3600mm. </t>
        </r>
      </text>
    </comment>
    <comment ref="H26" authorId="0" shapeId="0" xr:uid="{00000000-0006-0000-0500-000074000000}">
      <text>
        <r>
          <rPr>
            <sz val="8"/>
            <color indexed="81"/>
            <rFont val="Tahoma"/>
            <family val="2"/>
          </rPr>
          <t>When selecting a
Corner or Bay Window Type, 
the CMB Corner WS or CMB Bay WS 
must be completed.</t>
        </r>
      </text>
    </comment>
    <comment ref="J26" authorId="0" shapeId="0" xr:uid="{00000000-0006-0000-0500-000075000000}">
      <text>
        <r>
          <rPr>
            <sz val="8"/>
            <color indexed="81"/>
            <rFont val="Tahoma"/>
            <family val="2"/>
          </rPr>
          <t>ACT 
Actual Measurements
You have made the allowances.
NAM
No Allowances Made 
The factory will make the deductions.</t>
        </r>
      </text>
    </comment>
    <comment ref="O26" authorId="0" shapeId="0" xr:uid="{00000000-0006-0000-0500-000076000000}">
      <text>
        <r>
          <rPr>
            <sz val="8"/>
            <color indexed="81"/>
            <rFont val="Tahoma"/>
            <family val="2"/>
          </rPr>
          <t>When Yes is selected the Pelmet Colour must be entered.</t>
        </r>
      </text>
    </comment>
    <comment ref="E27" authorId="0" shapeId="0" xr:uid="{00000000-0006-0000-0500-000077000000}">
      <text>
        <r>
          <rPr>
            <sz val="8"/>
            <color indexed="81"/>
            <rFont val="Tahoma"/>
            <family val="2"/>
          </rPr>
          <t>Fabric &amp; Colour can only be selected once the Product has been entered.
Colours available:
Illusion Alabaster V484, Illusion Harvest V450
Illusion Ivory V403, Illusion Mocha V314
Illusion Vanilla V303, Illusion White V187
Paris (Ash Grey), Paris (Ashmere), Paris (Black), Paris (Bone),
Paris (Burnt Sienna), Paris (Camel), Paris (Champagne), 
Paris (Cocoa), Paris (Essence), Paris (Fawn), Paris (Latte),
Paris (Hazelnut), Paris (Natural), Paris (Pacific Blue), 
Paris (Scarlet), Paris (Slate), Paris (Soft White), Paris (Stone),
Paris (Turquoise), Paris (White)</t>
        </r>
      </text>
    </comment>
    <comment ref="F27" authorId="0" shapeId="0" xr:uid="{00000000-0006-0000-0500-000078000000}">
      <text>
        <r>
          <rPr>
            <sz val="8"/>
            <color indexed="81"/>
            <rFont val="Tahoma"/>
            <family val="2"/>
          </rPr>
          <t xml:space="preserve">Minimum Width is 500mm.
Maximum Width is 4800mm. </t>
        </r>
      </text>
    </comment>
    <comment ref="G27" authorId="0" shapeId="0" xr:uid="{00000000-0006-0000-0500-000079000000}">
      <text>
        <r>
          <rPr>
            <sz val="8"/>
            <color indexed="81"/>
            <rFont val="Tahoma"/>
            <family val="2"/>
          </rPr>
          <t xml:space="preserve">Minimum Height/Drop is 200mm.
Maximum Height/Drop is 3600mm. </t>
        </r>
      </text>
    </comment>
    <comment ref="H27" authorId="0" shapeId="0" xr:uid="{00000000-0006-0000-0500-00007A000000}">
      <text>
        <r>
          <rPr>
            <sz val="8"/>
            <color indexed="81"/>
            <rFont val="Tahoma"/>
            <family val="2"/>
          </rPr>
          <t>When selecting a
Corner or Bay Window Type, 
the CMB Corner WS or CMB Bay WS 
must be completed.</t>
        </r>
      </text>
    </comment>
    <comment ref="J27" authorId="0" shapeId="0" xr:uid="{00000000-0006-0000-0500-00007B000000}">
      <text>
        <r>
          <rPr>
            <sz val="8"/>
            <color indexed="81"/>
            <rFont val="Tahoma"/>
            <family val="2"/>
          </rPr>
          <t>ACT 
Actual Measurements
You have made the allowances.
NAM
No Allowances Made 
The factory will make the deductions.</t>
        </r>
      </text>
    </comment>
    <comment ref="O27" authorId="0" shapeId="0" xr:uid="{00000000-0006-0000-0500-00007C000000}">
      <text>
        <r>
          <rPr>
            <sz val="8"/>
            <color indexed="81"/>
            <rFont val="Tahoma"/>
            <family val="2"/>
          </rPr>
          <t>When Yes is selected the Pelmet Colour must be entered.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Tony Sinke</author>
    <author>PWD</author>
  </authors>
  <commentList>
    <comment ref="D7" authorId="0" shapeId="0" xr:uid="{04CE3564-075A-4D47-9D51-E4453B40EC95}">
      <text>
        <r>
          <rPr>
            <sz val="8"/>
            <color indexed="81"/>
            <rFont val="Tahoma"/>
            <family val="2"/>
          </rPr>
          <t>The Product options are;
50mm PS Blind
50mm PS Privacy Blind
63mm PS Blind
63mm PS Privacy Blind
50mm Timber Blind</t>
        </r>
      </text>
    </comment>
    <comment ref="E7" authorId="1" shapeId="0" xr:uid="{F3F1B292-BE6A-4D92-B42A-339D86E3C8F3}">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7" authorId="1" shapeId="0" xr:uid="{00000000-0006-0000-0300-000001000000}">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7" authorId="1" shapeId="0" xr:uid="{00000000-0006-0000-0300-000002000000}">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7" authorId="1" shapeId="0" xr:uid="{00000000-0006-0000-0300-000003000000}">
      <text>
        <r>
          <rPr>
            <sz val="8"/>
            <color indexed="81"/>
            <rFont val="Tahoma"/>
            <family val="2"/>
          </rPr>
          <t>When selecting a
Corner or Bay 
Window Type, 
the CMB Corner WS 
or the 
CMB Bay WS 
must be completed please.</t>
        </r>
      </text>
    </comment>
    <comment ref="J7" authorId="1" shapeId="0" xr:uid="{00000000-0006-0000-0300-000004000000}">
      <text>
        <r>
          <rPr>
            <sz val="8"/>
            <color indexed="81"/>
            <rFont val="Tahoma"/>
            <family val="2"/>
          </rPr>
          <t>ACT 
Actual Measurements
You have made the allowances.
NAM
No Allowances Made 
The factory will make the deductions.</t>
        </r>
      </text>
    </comment>
    <comment ref="L7" authorId="1" shapeId="0" xr:uid="{9F002E6C-4A2D-4622-8217-D996A0896095}">
      <text>
        <r>
          <rPr>
            <sz val="8"/>
            <color indexed="81"/>
            <rFont val="Tahoma"/>
            <family val="2"/>
          </rPr>
          <t>The Cord Lock options are;
50mm PS Privacy Blind, 
63mm PS Blind &amp; 
63mm PS Privacy Blind;
Left
Right
50mm PS Blind &amp; 
50mm Timber Blind;
Left
Right
Cordless</t>
        </r>
      </text>
    </comment>
    <comment ref="M7" authorId="1" shapeId="0" xr:uid="{025D0DB5-54A8-462B-9023-6AC636D8610B}">
      <text>
        <r>
          <rPr>
            <sz val="8"/>
            <color indexed="81"/>
            <rFont val="Tahoma"/>
            <family val="2"/>
          </rPr>
          <t>The Tilt options are;
For Cord Lock Left &amp; Right;
Left
Right
For Cordless;
Cordless Hook Wand Left
Cordless Hook Wand Right</t>
        </r>
      </text>
    </comment>
    <comment ref="O7" authorId="1" shapeId="0" xr:uid="{00000000-0006-0000-0300-000005000000}">
      <text>
        <r>
          <rPr>
            <sz val="8"/>
            <color indexed="81"/>
            <rFont val="Tahoma"/>
            <family val="2"/>
          </rPr>
          <t>Standard is default.
Common Fascia is when the same Fascia 
is used for two Blinds.</t>
        </r>
      </text>
    </comment>
    <comment ref="Q7" authorId="1" shapeId="0" xr:uid="{00000000-0006-0000-0300-000006000000}">
      <text>
        <r>
          <rPr>
            <sz val="8"/>
            <color indexed="81"/>
            <rFont val="Tahoma"/>
            <family val="2"/>
          </rPr>
          <t>When left blank, 
no Cut Out applies.</t>
        </r>
      </text>
    </comment>
    <comment ref="S7" authorId="1" shapeId="0" xr:uid="{00000000-0006-0000-0300-000007000000}">
      <text>
        <r>
          <rPr>
            <sz val="8"/>
            <color indexed="81"/>
            <rFont val="Tahoma"/>
            <family val="2"/>
          </rPr>
          <t>Blind Width          Maximum Cut Out Width
For 50mm/63mm PS/PS Privacy
222 - 254mm       50mm
255 - 379mm       75mm
 &gt; 380mm             130mm</t>
        </r>
      </text>
    </comment>
    <comment ref="U7" authorId="1" shapeId="0" xr:uid="{00000000-0006-0000-0300-000008000000}">
      <text>
        <r>
          <rPr>
            <sz val="8"/>
            <color indexed="81"/>
            <rFont val="Tahoma"/>
            <family val="2"/>
          </rPr>
          <t xml:space="preserve">Blind Width          Maximum Cut Out Width
For 50mm/63mm PS/PS Privacy
222 - 254mm       50mm
255 - 379mm       75mm
 &gt; 380mm             130mm
</t>
        </r>
      </text>
    </comment>
    <comment ref="D8" authorId="0" shapeId="0" xr:uid="{37A4FC2A-D4F9-48A6-86B1-C886C9412981}">
      <text>
        <r>
          <rPr>
            <sz val="8"/>
            <color indexed="81"/>
            <rFont val="Tahoma"/>
            <family val="2"/>
          </rPr>
          <t>The Product options are;
50mm PS Blind
50mm PS Privacy Blind
63mm PS Blind
63mm PS Privacy Blind
50mm Timber Blind</t>
        </r>
      </text>
    </comment>
    <comment ref="E8" authorId="1" shapeId="0" xr:uid="{5F7A6B5E-13C7-4DB0-8EA9-42BFD1B5BC43}">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8" authorId="1" shapeId="0" xr:uid="{BEE1B71D-2224-48EA-84E1-9DD9C13A674D}">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8" authorId="1" shapeId="0" xr:uid="{6791E06B-637F-4180-8C6A-E28BB599583D}">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8" authorId="1" shapeId="0" xr:uid="{91AF0385-05B9-4A90-BDA1-48D929FCE60B}">
      <text>
        <r>
          <rPr>
            <sz val="8"/>
            <color indexed="81"/>
            <rFont val="Tahoma"/>
            <family val="2"/>
          </rPr>
          <t>When selecting a
Corner or Bay 
Window Type, 
the CMB Corner WS 
or the 
CMB Bay WS 
must be completed please.</t>
        </r>
      </text>
    </comment>
    <comment ref="J8" authorId="1" shapeId="0" xr:uid="{71AEEB77-4AFC-49B2-AC82-CA5A863DB8E4}">
      <text>
        <r>
          <rPr>
            <sz val="8"/>
            <color indexed="81"/>
            <rFont val="Tahoma"/>
            <family val="2"/>
          </rPr>
          <t>ACT 
Actual Measurements
You have made the allowances.
NAM
No Allowances Made 
The factory will make the deductions.</t>
        </r>
      </text>
    </comment>
    <comment ref="L8" authorId="1" shapeId="0" xr:uid="{38948293-E450-42BD-B718-B3AAE52F464F}">
      <text>
        <r>
          <rPr>
            <sz val="8"/>
            <color indexed="81"/>
            <rFont val="Tahoma"/>
            <family val="2"/>
          </rPr>
          <t>The Cord Lock options are;
50mm PS Privacy Blind, 
63mm PS Blind &amp; 
63mm PS Privacy Blind;
Left
Right
50mm PS Blind &amp; 
50mm Timber Blind;
Left
Right
Cordless</t>
        </r>
      </text>
    </comment>
    <comment ref="M8" authorId="1" shapeId="0" xr:uid="{7FBA83C1-E24F-4671-8350-A5A3CF126828}">
      <text>
        <r>
          <rPr>
            <sz val="8"/>
            <color indexed="81"/>
            <rFont val="Tahoma"/>
            <family val="2"/>
          </rPr>
          <t>The Tilt options are;
For Cord Lock Left &amp; Right;
Left
Right
For Cordless;
Cordless Hook Wand Left
Cordless Hook Wand Right</t>
        </r>
      </text>
    </comment>
    <comment ref="O8" authorId="1" shapeId="0" xr:uid="{95D4B7CB-A17B-46E9-829D-D56CE0CC1D5A}">
      <text>
        <r>
          <rPr>
            <sz val="8"/>
            <color indexed="81"/>
            <rFont val="Tahoma"/>
            <family val="2"/>
          </rPr>
          <t>Standard is default.
Common Fascia is when the same Fascia 
is used for two Blinds.</t>
        </r>
      </text>
    </comment>
    <comment ref="Q8" authorId="1" shapeId="0" xr:uid="{19F32D65-40D8-479D-A9DD-5229E3359CEB}">
      <text>
        <r>
          <rPr>
            <sz val="8"/>
            <color indexed="81"/>
            <rFont val="Tahoma"/>
            <family val="2"/>
          </rPr>
          <t>When left blank, 
no Cut Out applies.</t>
        </r>
      </text>
    </comment>
    <comment ref="S8" authorId="1" shapeId="0" xr:uid="{725EFE87-CFF4-434D-B44C-BEB824B9A9CE}">
      <text>
        <r>
          <rPr>
            <sz val="8"/>
            <color indexed="81"/>
            <rFont val="Tahoma"/>
            <family val="2"/>
          </rPr>
          <t>Blind Width          Maximum Cut Out Width
For 50mm/63mm PS/PS Privacy
222 - 254mm       50mm
255 - 379mm       75mm
 &gt; 380mm             130mm</t>
        </r>
      </text>
    </comment>
    <comment ref="U8" authorId="1" shapeId="0" xr:uid="{6799380A-7D4B-4F81-8DC8-0345D8BFBDBE}">
      <text>
        <r>
          <rPr>
            <sz val="8"/>
            <color indexed="81"/>
            <rFont val="Tahoma"/>
            <family val="2"/>
          </rPr>
          <t xml:space="preserve">Blind Width          Maximum Cut Out Width
For 50mm/63mm PS/PS Privacy
222 - 254mm       50mm
255 - 379mm       75mm
 &gt; 380mm             130mm
</t>
        </r>
      </text>
    </comment>
    <comment ref="D9" authorId="0" shapeId="0" xr:uid="{E623F249-AAA2-4E72-9BA7-3B29306A8ACC}">
      <text>
        <r>
          <rPr>
            <sz val="8"/>
            <color indexed="81"/>
            <rFont val="Tahoma"/>
            <family val="2"/>
          </rPr>
          <t>The Product options are;
50mm PS Blind
50mm PS Privacy Blind
63mm PS Blind
63mm PS Privacy Blind
50mm Timber Blind</t>
        </r>
      </text>
    </comment>
    <comment ref="E9" authorId="1" shapeId="0" xr:uid="{A428F04C-3153-43ED-9AD6-5B5DE125AF32}">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9" authorId="1" shapeId="0" xr:uid="{EC79C61A-FAE4-4E89-96CE-CDF428FA84D5}">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9" authorId="1" shapeId="0" xr:uid="{9CC13913-B676-42DA-B28E-CBFCB603F1A4}">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9" authorId="1" shapeId="0" xr:uid="{15302CD0-FDB9-4308-9312-F3B385012A99}">
      <text>
        <r>
          <rPr>
            <sz val="8"/>
            <color indexed="81"/>
            <rFont val="Tahoma"/>
            <family val="2"/>
          </rPr>
          <t>When selecting a
Corner or Bay 
Window Type, 
the CMB Corner WS 
or the 
CMB Bay WS 
must be completed please.</t>
        </r>
      </text>
    </comment>
    <comment ref="J9" authorId="1" shapeId="0" xr:uid="{B36846F6-F8D6-4146-A3D0-82B4BBBDDF6D}">
      <text>
        <r>
          <rPr>
            <sz val="8"/>
            <color indexed="81"/>
            <rFont val="Tahoma"/>
            <family val="2"/>
          </rPr>
          <t>ACT 
Actual Measurements
You have made the allowances.
NAM
No Allowances Made 
The factory will make the deductions.</t>
        </r>
      </text>
    </comment>
    <comment ref="L9" authorId="1" shapeId="0" xr:uid="{9D16AC1C-F5D7-41B0-8355-BDFDF09157F0}">
      <text>
        <r>
          <rPr>
            <sz val="8"/>
            <color indexed="81"/>
            <rFont val="Tahoma"/>
            <family val="2"/>
          </rPr>
          <t>The Cord Lock options are;
50mm PS Privacy Blind, 
63mm PS Blind &amp; 
63mm PS Privacy Blind;
Left
Right
50mm PS Blind &amp; 
50mm Timber Blind;
Left
Right
Cordless</t>
        </r>
      </text>
    </comment>
    <comment ref="M9" authorId="1" shapeId="0" xr:uid="{68112259-0626-4F31-A77D-354FA0E2A30D}">
      <text>
        <r>
          <rPr>
            <sz val="8"/>
            <color indexed="81"/>
            <rFont val="Tahoma"/>
            <family val="2"/>
          </rPr>
          <t>The Tilt options are;
For Cord Lock Left &amp; Right;
Left
Right
For Cordless;
Cordless Hook Wand Left
Cordless Hook Wand Right</t>
        </r>
      </text>
    </comment>
    <comment ref="O9" authorId="1" shapeId="0" xr:uid="{DA0F6E7F-DB23-418B-832A-2A825C70B536}">
      <text>
        <r>
          <rPr>
            <sz val="8"/>
            <color indexed="81"/>
            <rFont val="Tahoma"/>
            <family val="2"/>
          </rPr>
          <t>Standard is default.
Common Fascia is when the same Fascia 
is used for two Blinds.</t>
        </r>
      </text>
    </comment>
    <comment ref="Q9" authorId="1" shapeId="0" xr:uid="{8E93ADA9-7B51-4CA6-A031-CF37BD84FDBA}">
      <text>
        <r>
          <rPr>
            <sz val="8"/>
            <color indexed="81"/>
            <rFont val="Tahoma"/>
            <family val="2"/>
          </rPr>
          <t>When left blank, 
no Cut Out applies.</t>
        </r>
      </text>
    </comment>
    <comment ref="S9" authorId="1" shapeId="0" xr:uid="{0DCD5609-2187-4294-A7FB-0E3B301CA707}">
      <text>
        <r>
          <rPr>
            <sz val="8"/>
            <color indexed="81"/>
            <rFont val="Tahoma"/>
            <family val="2"/>
          </rPr>
          <t>Blind Width          Maximum Cut Out Width
For 50mm/63mm PS/PS Privacy
222 - 254mm       50mm
255 - 379mm       75mm
 &gt; 380mm             130mm</t>
        </r>
      </text>
    </comment>
    <comment ref="U9" authorId="1" shapeId="0" xr:uid="{183F1FC3-A6AE-403D-903E-0693F37345EB}">
      <text>
        <r>
          <rPr>
            <sz val="8"/>
            <color indexed="81"/>
            <rFont val="Tahoma"/>
            <family val="2"/>
          </rPr>
          <t xml:space="preserve">Blind Width          Maximum Cut Out Width
For 50mm/63mm PS/PS Privacy
222 - 254mm       50mm
255 - 379mm       75mm
 &gt; 380mm             130mm
</t>
        </r>
      </text>
    </comment>
    <comment ref="D10" authorId="0" shapeId="0" xr:uid="{7D4A4A7A-A528-4490-8658-40C145A75C57}">
      <text>
        <r>
          <rPr>
            <sz val="8"/>
            <color indexed="81"/>
            <rFont val="Tahoma"/>
            <family val="2"/>
          </rPr>
          <t>The Product options are;
50mm PS Blind
50mm PS Privacy Blind
63mm PS Blind
63mm PS Privacy Blind
50mm Timber Blind</t>
        </r>
      </text>
    </comment>
    <comment ref="E10" authorId="1" shapeId="0" xr:uid="{7C4B47B3-098B-4338-B922-939F2E53DB63}">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10" authorId="1" shapeId="0" xr:uid="{DB76CA78-3E74-456B-BC5B-EE38F77EDF6B}">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0" authorId="1" shapeId="0" xr:uid="{2D00615C-3367-44C0-87CD-50432F1BFCF7}">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10" authorId="1" shapeId="0" xr:uid="{467AF688-B2B0-48A1-BDB7-F12C008F3EC5}">
      <text>
        <r>
          <rPr>
            <sz val="8"/>
            <color indexed="81"/>
            <rFont val="Tahoma"/>
            <family val="2"/>
          </rPr>
          <t>When selecting a
Corner or Bay 
Window Type, 
the CMB Corner WS 
or the 
CMB Bay WS 
must be completed please.</t>
        </r>
      </text>
    </comment>
    <comment ref="J10" authorId="1" shapeId="0" xr:uid="{EDCF34DE-3902-4BE9-98B0-B27A0A3083B3}">
      <text>
        <r>
          <rPr>
            <sz val="8"/>
            <color indexed="81"/>
            <rFont val="Tahoma"/>
            <family val="2"/>
          </rPr>
          <t>ACT 
Actual Measurements
You have made the allowances.
NAM
No Allowances Made 
The factory will make the deductions.</t>
        </r>
      </text>
    </comment>
    <comment ref="L10" authorId="1" shapeId="0" xr:uid="{B3CC4E6A-01D8-4D89-974D-AD5C336C64B3}">
      <text>
        <r>
          <rPr>
            <sz val="8"/>
            <color indexed="81"/>
            <rFont val="Tahoma"/>
            <family val="2"/>
          </rPr>
          <t>The Cord Lock options are;
50mm PS Privacy Blind, 
63mm PS Blind &amp; 
63mm PS Privacy Blind;
Left
Right
50mm PS Blind &amp; 
50mm Timber Blind;
Left
Right
Cordless</t>
        </r>
      </text>
    </comment>
    <comment ref="M10" authorId="1" shapeId="0" xr:uid="{5AE5BFB8-2B9F-427C-B253-C8B09DD893FA}">
      <text>
        <r>
          <rPr>
            <sz val="8"/>
            <color indexed="81"/>
            <rFont val="Tahoma"/>
            <family val="2"/>
          </rPr>
          <t>The Tilt options are;
For Cord Lock Left &amp; Right;
Left
Right
For Cordless;
Cordless Hook Wand Left
Cordless Hook Wand Right</t>
        </r>
      </text>
    </comment>
    <comment ref="O10" authorId="1" shapeId="0" xr:uid="{D9B8A580-892B-4149-B044-8D2F03C29AF5}">
      <text>
        <r>
          <rPr>
            <sz val="8"/>
            <color indexed="81"/>
            <rFont val="Tahoma"/>
            <family val="2"/>
          </rPr>
          <t>Standard is default.
Common Fascia is when the same Fascia 
is used for two Blinds.</t>
        </r>
      </text>
    </comment>
    <comment ref="Q10" authorId="1" shapeId="0" xr:uid="{D80B8CD4-F830-4635-A6CD-04DE675C4DFB}">
      <text>
        <r>
          <rPr>
            <sz val="8"/>
            <color indexed="81"/>
            <rFont val="Tahoma"/>
            <family val="2"/>
          </rPr>
          <t>When left blank, 
no Cut Out applies.</t>
        </r>
      </text>
    </comment>
    <comment ref="S10" authorId="1" shapeId="0" xr:uid="{88D717E1-5F77-4404-A4A3-3D4904C322D9}">
      <text>
        <r>
          <rPr>
            <sz val="8"/>
            <color indexed="81"/>
            <rFont val="Tahoma"/>
            <family val="2"/>
          </rPr>
          <t>Blind Width          Maximum Cut Out Width
For 50mm/63mm PS/PS Privacy
222 - 254mm       50mm
255 - 379mm       75mm
 &gt; 380mm             130mm</t>
        </r>
      </text>
    </comment>
    <comment ref="U10" authorId="1" shapeId="0" xr:uid="{FEA80A8D-4F54-4B3A-9E66-0885F5C64EC0}">
      <text>
        <r>
          <rPr>
            <sz val="8"/>
            <color indexed="81"/>
            <rFont val="Tahoma"/>
            <family val="2"/>
          </rPr>
          <t xml:space="preserve">Blind Width          Maximum Cut Out Width
For 50mm/63mm PS/PS Privacy
222 - 254mm       50mm
255 - 379mm       75mm
 &gt; 380mm             130mm
</t>
        </r>
      </text>
    </comment>
    <comment ref="D11" authorId="0" shapeId="0" xr:uid="{F69A1E1C-9B66-4C23-B3DD-934EAF6CFAD7}">
      <text>
        <r>
          <rPr>
            <sz val="8"/>
            <color indexed="81"/>
            <rFont val="Tahoma"/>
            <family val="2"/>
          </rPr>
          <t>The Product options are;
50mm PS Blind
50mm PS Privacy Blind
63mm PS Blind
63mm PS Privacy Blind
50mm Timber Blind</t>
        </r>
      </text>
    </comment>
    <comment ref="E11" authorId="1" shapeId="0" xr:uid="{6C3180AE-E359-4F10-8E26-EE77269B4776}">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11" authorId="1" shapeId="0" xr:uid="{CFF8F6DE-9341-4A6C-B9EE-5B7E61391C26}">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1" authorId="1" shapeId="0" xr:uid="{D85FFCA5-868D-4D91-B6EC-E39579030C99}">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11" authorId="1" shapeId="0" xr:uid="{782D1B81-15C4-4B76-B920-AAC1116475E3}">
      <text>
        <r>
          <rPr>
            <sz val="8"/>
            <color indexed="81"/>
            <rFont val="Tahoma"/>
            <family val="2"/>
          </rPr>
          <t>When selecting a
Corner or Bay 
Window Type, 
the CMB Corner WS 
or the 
CMB Bay WS 
must be completed please.</t>
        </r>
      </text>
    </comment>
    <comment ref="J11" authorId="1" shapeId="0" xr:uid="{09A7C226-8A9B-490E-8122-7D3B98923531}">
      <text>
        <r>
          <rPr>
            <sz val="8"/>
            <color indexed="81"/>
            <rFont val="Tahoma"/>
            <family val="2"/>
          </rPr>
          <t>ACT 
Actual Measurements
You have made the allowances.
NAM
No Allowances Made 
The factory will make the deductions.</t>
        </r>
      </text>
    </comment>
    <comment ref="L11" authorId="1" shapeId="0" xr:uid="{069E257B-0356-43A8-AC9F-9E42A76D4E5B}">
      <text>
        <r>
          <rPr>
            <sz val="8"/>
            <color indexed="81"/>
            <rFont val="Tahoma"/>
            <family val="2"/>
          </rPr>
          <t>The Cord Lock options are;
50mm PS Privacy Blind, 
63mm PS Blind &amp; 
63mm PS Privacy Blind;
Left
Right
50mm PS Blind &amp; 
50mm Timber Blind;
Left
Right
Cordless</t>
        </r>
      </text>
    </comment>
    <comment ref="M11" authorId="1" shapeId="0" xr:uid="{D2692036-970E-462F-B4B7-623B91276265}">
      <text>
        <r>
          <rPr>
            <sz val="8"/>
            <color indexed="81"/>
            <rFont val="Tahoma"/>
            <family val="2"/>
          </rPr>
          <t>The Tilt options are;
For Cord Lock Left &amp; Right;
Left
Right
For Cordless;
Cordless Hook Wand Left
Cordless Hook Wand Right</t>
        </r>
      </text>
    </comment>
    <comment ref="O11" authorId="1" shapeId="0" xr:uid="{879ECE64-B53E-45C4-BA04-5A1C73FE1A77}">
      <text>
        <r>
          <rPr>
            <sz val="8"/>
            <color indexed="81"/>
            <rFont val="Tahoma"/>
            <family val="2"/>
          </rPr>
          <t>Standard is default.
Common Fascia is when the same Fascia 
is used for two Blinds.</t>
        </r>
      </text>
    </comment>
    <comment ref="Q11" authorId="1" shapeId="0" xr:uid="{0EFFA5A6-810F-4E34-8632-C5D9A06A0C46}">
      <text>
        <r>
          <rPr>
            <sz val="8"/>
            <color indexed="81"/>
            <rFont val="Tahoma"/>
            <family val="2"/>
          </rPr>
          <t>When left blank, 
no Cut Out applies.</t>
        </r>
      </text>
    </comment>
    <comment ref="S11" authorId="1" shapeId="0" xr:uid="{F231957B-DB48-44AC-86B1-F0E843D05919}">
      <text>
        <r>
          <rPr>
            <sz val="8"/>
            <color indexed="81"/>
            <rFont val="Tahoma"/>
            <family val="2"/>
          </rPr>
          <t>Blind Width          Maximum Cut Out Width
For 50mm/63mm PS/PS Privacy
222 - 254mm       50mm
255 - 379mm       75mm
 &gt; 380mm             130mm</t>
        </r>
      </text>
    </comment>
    <comment ref="U11" authorId="1" shapeId="0" xr:uid="{A62AED1A-1455-4506-9C4B-20D199CCA78D}">
      <text>
        <r>
          <rPr>
            <sz val="8"/>
            <color indexed="81"/>
            <rFont val="Tahoma"/>
            <family val="2"/>
          </rPr>
          <t xml:space="preserve">Blind Width          Maximum Cut Out Width
For 50mm/63mm PS/PS Privacy
222 - 254mm       50mm
255 - 379mm       75mm
 &gt; 380mm             130mm
</t>
        </r>
      </text>
    </comment>
    <comment ref="D12" authorId="0" shapeId="0" xr:uid="{E7B63DDA-C0D6-4622-8FA8-54CD28E5D202}">
      <text>
        <r>
          <rPr>
            <sz val="8"/>
            <color indexed="81"/>
            <rFont val="Tahoma"/>
            <family val="2"/>
          </rPr>
          <t>The Product options are;
50mm PS Blind
50mm PS Privacy Blind
63mm PS Blind
63mm PS Privacy Blind
50mm Timber Blind</t>
        </r>
      </text>
    </comment>
    <comment ref="E12" authorId="1" shapeId="0" xr:uid="{7A898E88-676F-4F49-922A-892A6A60E1B3}">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12" authorId="1" shapeId="0" xr:uid="{5EC32DCC-0597-43F3-8541-EED694682073}">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2" authorId="1" shapeId="0" xr:uid="{A368DE5E-1FFE-4E5A-B6A6-E84611BAB707}">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12" authorId="1" shapeId="0" xr:uid="{449A6611-F601-4A9A-BCC6-D423285FE1B2}">
      <text>
        <r>
          <rPr>
            <sz val="8"/>
            <color indexed="81"/>
            <rFont val="Tahoma"/>
            <family val="2"/>
          </rPr>
          <t>When selecting a
Corner or Bay 
Window Type, 
the CMB Corner WS 
or the 
CMB Bay WS 
must be completed please.</t>
        </r>
      </text>
    </comment>
    <comment ref="J12" authorId="1" shapeId="0" xr:uid="{702840D5-F32A-4D4E-AC10-8DA6784FC25B}">
      <text>
        <r>
          <rPr>
            <sz val="8"/>
            <color indexed="81"/>
            <rFont val="Tahoma"/>
            <family val="2"/>
          </rPr>
          <t>ACT 
Actual Measurements
You have made the allowances.
NAM
No Allowances Made 
The factory will make the deductions.</t>
        </r>
      </text>
    </comment>
    <comment ref="L12" authorId="1" shapeId="0" xr:uid="{2BBFA71A-1A14-4B8D-965D-1A6E10F76372}">
      <text>
        <r>
          <rPr>
            <sz val="8"/>
            <color indexed="81"/>
            <rFont val="Tahoma"/>
            <family val="2"/>
          </rPr>
          <t>The Cord Lock options are;
50mm PS Privacy Blind, 
63mm PS Blind &amp; 
63mm PS Privacy Blind;
Left
Right
50mm PS Blind &amp; 
50mm Timber Blind;
Left
Right
Cordless</t>
        </r>
      </text>
    </comment>
    <comment ref="M12" authorId="1" shapeId="0" xr:uid="{54D4653B-CE8A-4B3C-A9AF-907DED3F04EB}">
      <text>
        <r>
          <rPr>
            <sz val="8"/>
            <color indexed="81"/>
            <rFont val="Tahoma"/>
            <family val="2"/>
          </rPr>
          <t>The Tilt options are;
For Cord Lock Left &amp; Right;
Left
Right
For Cordless;
Cordless Hook Wand Left
Cordless Hook Wand Right</t>
        </r>
      </text>
    </comment>
    <comment ref="O12" authorId="1" shapeId="0" xr:uid="{01E6FE89-5FED-450F-B9D3-EE8D49183768}">
      <text>
        <r>
          <rPr>
            <sz val="8"/>
            <color indexed="81"/>
            <rFont val="Tahoma"/>
            <family val="2"/>
          </rPr>
          <t>Standard is default.
Common Fascia is when the same Fascia 
is used for two Blinds.</t>
        </r>
      </text>
    </comment>
    <comment ref="Q12" authorId="1" shapeId="0" xr:uid="{F1EC1537-8D87-403A-B0B6-86B3D2F5AB56}">
      <text>
        <r>
          <rPr>
            <sz val="8"/>
            <color indexed="81"/>
            <rFont val="Tahoma"/>
            <family val="2"/>
          </rPr>
          <t>When left blank, 
no Cut Out applies.</t>
        </r>
      </text>
    </comment>
    <comment ref="S12" authorId="1" shapeId="0" xr:uid="{01C54295-E990-4832-A744-3D18727BBD7C}">
      <text>
        <r>
          <rPr>
            <sz val="8"/>
            <color indexed="81"/>
            <rFont val="Tahoma"/>
            <family val="2"/>
          </rPr>
          <t>Blind Width          Maximum Cut Out Width
For 50mm/63mm PS/PS Privacy
222 - 254mm       50mm
255 - 379mm       75mm
 &gt; 380mm             130mm</t>
        </r>
      </text>
    </comment>
    <comment ref="U12" authorId="1" shapeId="0" xr:uid="{BCFA836C-A63E-4221-9C97-7092BA2BF848}">
      <text>
        <r>
          <rPr>
            <sz val="8"/>
            <color indexed="81"/>
            <rFont val="Tahoma"/>
            <family val="2"/>
          </rPr>
          <t xml:space="preserve">Blind Width          Maximum Cut Out Width
For 50mm/63mm PS/PS Privacy
222 - 254mm       50mm
255 - 379mm       75mm
 &gt; 380mm             130mm
</t>
        </r>
      </text>
    </comment>
    <comment ref="D13" authorId="0" shapeId="0" xr:uid="{801BC5A0-EAA7-4871-B127-D665C4514D34}">
      <text>
        <r>
          <rPr>
            <sz val="8"/>
            <color indexed="81"/>
            <rFont val="Tahoma"/>
            <family val="2"/>
          </rPr>
          <t>The Product options are;
50mm PS Blind
50mm PS Privacy Blind
63mm PS Blind
63mm PS Privacy Blind
50mm Timber Blind</t>
        </r>
      </text>
    </comment>
    <comment ref="E13" authorId="1" shapeId="0" xr:uid="{B6F74CA1-8AFE-455E-9DBB-FA078A3C0849}">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13" authorId="1" shapeId="0" xr:uid="{F4A89E8C-7040-467C-8CDD-CAAE17A91716}">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3" authorId="1" shapeId="0" xr:uid="{A5CC3BEE-0957-43D5-8E95-E1039F75A79C}">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13" authorId="1" shapeId="0" xr:uid="{9DB67A2A-5982-4301-BF7C-4B5A65C87218}">
      <text>
        <r>
          <rPr>
            <sz val="8"/>
            <color indexed="81"/>
            <rFont val="Tahoma"/>
            <family val="2"/>
          </rPr>
          <t>When selecting a
Corner or Bay 
Window Type, 
the CMB Corner WS 
or the 
CMB Bay WS 
must be completed please.</t>
        </r>
      </text>
    </comment>
    <comment ref="J13" authorId="1" shapeId="0" xr:uid="{D4055D02-7F1D-478A-BCC2-F3455FEF2847}">
      <text>
        <r>
          <rPr>
            <sz val="8"/>
            <color indexed="81"/>
            <rFont val="Tahoma"/>
            <family val="2"/>
          </rPr>
          <t>ACT 
Actual Measurements
You have made the allowances.
NAM
No Allowances Made 
The factory will make the deductions.</t>
        </r>
      </text>
    </comment>
    <comment ref="L13" authorId="1" shapeId="0" xr:uid="{F0CB0DF7-2312-40F0-9D94-1CD2144A4E0A}">
      <text>
        <r>
          <rPr>
            <sz val="8"/>
            <color indexed="81"/>
            <rFont val="Tahoma"/>
            <family val="2"/>
          </rPr>
          <t>The Cord Lock options are;
50mm PS Privacy Blind, 
63mm PS Blind &amp; 
63mm PS Privacy Blind;
Left
Right
50mm PS Blind &amp; 
50mm Timber Blind;
Left
Right
Cordless</t>
        </r>
      </text>
    </comment>
    <comment ref="M13" authorId="1" shapeId="0" xr:uid="{71F21AAA-3C1C-455C-AC3A-8BB6DDCD5289}">
      <text>
        <r>
          <rPr>
            <sz val="8"/>
            <color indexed="81"/>
            <rFont val="Tahoma"/>
            <family val="2"/>
          </rPr>
          <t>The Tilt options are;
For Cord Lock Left &amp; Right;
Left
Right
For Cordless;
Cordless Hook Wand Left
Cordless Hook Wand Right</t>
        </r>
      </text>
    </comment>
    <comment ref="O13" authorId="1" shapeId="0" xr:uid="{A00A3B74-C8CE-4337-B294-DC2E38098242}">
      <text>
        <r>
          <rPr>
            <sz val="8"/>
            <color indexed="81"/>
            <rFont val="Tahoma"/>
            <family val="2"/>
          </rPr>
          <t>Standard is default.
Common Fascia is when the same Fascia 
is used for two Blinds.</t>
        </r>
      </text>
    </comment>
    <comment ref="Q13" authorId="1" shapeId="0" xr:uid="{FC802854-485B-46FC-9644-530B6324D459}">
      <text>
        <r>
          <rPr>
            <sz val="8"/>
            <color indexed="81"/>
            <rFont val="Tahoma"/>
            <family val="2"/>
          </rPr>
          <t>When left blank, 
no Cut Out applies.</t>
        </r>
      </text>
    </comment>
    <comment ref="S13" authorId="1" shapeId="0" xr:uid="{D3DE0858-268E-4D8D-B632-16A660CE12F9}">
      <text>
        <r>
          <rPr>
            <sz val="8"/>
            <color indexed="81"/>
            <rFont val="Tahoma"/>
            <family val="2"/>
          </rPr>
          <t>Blind Width          Maximum Cut Out Width
For 50mm/63mm PS/PS Privacy
222 - 254mm       50mm
255 - 379mm       75mm
 &gt; 380mm             130mm</t>
        </r>
      </text>
    </comment>
    <comment ref="U13" authorId="1" shapeId="0" xr:uid="{A1707BF7-8BC9-452C-AF5F-79C2D3AFA473}">
      <text>
        <r>
          <rPr>
            <sz val="8"/>
            <color indexed="81"/>
            <rFont val="Tahoma"/>
            <family val="2"/>
          </rPr>
          <t xml:space="preserve">Blind Width          Maximum Cut Out Width
For 50mm/63mm PS/PS Privacy
222 - 254mm       50mm
255 - 379mm       75mm
 &gt; 380mm             130mm
</t>
        </r>
      </text>
    </comment>
    <comment ref="D14" authorId="0" shapeId="0" xr:uid="{45088EBB-247D-4FEB-9C64-42D2700AE223}">
      <text>
        <r>
          <rPr>
            <sz val="8"/>
            <color indexed="81"/>
            <rFont val="Tahoma"/>
            <family val="2"/>
          </rPr>
          <t>The Product options are;
50mm PS Blind
50mm PS Privacy Blind
63mm PS Blind
63mm PS Privacy Blind
50mm Timber Blind</t>
        </r>
      </text>
    </comment>
    <comment ref="E14" authorId="1" shapeId="0" xr:uid="{BB0ABBC7-2E5C-41B4-8810-2053FA6173C7}">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14" authorId="1" shapeId="0" xr:uid="{F21A80AD-7A28-468A-A221-59CCA6527D37}">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4" authorId="1" shapeId="0" xr:uid="{9F0F8AD1-9E90-4FF0-BB5B-E08DEEE64997}">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14" authorId="1" shapeId="0" xr:uid="{6B403D26-C4A3-48FB-9709-3E7997EC9527}">
      <text>
        <r>
          <rPr>
            <sz val="8"/>
            <color indexed="81"/>
            <rFont val="Tahoma"/>
            <family val="2"/>
          </rPr>
          <t>When selecting a
Corner or Bay 
Window Type, 
the CMB Corner WS 
or the 
CMB Bay WS 
must be completed please.</t>
        </r>
      </text>
    </comment>
    <comment ref="J14" authorId="1" shapeId="0" xr:uid="{617883CC-DCDC-4AE3-A9A9-6CA87AE613A7}">
      <text>
        <r>
          <rPr>
            <sz val="8"/>
            <color indexed="81"/>
            <rFont val="Tahoma"/>
            <family val="2"/>
          </rPr>
          <t>ACT 
Actual Measurements
You have made the allowances.
NAM
No Allowances Made 
The factory will make the deductions.</t>
        </r>
      </text>
    </comment>
    <comment ref="L14" authorId="1" shapeId="0" xr:uid="{9A45FDD4-528E-473A-A62D-F7B3D03C3805}">
      <text>
        <r>
          <rPr>
            <sz val="8"/>
            <color indexed="81"/>
            <rFont val="Tahoma"/>
            <family val="2"/>
          </rPr>
          <t>The Cord Lock options are;
50mm PS Privacy Blind, 
63mm PS Blind &amp; 
63mm PS Privacy Blind;
Left
Right
50mm PS Blind &amp; 
50mm Timber Blind;
Left
Right
Cordless</t>
        </r>
      </text>
    </comment>
    <comment ref="M14" authorId="1" shapeId="0" xr:uid="{A0A8E9C8-EE35-450F-AB69-8EEBAE58537F}">
      <text>
        <r>
          <rPr>
            <sz val="8"/>
            <color indexed="81"/>
            <rFont val="Tahoma"/>
            <family val="2"/>
          </rPr>
          <t>The Tilt options are;
For Cord Lock Left &amp; Right;
Left
Right
For Cordless;
Cordless Hook Wand Left
Cordless Hook Wand Right</t>
        </r>
      </text>
    </comment>
    <comment ref="O14" authorId="1" shapeId="0" xr:uid="{5D5E432E-8513-4905-AFF8-9CBE6168DF9C}">
      <text>
        <r>
          <rPr>
            <sz val="8"/>
            <color indexed="81"/>
            <rFont val="Tahoma"/>
            <family val="2"/>
          </rPr>
          <t>Standard is default.
Common Fascia is when the same Fascia 
is used for two Blinds.</t>
        </r>
      </text>
    </comment>
    <comment ref="Q14" authorId="1" shapeId="0" xr:uid="{1CAB0FFA-399C-4F21-8C2A-9984A8BFC2B3}">
      <text>
        <r>
          <rPr>
            <sz val="8"/>
            <color indexed="81"/>
            <rFont val="Tahoma"/>
            <family val="2"/>
          </rPr>
          <t>When left blank, 
no Cut Out applies.</t>
        </r>
      </text>
    </comment>
    <comment ref="S14" authorId="1" shapeId="0" xr:uid="{39B89692-E08E-4029-B75D-D26DE0840A7B}">
      <text>
        <r>
          <rPr>
            <sz val="8"/>
            <color indexed="81"/>
            <rFont val="Tahoma"/>
            <family val="2"/>
          </rPr>
          <t>Blind Width          Maximum Cut Out Width
For 50mm/63mm PS/PS Privacy
222 - 254mm       50mm
255 - 379mm       75mm
 &gt; 380mm             130mm</t>
        </r>
      </text>
    </comment>
    <comment ref="U14" authorId="1" shapeId="0" xr:uid="{F758D352-7FDA-413E-B9C6-9EE94DBF03F2}">
      <text>
        <r>
          <rPr>
            <sz val="8"/>
            <color indexed="81"/>
            <rFont val="Tahoma"/>
            <family val="2"/>
          </rPr>
          <t xml:space="preserve">Blind Width          Maximum Cut Out Width
For 50mm/63mm PS/PS Privacy
222 - 254mm       50mm
255 - 379mm       75mm
 &gt; 380mm             130mm
</t>
        </r>
      </text>
    </comment>
    <comment ref="D15" authorId="0" shapeId="0" xr:uid="{54630696-4118-4B7D-9A87-59F494CF0966}">
      <text>
        <r>
          <rPr>
            <sz val="8"/>
            <color indexed="81"/>
            <rFont val="Tahoma"/>
            <family val="2"/>
          </rPr>
          <t>The Product options are;
50mm PS Blind
50mm PS Privacy Blind
63mm PS Blind
63mm PS Privacy Blind
50mm Timber Blind</t>
        </r>
      </text>
    </comment>
    <comment ref="E15" authorId="1" shapeId="0" xr:uid="{CC384FF1-79F0-478D-A343-61C8ED042B3A}">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15" authorId="1" shapeId="0" xr:uid="{7C5DE168-39A1-4697-8BB3-5E8896651644}">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5" authorId="1" shapeId="0" xr:uid="{F8EE9B13-670C-4C1F-8412-A518D79CEAFF}">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15" authorId="1" shapeId="0" xr:uid="{AD7FEB63-81A3-40F5-8BAD-C3C00C7455BA}">
      <text>
        <r>
          <rPr>
            <sz val="8"/>
            <color indexed="81"/>
            <rFont val="Tahoma"/>
            <family val="2"/>
          </rPr>
          <t>When selecting a
Corner or Bay 
Window Type, 
the CMB Corner WS 
or the 
CMB Bay WS 
must be completed please.</t>
        </r>
      </text>
    </comment>
    <comment ref="J15" authorId="1" shapeId="0" xr:uid="{11260DCF-D384-42DF-8F45-91826ECDD943}">
      <text>
        <r>
          <rPr>
            <sz val="8"/>
            <color indexed="81"/>
            <rFont val="Tahoma"/>
            <family val="2"/>
          </rPr>
          <t>ACT 
Actual Measurements
You have made the allowances.
NAM
No Allowances Made 
The factory will make the deductions.</t>
        </r>
      </text>
    </comment>
    <comment ref="L15" authorId="1" shapeId="0" xr:uid="{3A88EEF7-F53D-4885-96B4-219D30B594BB}">
      <text>
        <r>
          <rPr>
            <sz val="8"/>
            <color indexed="81"/>
            <rFont val="Tahoma"/>
            <family val="2"/>
          </rPr>
          <t>The Cord Lock options are;
50mm PS Privacy Blind, 
63mm PS Blind &amp; 
63mm PS Privacy Blind;
Left
Right
50mm PS Blind &amp; 
50mm Timber Blind;
Left
Right
Cordless</t>
        </r>
      </text>
    </comment>
    <comment ref="M15" authorId="1" shapeId="0" xr:uid="{76461C3E-CF0B-4B25-B4C9-EEAAEB1C10FC}">
      <text>
        <r>
          <rPr>
            <sz val="8"/>
            <color indexed="81"/>
            <rFont val="Tahoma"/>
            <family val="2"/>
          </rPr>
          <t>The Tilt options are;
For Cord Lock Left &amp; Right;
Left
Right
For Cordless;
Cordless Hook Wand Left
Cordless Hook Wand Right</t>
        </r>
      </text>
    </comment>
    <comment ref="O15" authorId="1" shapeId="0" xr:uid="{F2908DD6-10BE-4A2B-8763-D2FA33C90D4D}">
      <text>
        <r>
          <rPr>
            <sz val="8"/>
            <color indexed="81"/>
            <rFont val="Tahoma"/>
            <family val="2"/>
          </rPr>
          <t>Standard is default.
Common Fascia is when the same Fascia 
is used for two Blinds.</t>
        </r>
      </text>
    </comment>
    <comment ref="Q15" authorId="1" shapeId="0" xr:uid="{8EF96FE2-F183-4384-8D38-F09FB2777906}">
      <text>
        <r>
          <rPr>
            <sz val="8"/>
            <color indexed="81"/>
            <rFont val="Tahoma"/>
            <family val="2"/>
          </rPr>
          <t>When left blank, 
no Cut Out applies.</t>
        </r>
      </text>
    </comment>
    <comment ref="S15" authorId="1" shapeId="0" xr:uid="{17951EF3-A0D5-43A9-A66B-D0987E044852}">
      <text>
        <r>
          <rPr>
            <sz val="8"/>
            <color indexed="81"/>
            <rFont val="Tahoma"/>
            <family val="2"/>
          </rPr>
          <t>Blind Width          Maximum Cut Out Width
For 50mm/63mm PS/PS Privacy
222 - 254mm       50mm
255 - 379mm       75mm
 &gt; 380mm             130mm</t>
        </r>
      </text>
    </comment>
    <comment ref="U15" authorId="1" shapeId="0" xr:uid="{40D90B6E-34C9-4120-AD3B-FBC98D08D06D}">
      <text>
        <r>
          <rPr>
            <sz val="8"/>
            <color indexed="81"/>
            <rFont val="Tahoma"/>
            <family val="2"/>
          </rPr>
          <t xml:space="preserve">Blind Width          Maximum Cut Out Width
For 50mm/63mm PS/PS Privacy
222 - 254mm       50mm
255 - 379mm       75mm
 &gt; 380mm             130mm
</t>
        </r>
      </text>
    </comment>
    <comment ref="D16" authorId="0" shapeId="0" xr:uid="{EFC39E1A-461F-4AC7-835B-CEDF7706C194}">
      <text>
        <r>
          <rPr>
            <sz val="8"/>
            <color indexed="81"/>
            <rFont val="Tahoma"/>
            <family val="2"/>
          </rPr>
          <t>The Product options are;
50mm PS Blind
50mm PS Privacy Blind
63mm PS Blind
63mm PS Privacy Blind
50mm Timber Blind</t>
        </r>
      </text>
    </comment>
    <comment ref="E16" authorId="1" shapeId="0" xr:uid="{64A13D40-6C73-4732-9E19-D48D3609E90E}">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16" authorId="1" shapeId="0" xr:uid="{8592D1FE-55BE-460A-84A1-750A998D2056}">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6" authorId="1" shapeId="0" xr:uid="{A823A91C-5AF3-4DA9-B45C-CD058D526CA6}">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16" authorId="1" shapeId="0" xr:uid="{906EA254-9A4D-43A0-9A7D-0A19CC429F51}">
      <text>
        <r>
          <rPr>
            <sz val="8"/>
            <color indexed="81"/>
            <rFont val="Tahoma"/>
            <family val="2"/>
          </rPr>
          <t>When selecting a
Corner or Bay 
Window Type, 
the CMB Corner WS 
or the 
CMB Bay WS 
must be completed please.</t>
        </r>
      </text>
    </comment>
    <comment ref="J16" authorId="1" shapeId="0" xr:uid="{AC0567D4-0DBD-435E-8252-C3EA89642D41}">
      <text>
        <r>
          <rPr>
            <sz val="8"/>
            <color indexed="81"/>
            <rFont val="Tahoma"/>
            <family val="2"/>
          </rPr>
          <t>ACT 
Actual Measurements
You have made the allowances.
NAM
No Allowances Made 
The factory will make the deductions.</t>
        </r>
      </text>
    </comment>
    <comment ref="L16" authorId="1" shapeId="0" xr:uid="{C596FA4F-F133-4A6D-9A6C-5425453162B6}">
      <text>
        <r>
          <rPr>
            <sz val="8"/>
            <color indexed="81"/>
            <rFont val="Tahoma"/>
            <family val="2"/>
          </rPr>
          <t>The Cord Lock options are;
50mm PS Privacy Blind, 
63mm PS Blind &amp; 
63mm PS Privacy Blind;
Left
Right
50mm PS Blind &amp; 
50mm Timber Blind;
Left
Right
Cordless</t>
        </r>
      </text>
    </comment>
    <comment ref="M16" authorId="1" shapeId="0" xr:uid="{1929A827-0529-4323-A5C0-EC7802454FCB}">
      <text>
        <r>
          <rPr>
            <sz val="8"/>
            <color indexed="81"/>
            <rFont val="Tahoma"/>
            <family val="2"/>
          </rPr>
          <t>The Tilt options are;
For Cord Lock Left &amp; Right;
Left
Right
For Cordless;
Cordless Hook Wand Left
Cordless Hook Wand Right</t>
        </r>
      </text>
    </comment>
    <comment ref="O16" authorId="1" shapeId="0" xr:uid="{4BD2DFDC-BBE7-4013-AE86-977E810CE91E}">
      <text>
        <r>
          <rPr>
            <sz val="8"/>
            <color indexed="81"/>
            <rFont val="Tahoma"/>
            <family val="2"/>
          </rPr>
          <t>Standard is default.
Common Fascia is when the same Fascia 
is used for two Blinds.</t>
        </r>
      </text>
    </comment>
    <comment ref="Q16" authorId="1" shapeId="0" xr:uid="{B9C265CB-69CB-4CF2-A746-29C2505DADF1}">
      <text>
        <r>
          <rPr>
            <sz val="8"/>
            <color indexed="81"/>
            <rFont val="Tahoma"/>
            <family val="2"/>
          </rPr>
          <t>When left blank, 
no Cut Out applies.</t>
        </r>
      </text>
    </comment>
    <comment ref="S16" authorId="1" shapeId="0" xr:uid="{CF1C085B-A6FC-4993-97D0-660EC4B33B70}">
      <text>
        <r>
          <rPr>
            <sz val="8"/>
            <color indexed="81"/>
            <rFont val="Tahoma"/>
            <family val="2"/>
          </rPr>
          <t>Blind Width          Maximum Cut Out Width
For 50mm/63mm PS/PS Privacy
222 - 254mm       50mm
255 - 379mm       75mm
 &gt; 380mm             130mm</t>
        </r>
      </text>
    </comment>
    <comment ref="U16" authorId="1" shapeId="0" xr:uid="{470AF71E-6B08-4263-BFC3-BF1CC2717ED3}">
      <text>
        <r>
          <rPr>
            <sz val="8"/>
            <color indexed="81"/>
            <rFont val="Tahoma"/>
            <family val="2"/>
          </rPr>
          <t xml:space="preserve">Blind Width          Maximum Cut Out Width
For 50mm/63mm PS/PS Privacy
222 - 254mm       50mm
255 - 379mm       75mm
 &gt; 380mm             130mm
</t>
        </r>
      </text>
    </comment>
    <comment ref="D17" authorId="0" shapeId="0" xr:uid="{4D029A43-4E1E-4DC6-9E10-E27FFCF99A80}">
      <text>
        <r>
          <rPr>
            <sz val="8"/>
            <color indexed="81"/>
            <rFont val="Tahoma"/>
            <family val="2"/>
          </rPr>
          <t>The Product options are;
50mm PS Blind
50mm PS Privacy Blind
63mm PS Blind
63mm PS Privacy Blind
50mm Timber Blind</t>
        </r>
      </text>
    </comment>
    <comment ref="E17" authorId="1" shapeId="0" xr:uid="{698B80C4-C47E-4270-A099-16F5AFDBBE46}">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17" authorId="1" shapeId="0" xr:uid="{D87C31B4-4AA8-41D6-B413-9CEB259DA0EF}">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7" authorId="1" shapeId="0" xr:uid="{EC72E9F1-B371-45EA-86A7-55DF73676253}">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17" authorId="1" shapeId="0" xr:uid="{01893AE0-DC64-4048-8839-689C24062AC5}">
      <text>
        <r>
          <rPr>
            <sz val="8"/>
            <color indexed="81"/>
            <rFont val="Tahoma"/>
            <family val="2"/>
          </rPr>
          <t>When selecting a
Corner or Bay 
Window Type, 
the CMB Corner WS 
or the 
CMB Bay WS 
must be completed please.</t>
        </r>
      </text>
    </comment>
    <comment ref="J17" authorId="1" shapeId="0" xr:uid="{EF55BC74-D1B4-4E31-A7A8-50BD398F024C}">
      <text>
        <r>
          <rPr>
            <sz val="8"/>
            <color indexed="81"/>
            <rFont val="Tahoma"/>
            <family val="2"/>
          </rPr>
          <t>ACT 
Actual Measurements
You have made the allowances.
NAM
No Allowances Made 
The factory will make the deductions.</t>
        </r>
      </text>
    </comment>
    <comment ref="L17" authorId="1" shapeId="0" xr:uid="{A62D7DC5-2082-4506-9E97-AFEEB8C377C8}">
      <text>
        <r>
          <rPr>
            <sz val="8"/>
            <color indexed="81"/>
            <rFont val="Tahoma"/>
            <family val="2"/>
          </rPr>
          <t>The Cord Lock options are;
50mm PS Privacy Blind, 
63mm PS Blind &amp; 
63mm PS Privacy Blind;
Left
Right
50mm PS Blind &amp; 
50mm Timber Blind;
Left
Right
Cordless</t>
        </r>
      </text>
    </comment>
    <comment ref="M17" authorId="1" shapeId="0" xr:uid="{FEF95988-7585-4DEF-B040-883956085EA3}">
      <text>
        <r>
          <rPr>
            <sz val="8"/>
            <color indexed="81"/>
            <rFont val="Tahoma"/>
            <family val="2"/>
          </rPr>
          <t>The Tilt options are;
For Cord Lock Left &amp; Right;
Left
Right
For Cordless;
Cordless Hook Wand Left
Cordless Hook Wand Right</t>
        </r>
      </text>
    </comment>
    <comment ref="O17" authorId="1" shapeId="0" xr:uid="{48DE810E-BEE3-4073-A215-52B46AAB45F0}">
      <text>
        <r>
          <rPr>
            <sz val="8"/>
            <color indexed="81"/>
            <rFont val="Tahoma"/>
            <family val="2"/>
          </rPr>
          <t>Standard is default.
Common Fascia is when the same Fascia 
is used for two Blinds.</t>
        </r>
      </text>
    </comment>
    <comment ref="Q17" authorId="1" shapeId="0" xr:uid="{4157C9F5-8AA4-49D9-AD53-758ED32B8517}">
      <text>
        <r>
          <rPr>
            <sz val="8"/>
            <color indexed="81"/>
            <rFont val="Tahoma"/>
            <family val="2"/>
          </rPr>
          <t>When left blank, 
no Cut Out applies.</t>
        </r>
      </text>
    </comment>
    <comment ref="S17" authorId="1" shapeId="0" xr:uid="{9B0ACB7D-02C3-4A2A-8C18-23C438630E74}">
      <text>
        <r>
          <rPr>
            <sz val="8"/>
            <color indexed="81"/>
            <rFont val="Tahoma"/>
            <family val="2"/>
          </rPr>
          <t>Blind Width          Maximum Cut Out Width
For 50mm/63mm PS/PS Privacy
222 - 254mm       50mm
255 - 379mm       75mm
 &gt; 380mm             130mm</t>
        </r>
      </text>
    </comment>
    <comment ref="U17" authorId="1" shapeId="0" xr:uid="{13198C5B-073F-426E-A1A8-5D441AD835E8}">
      <text>
        <r>
          <rPr>
            <sz val="8"/>
            <color indexed="81"/>
            <rFont val="Tahoma"/>
            <family val="2"/>
          </rPr>
          <t xml:space="preserve">Blind Width          Maximum Cut Out Width
For 50mm/63mm PS/PS Privacy
222 - 254mm       50mm
255 - 379mm       75mm
 &gt; 380mm             130mm
</t>
        </r>
      </text>
    </comment>
    <comment ref="D18" authorId="0" shapeId="0" xr:uid="{2F96186E-4DD4-4F3B-9375-3AECC2C3432A}">
      <text>
        <r>
          <rPr>
            <sz val="8"/>
            <color indexed="81"/>
            <rFont val="Tahoma"/>
            <family val="2"/>
          </rPr>
          <t>The Product options are;
50mm PS Blind
50mm PS Privacy Blind
63mm PS Blind
63mm PS Privacy Blind
50mm Timber Blind</t>
        </r>
      </text>
    </comment>
    <comment ref="E18" authorId="1" shapeId="0" xr:uid="{762B685D-0D2D-4404-A5B6-04F974D622F9}">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18" authorId="1" shapeId="0" xr:uid="{4DC1D3CC-B0E7-4310-9F01-689EDDA79186}">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8" authorId="1" shapeId="0" xr:uid="{01E930A2-C994-441E-872A-83E81B419080}">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18" authorId="1" shapeId="0" xr:uid="{5A148454-5B3E-4AFE-ABB2-AE7EDF5C87BE}">
      <text>
        <r>
          <rPr>
            <sz val="8"/>
            <color indexed="81"/>
            <rFont val="Tahoma"/>
            <family val="2"/>
          </rPr>
          <t>When selecting a
Corner or Bay 
Window Type, 
the CMB Corner WS 
or the 
CMB Bay WS 
must be completed please.</t>
        </r>
      </text>
    </comment>
    <comment ref="J18" authorId="1" shapeId="0" xr:uid="{8B1D7D57-E505-44F5-A926-44CA5DA016AE}">
      <text>
        <r>
          <rPr>
            <sz val="8"/>
            <color indexed="81"/>
            <rFont val="Tahoma"/>
            <family val="2"/>
          </rPr>
          <t>ACT 
Actual Measurements
You have made the allowances.
NAM
No Allowances Made 
The factory will make the deductions.</t>
        </r>
      </text>
    </comment>
    <comment ref="L18" authorId="1" shapeId="0" xr:uid="{41B1FBA6-109B-4138-98BB-1944018FB72F}">
      <text>
        <r>
          <rPr>
            <sz val="8"/>
            <color indexed="81"/>
            <rFont val="Tahoma"/>
            <family val="2"/>
          </rPr>
          <t>The Cord Lock options are;
50mm PS Privacy Blind, 
63mm PS Blind &amp; 
63mm PS Privacy Blind;
Left
Right
50mm PS Blind &amp; 
50mm Timber Blind;
Left
Right
Cordless</t>
        </r>
      </text>
    </comment>
    <comment ref="M18" authorId="1" shapeId="0" xr:uid="{D71F87F4-B01F-4684-A388-9B59F8391E1D}">
      <text>
        <r>
          <rPr>
            <sz val="8"/>
            <color indexed="81"/>
            <rFont val="Tahoma"/>
            <family val="2"/>
          </rPr>
          <t>The Tilt options are;
For Cord Lock Left &amp; Right;
Left
Right
For Cordless;
Cordless Hook Wand Left
Cordless Hook Wand Right</t>
        </r>
      </text>
    </comment>
    <comment ref="O18" authorId="1" shapeId="0" xr:uid="{BDDB4BBD-62DE-47B9-A954-2218BA8C8F66}">
      <text>
        <r>
          <rPr>
            <sz val="8"/>
            <color indexed="81"/>
            <rFont val="Tahoma"/>
            <family val="2"/>
          </rPr>
          <t>Standard is default.
Common Fascia is when the same Fascia 
is used for two Blinds.</t>
        </r>
      </text>
    </comment>
    <comment ref="Q18" authorId="1" shapeId="0" xr:uid="{82DEF23A-618C-41DF-A529-D71BB7828C06}">
      <text>
        <r>
          <rPr>
            <sz val="8"/>
            <color indexed="81"/>
            <rFont val="Tahoma"/>
            <family val="2"/>
          </rPr>
          <t>When left blank, 
no Cut Out applies.</t>
        </r>
      </text>
    </comment>
    <comment ref="S18" authorId="1" shapeId="0" xr:uid="{E49AC189-80A7-4493-8F1C-96D6C0D28320}">
      <text>
        <r>
          <rPr>
            <sz val="8"/>
            <color indexed="81"/>
            <rFont val="Tahoma"/>
            <family val="2"/>
          </rPr>
          <t>Blind Width          Maximum Cut Out Width
For 50mm/63mm PS/PS Privacy
222 - 254mm       50mm
255 - 379mm       75mm
 &gt; 380mm             130mm</t>
        </r>
      </text>
    </comment>
    <comment ref="U18" authorId="1" shapeId="0" xr:uid="{41360ED5-F262-4B36-A7BD-9D2C2BF4A899}">
      <text>
        <r>
          <rPr>
            <sz val="8"/>
            <color indexed="81"/>
            <rFont val="Tahoma"/>
            <family val="2"/>
          </rPr>
          <t xml:space="preserve">Blind Width          Maximum Cut Out Width
For 50mm/63mm PS/PS Privacy
222 - 254mm       50mm
255 - 379mm       75mm
 &gt; 380mm             130mm
</t>
        </r>
      </text>
    </comment>
    <comment ref="D19" authorId="0" shapeId="0" xr:uid="{A764C7B2-87F1-475C-97A4-BCA9278D45E7}">
      <text>
        <r>
          <rPr>
            <sz val="8"/>
            <color indexed="81"/>
            <rFont val="Tahoma"/>
            <family val="2"/>
          </rPr>
          <t>The Product options are;
50mm PS Blind
50mm PS Privacy Blind
63mm PS Blind
63mm PS Privacy Blind
50mm Timber Blind</t>
        </r>
      </text>
    </comment>
    <comment ref="E19" authorId="1" shapeId="0" xr:uid="{354F90B6-C168-435D-83EC-29E35282DAC5}">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19" authorId="1" shapeId="0" xr:uid="{EA65D917-CAAB-42FB-BD9E-A69633F88986}">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19" authorId="1" shapeId="0" xr:uid="{18DB1F52-9962-4082-B15B-8467CC48AE0B}">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19" authorId="1" shapeId="0" xr:uid="{A8C1ACEF-0DF7-4F4F-9391-006E298E36D5}">
      <text>
        <r>
          <rPr>
            <sz val="8"/>
            <color indexed="81"/>
            <rFont val="Tahoma"/>
            <family val="2"/>
          </rPr>
          <t>When selecting a
Corner or Bay 
Window Type, 
the CMB Corner WS 
or the 
CMB Bay WS 
must be completed please.</t>
        </r>
      </text>
    </comment>
    <comment ref="J19" authorId="1" shapeId="0" xr:uid="{B22AF899-9B94-4D7B-838B-F319D9A38185}">
      <text>
        <r>
          <rPr>
            <sz val="8"/>
            <color indexed="81"/>
            <rFont val="Tahoma"/>
            <family val="2"/>
          </rPr>
          <t>ACT 
Actual Measurements
You have made the allowances.
NAM
No Allowances Made 
The factory will make the deductions.</t>
        </r>
      </text>
    </comment>
    <comment ref="L19" authorId="1" shapeId="0" xr:uid="{E781635F-29C1-43FC-978C-5C20EB0693F3}">
      <text>
        <r>
          <rPr>
            <sz val="8"/>
            <color indexed="81"/>
            <rFont val="Tahoma"/>
            <family val="2"/>
          </rPr>
          <t>The Cord Lock options are;
50mm PS Privacy Blind, 
63mm PS Blind &amp; 
63mm PS Privacy Blind;
Left
Right
50mm PS Blind &amp; 
50mm Timber Blind;
Left
Right
Cordless</t>
        </r>
      </text>
    </comment>
    <comment ref="M19" authorId="1" shapeId="0" xr:uid="{5D556705-3264-4441-8BAD-DDB19A6C4E85}">
      <text>
        <r>
          <rPr>
            <sz val="8"/>
            <color indexed="81"/>
            <rFont val="Tahoma"/>
            <family val="2"/>
          </rPr>
          <t>The Tilt options are;
For Cord Lock Left &amp; Right;
Left
Right
For Cordless;
Cordless Hook Wand Left
Cordless Hook Wand Right</t>
        </r>
      </text>
    </comment>
    <comment ref="O19" authorId="1" shapeId="0" xr:uid="{B55996FF-EDD6-492E-A008-0F51F952C8BB}">
      <text>
        <r>
          <rPr>
            <sz val="8"/>
            <color indexed="81"/>
            <rFont val="Tahoma"/>
            <family val="2"/>
          </rPr>
          <t>Standard is default.
Common Fascia is when the same Fascia 
is used for two Blinds.</t>
        </r>
      </text>
    </comment>
    <comment ref="Q19" authorId="1" shapeId="0" xr:uid="{51BA3AF6-498E-4A59-AE60-60BEB8D929ED}">
      <text>
        <r>
          <rPr>
            <sz val="8"/>
            <color indexed="81"/>
            <rFont val="Tahoma"/>
            <family val="2"/>
          </rPr>
          <t>When left blank, 
no Cut Out applies.</t>
        </r>
      </text>
    </comment>
    <comment ref="S19" authorId="1" shapeId="0" xr:uid="{05DB1024-B106-445B-927E-5A0C3361F2C8}">
      <text>
        <r>
          <rPr>
            <sz val="8"/>
            <color indexed="81"/>
            <rFont val="Tahoma"/>
            <family val="2"/>
          </rPr>
          <t>Blind Width          Maximum Cut Out Width
For 50mm/63mm PS/PS Privacy
222 - 254mm       50mm
255 - 379mm       75mm
 &gt; 380mm             130mm</t>
        </r>
      </text>
    </comment>
    <comment ref="U19" authorId="1" shapeId="0" xr:uid="{FE256233-AD9A-4468-8D4D-064775DF5C2E}">
      <text>
        <r>
          <rPr>
            <sz val="8"/>
            <color indexed="81"/>
            <rFont val="Tahoma"/>
            <family val="2"/>
          </rPr>
          <t xml:space="preserve">Blind Width          Maximum Cut Out Width
For 50mm/63mm PS/PS Privacy
222 - 254mm       50mm
255 - 379mm       75mm
 &gt; 380mm             130mm
</t>
        </r>
      </text>
    </comment>
    <comment ref="D20" authorId="0" shapeId="0" xr:uid="{1B8D0B13-1FFF-46CE-9E21-DC0685D6BC1E}">
      <text>
        <r>
          <rPr>
            <sz val="8"/>
            <color indexed="81"/>
            <rFont val="Tahoma"/>
            <family val="2"/>
          </rPr>
          <t>The Product options are;
50mm PS Blind
50mm PS Privacy Blind
63mm PS Blind
63mm PS Privacy Blind
50mm Timber Blind</t>
        </r>
      </text>
    </comment>
    <comment ref="E20" authorId="1" shapeId="0" xr:uid="{7AA84AA5-1E98-42B3-8AF1-067EC41AECDF}">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20" authorId="1" shapeId="0" xr:uid="{F553BA6B-6F8A-48BD-81A5-DA62CD9F17C1}">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0" authorId="1" shapeId="0" xr:uid="{45D6D4A8-FB4E-4FA7-9DF8-4F0DCA84F4F4}">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20" authorId="1" shapeId="0" xr:uid="{45B3E873-C868-4A5F-97E2-8BEE7E67BC77}">
      <text>
        <r>
          <rPr>
            <sz val="8"/>
            <color indexed="81"/>
            <rFont val="Tahoma"/>
            <family val="2"/>
          </rPr>
          <t>When selecting a
Corner or Bay 
Window Type, 
the CMB Corner WS 
or the 
CMB Bay WS 
must be completed please.</t>
        </r>
      </text>
    </comment>
    <comment ref="J20" authorId="1" shapeId="0" xr:uid="{4F7FCE06-FE7D-4161-A799-F8E68D9054B4}">
      <text>
        <r>
          <rPr>
            <sz val="8"/>
            <color indexed="81"/>
            <rFont val="Tahoma"/>
            <family val="2"/>
          </rPr>
          <t>ACT 
Actual Measurements
You have made the allowances.
NAM
No Allowances Made 
The factory will make the deductions.</t>
        </r>
      </text>
    </comment>
    <comment ref="L20" authorId="1" shapeId="0" xr:uid="{0D12B146-0B33-4A0A-8BE0-E1C5617C7438}">
      <text>
        <r>
          <rPr>
            <sz val="8"/>
            <color indexed="81"/>
            <rFont val="Tahoma"/>
            <family val="2"/>
          </rPr>
          <t>The Cord Lock options are;
50mm PS Privacy Blind, 
63mm PS Blind &amp; 
63mm PS Privacy Blind;
Left
Right
50mm PS Blind &amp; 
50mm Timber Blind;
Left
Right
Cordless</t>
        </r>
      </text>
    </comment>
    <comment ref="M20" authorId="1" shapeId="0" xr:uid="{A9E0DC33-9900-4B97-83E6-DEA8DB8A9034}">
      <text>
        <r>
          <rPr>
            <sz val="8"/>
            <color indexed="81"/>
            <rFont val="Tahoma"/>
            <family val="2"/>
          </rPr>
          <t>The Tilt options are;
For Cord Lock Left &amp; Right;
Left
Right
For Cordless;
Cordless Hook Wand Left
Cordless Hook Wand Right</t>
        </r>
      </text>
    </comment>
    <comment ref="O20" authorId="1" shapeId="0" xr:uid="{82971AF9-DD22-40FB-9186-654150A23EC6}">
      <text>
        <r>
          <rPr>
            <sz val="8"/>
            <color indexed="81"/>
            <rFont val="Tahoma"/>
            <family val="2"/>
          </rPr>
          <t>Standard is default.
Common Fascia is when the same Fascia 
is used for two Blinds.</t>
        </r>
      </text>
    </comment>
    <comment ref="Q20" authorId="1" shapeId="0" xr:uid="{7F4D9324-35FC-4F24-A733-921369592DDE}">
      <text>
        <r>
          <rPr>
            <sz val="8"/>
            <color indexed="81"/>
            <rFont val="Tahoma"/>
            <family val="2"/>
          </rPr>
          <t>When left blank, 
no Cut Out applies.</t>
        </r>
      </text>
    </comment>
    <comment ref="S20" authorId="1" shapeId="0" xr:uid="{B4554684-AEB7-43FC-BD1B-480A8EEAB2AD}">
      <text>
        <r>
          <rPr>
            <sz val="8"/>
            <color indexed="81"/>
            <rFont val="Tahoma"/>
            <family val="2"/>
          </rPr>
          <t>Blind Width          Maximum Cut Out Width
For 50mm/63mm PS/PS Privacy
222 - 254mm       50mm
255 - 379mm       75mm
 &gt; 380mm             130mm</t>
        </r>
      </text>
    </comment>
    <comment ref="U20" authorId="1" shapeId="0" xr:uid="{73124451-8EA5-45E5-9F80-DA5263A11860}">
      <text>
        <r>
          <rPr>
            <sz val="8"/>
            <color indexed="81"/>
            <rFont val="Tahoma"/>
            <family val="2"/>
          </rPr>
          <t xml:space="preserve">Blind Width          Maximum Cut Out Width
For 50mm/63mm PS/PS Privacy
222 - 254mm       50mm
255 - 379mm       75mm
 &gt; 380mm             130mm
</t>
        </r>
      </text>
    </comment>
    <comment ref="D21" authorId="0" shapeId="0" xr:uid="{3F087F47-585C-40F7-AFE8-BDD8312766AA}">
      <text>
        <r>
          <rPr>
            <sz val="8"/>
            <color indexed="81"/>
            <rFont val="Tahoma"/>
            <family val="2"/>
          </rPr>
          <t>The Product options are;
50mm PS Blind
50mm PS Privacy Blind
63mm PS Blind
63mm PS Privacy Blind
50mm Timber Blind</t>
        </r>
      </text>
    </comment>
    <comment ref="E21" authorId="1" shapeId="0" xr:uid="{D5F383B4-9477-4CA1-8E5B-2EE78494C386}">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21" authorId="1" shapeId="0" xr:uid="{52338C85-B0B0-4757-B35D-6DBB69A68D68}">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1" authorId="1" shapeId="0" xr:uid="{B0BD2394-B2D8-4262-9BB7-8B45391F235B}">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21" authorId="1" shapeId="0" xr:uid="{D8C87541-9541-4235-BE4E-A62316152965}">
      <text>
        <r>
          <rPr>
            <sz val="8"/>
            <color indexed="81"/>
            <rFont val="Tahoma"/>
            <family val="2"/>
          </rPr>
          <t>When selecting a
Corner or Bay 
Window Type, 
the CMB Corner WS 
or the 
CMB Bay WS 
must be completed please.</t>
        </r>
      </text>
    </comment>
    <comment ref="J21" authorId="1" shapeId="0" xr:uid="{29D65680-D6DA-4030-B93A-3F8BD12F5726}">
      <text>
        <r>
          <rPr>
            <sz val="8"/>
            <color indexed="81"/>
            <rFont val="Tahoma"/>
            <family val="2"/>
          </rPr>
          <t>ACT 
Actual Measurements
You have made the allowances.
NAM
No Allowances Made 
The factory will make the deductions.</t>
        </r>
      </text>
    </comment>
    <comment ref="L21" authorId="1" shapeId="0" xr:uid="{230B4613-C848-4F7A-8A0D-E4EDCB78A638}">
      <text>
        <r>
          <rPr>
            <sz val="8"/>
            <color indexed="81"/>
            <rFont val="Tahoma"/>
            <family val="2"/>
          </rPr>
          <t>The Cord Lock options are;
50mm PS Privacy Blind, 
63mm PS Blind &amp; 
63mm PS Privacy Blind;
Left
Right
50mm PS Blind &amp; 
50mm Timber Blind;
Left
Right
Cordless</t>
        </r>
      </text>
    </comment>
    <comment ref="M21" authorId="1" shapeId="0" xr:uid="{8F537D65-C912-4AAF-8105-8B2C34E04230}">
      <text>
        <r>
          <rPr>
            <sz val="8"/>
            <color indexed="81"/>
            <rFont val="Tahoma"/>
            <family val="2"/>
          </rPr>
          <t>The Tilt options are;
For Cord Lock Left &amp; Right;
Left
Right
For Cordless;
Cordless Hook Wand Left
Cordless Hook Wand Right</t>
        </r>
      </text>
    </comment>
    <comment ref="O21" authorId="1" shapeId="0" xr:uid="{F5ED3083-BE3A-469A-84A1-C309E2D10778}">
      <text>
        <r>
          <rPr>
            <sz val="8"/>
            <color indexed="81"/>
            <rFont val="Tahoma"/>
            <family val="2"/>
          </rPr>
          <t>Standard is default.
Common Fascia is when the same Fascia 
is used for two Blinds.</t>
        </r>
      </text>
    </comment>
    <comment ref="Q21" authorId="1" shapeId="0" xr:uid="{66123D39-C099-4575-81C4-8C46EECCAEF3}">
      <text>
        <r>
          <rPr>
            <sz val="8"/>
            <color indexed="81"/>
            <rFont val="Tahoma"/>
            <family val="2"/>
          </rPr>
          <t>When left blank, 
no Cut Out applies.</t>
        </r>
      </text>
    </comment>
    <comment ref="S21" authorId="1" shapeId="0" xr:uid="{3F47FBBA-BA4E-4C8F-8892-39709670D43E}">
      <text>
        <r>
          <rPr>
            <sz val="8"/>
            <color indexed="81"/>
            <rFont val="Tahoma"/>
            <family val="2"/>
          </rPr>
          <t>Blind Width          Maximum Cut Out Width
For 50mm/63mm PS/PS Privacy
222 - 254mm       50mm
255 - 379mm       75mm
 &gt; 380mm             130mm</t>
        </r>
      </text>
    </comment>
    <comment ref="U21" authorId="1" shapeId="0" xr:uid="{77C12C81-F08F-408D-BF7E-46C58E60A7D4}">
      <text>
        <r>
          <rPr>
            <sz val="8"/>
            <color indexed="81"/>
            <rFont val="Tahoma"/>
            <family val="2"/>
          </rPr>
          <t xml:space="preserve">Blind Width          Maximum Cut Out Width
For 50mm/63mm PS/PS Privacy
222 - 254mm       50mm
255 - 379mm       75mm
 &gt; 380mm             130mm
</t>
        </r>
      </text>
    </comment>
    <comment ref="D22" authorId="0" shapeId="0" xr:uid="{C06ECEC7-9EE4-4320-9E53-B6F10F851919}">
      <text>
        <r>
          <rPr>
            <sz val="8"/>
            <color indexed="81"/>
            <rFont val="Tahoma"/>
            <family val="2"/>
          </rPr>
          <t>The Product options are;
50mm PS Blind
50mm PS Privacy Blind
63mm PS Blind
63mm PS Privacy Blind
50mm Timber Blind</t>
        </r>
      </text>
    </comment>
    <comment ref="E22" authorId="1" shapeId="0" xr:uid="{F961309C-7860-434D-A59A-3F0FD113F478}">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22" authorId="1" shapeId="0" xr:uid="{0DC38913-4532-47E9-BF09-46AE1754317E}">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2" authorId="1" shapeId="0" xr:uid="{3A8A91EA-A937-4BC1-9F4C-C78F45E1333C}">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22" authorId="1" shapeId="0" xr:uid="{20012865-9409-4DA3-8A7D-C0CF78554443}">
      <text>
        <r>
          <rPr>
            <sz val="8"/>
            <color indexed="81"/>
            <rFont val="Tahoma"/>
            <family val="2"/>
          </rPr>
          <t>When selecting a
Corner or Bay 
Window Type, 
the CMB Corner WS 
or the 
CMB Bay WS 
must be completed please.</t>
        </r>
      </text>
    </comment>
    <comment ref="J22" authorId="1" shapeId="0" xr:uid="{33C99758-48B0-494E-8A69-F946D0313428}">
      <text>
        <r>
          <rPr>
            <sz val="8"/>
            <color indexed="81"/>
            <rFont val="Tahoma"/>
            <family val="2"/>
          </rPr>
          <t>ACT 
Actual Measurements
You have made the allowances.
NAM
No Allowances Made 
The factory will make the deductions.</t>
        </r>
      </text>
    </comment>
    <comment ref="L22" authorId="1" shapeId="0" xr:uid="{1570801D-071E-4126-B414-B884081F9F47}">
      <text>
        <r>
          <rPr>
            <sz val="8"/>
            <color indexed="81"/>
            <rFont val="Tahoma"/>
            <family val="2"/>
          </rPr>
          <t>The Cord Lock options are;
50mm PS Privacy Blind, 
63mm PS Blind &amp; 
63mm PS Privacy Blind;
Left
Right
50mm PS Blind &amp; 
50mm Timber Blind;
Left
Right
Cordless</t>
        </r>
      </text>
    </comment>
    <comment ref="M22" authorId="1" shapeId="0" xr:uid="{4D8C27BE-8B65-4F9E-90F3-03DD62448ED5}">
      <text>
        <r>
          <rPr>
            <sz val="8"/>
            <color indexed="81"/>
            <rFont val="Tahoma"/>
            <family val="2"/>
          </rPr>
          <t>The Tilt options are;
For Cord Lock Left &amp; Right;
Left
Right
For Cordless;
Cordless Hook Wand Left
Cordless Hook Wand Right</t>
        </r>
      </text>
    </comment>
    <comment ref="O22" authorId="1" shapeId="0" xr:uid="{8C276945-71BA-4638-8DC6-C77B997EAB19}">
      <text>
        <r>
          <rPr>
            <sz val="8"/>
            <color indexed="81"/>
            <rFont val="Tahoma"/>
            <family val="2"/>
          </rPr>
          <t>Standard is default.
Common Fascia is when the same Fascia 
is used for two Blinds.</t>
        </r>
      </text>
    </comment>
    <comment ref="Q22" authorId="1" shapeId="0" xr:uid="{04EB34EA-8192-45C9-9C51-EB7D91C302A6}">
      <text>
        <r>
          <rPr>
            <sz val="8"/>
            <color indexed="81"/>
            <rFont val="Tahoma"/>
            <family val="2"/>
          </rPr>
          <t>When left blank, 
no Cut Out applies.</t>
        </r>
      </text>
    </comment>
    <comment ref="S22" authorId="1" shapeId="0" xr:uid="{1202A636-5122-4A32-B311-ECE774A60EC3}">
      <text>
        <r>
          <rPr>
            <sz val="8"/>
            <color indexed="81"/>
            <rFont val="Tahoma"/>
            <family val="2"/>
          </rPr>
          <t>Blind Width          Maximum Cut Out Width
For 50mm/63mm PS/PS Privacy
222 - 254mm       50mm
255 - 379mm       75mm
 &gt; 380mm             130mm</t>
        </r>
      </text>
    </comment>
    <comment ref="U22" authorId="1" shapeId="0" xr:uid="{68A08E1F-B0F7-403C-9FA0-81453339FB44}">
      <text>
        <r>
          <rPr>
            <sz val="8"/>
            <color indexed="81"/>
            <rFont val="Tahoma"/>
            <family val="2"/>
          </rPr>
          <t xml:space="preserve">Blind Width          Maximum Cut Out Width
For 50mm/63mm PS/PS Privacy
222 - 254mm       50mm
255 - 379mm       75mm
 &gt; 380mm             130mm
</t>
        </r>
      </text>
    </comment>
    <comment ref="D23" authorId="0" shapeId="0" xr:uid="{D234433C-798D-45B4-84E5-2289D22870F4}">
      <text>
        <r>
          <rPr>
            <sz val="8"/>
            <color indexed="81"/>
            <rFont val="Tahoma"/>
            <family val="2"/>
          </rPr>
          <t>The Product options are;
50mm PS Blind
50mm PS Privacy Blind
63mm PS Blind
63mm PS Privacy Blind
50mm Timber Blind</t>
        </r>
      </text>
    </comment>
    <comment ref="E23" authorId="1" shapeId="0" xr:uid="{39C64854-608B-4204-8920-F9D51FABC88E}">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23" authorId="1" shapeId="0" xr:uid="{D2177C50-CBC8-4624-B4B0-2288990531CB}">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3" authorId="1" shapeId="0" xr:uid="{E8C5736F-8B6F-479F-84B5-BB2563FFA13B}">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23" authorId="1" shapeId="0" xr:uid="{7FF84D8A-8AE3-4742-8E74-FC3233B5CF56}">
      <text>
        <r>
          <rPr>
            <sz val="8"/>
            <color indexed="81"/>
            <rFont val="Tahoma"/>
            <family val="2"/>
          </rPr>
          <t>When selecting a
Corner or Bay 
Window Type, 
the CMB Corner WS 
or the 
CMB Bay WS 
must be completed please.</t>
        </r>
      </text>
    </comment>
    <comment ref="J23" authorId="1" shapeId="0" xr:uid="{1B72E1D1-AD08-453E-A396-B90222E19A6A}">
      <text>
        <r>
          <rPr>
            <sz val="8"/>
            <color indexed="81"/>
            <rFont val="Tahoma"/>
            <family val="2"/>
          </rPr>
          <t>ACT 
Actual Measurements
You have made the allowances.
NAM
No Allowances Made 
The factory will make the deductions.</t>
        </r>
      </text>
    </comment>
    <comment ref="L23" authorId="1" shapeId="0" xr:uid="{16AC6384-64FB-43D7-B260-6C7A8E38BA34}">
      <text>
        <r>
          <rPr>
            <sz val="8"/>
            <color indexed="81"/>
            <rFont val="Tahoma"/>
            <family val="2"/>
          </rPr>
          <t>The Cord Lock options are;
50mm PS Privacy Blind, 
63mm PS Blind &amp; 
63mm PS Privacy Blind;
Left
Right
50mm PS Blind &amp; 
50mm Timber Blind;
Left
Right
Cordless</t>
        </r>
      </text>
    </comment>
    <comment ref="M23" authorId="1" shapeId="0" xr:uid="{8BE1082A-7917-409F-B2F0-8611F1EE9E1D}">
      <text>
        <r>
          <rPr>
            <sz val="8"/>
            <color indexed="81"/>
            <rFont val="Tahoma"/>
            <family val="2"/>
          </rPr>
          <t>The Tilt options are;
For Cord Lock Left &amp; Right;
Left
Right
For Cordless;
Cordless Hook Wand Left
Cordless Hook Wand Right</t>
        </r>
      </text>
    </comment>
    <comment ref="O23" authorId="1" shapeId="0" xr:uid="{1DA8B298-CE6B-4D88-A04C-40031B9F53EB}">
      <text>
        <r>
          <rPr>
            <sz val="8"/>
            <color indexed="81"/>
            <rFont val="Tahoma"/>
            <family val="2"/>
          </rPr>
          <t>Standard is default.
Common Fascia is when the same Fascia 
is used for two Blinds.</t>
        </r>
      </text>
    </comment>
    <comment ref="Q23" authorId="1" shapeId="0" xr:uid="{EE9C82D3-9CCE-4514-9325-BCECF26F66D1}">
      <text>
        <r>
          <rPr>
            <sz val="8"/>
            <color indexed="81"/>
            <rFont val="Tahoma"/>
            <family val="2"/>
          </rPr>
          <t>When left blank, 
no Cut Out applies.</t>
        </r>
      </text>
    </comment>
    <comment ref="S23" authorId="1" shapeId="0" xr:uid="{42868B6D-36DF-4ED9-A400-38E859C59D0A}">
      <text>
        <r>
          <rPr>
            <sz val="8"/>
            <color indexed="81"/>
            <rFont val="Tahoma"/>
            <family val="2"/>
          </rPr>
          <t>Blind Width          Maximum Cut Out Width
For 50mm/63mm PS/PS Privacy
222 - 254mm       50mm
255 - 379mm       75mm
 &gt; 380mm             130mm</t>
        </r>
      </text>
    </comment>
    <comment ref="U23" authorId="1" shapeId="0" xr:uid="{8CA57660-002A-4246-AC06-63B47823CD29}">
      <text>
        <r>
          <rPr>
            <sz val="8"/>
            <color indexed="81"/>
            <rFont val="Tahoma"/>
            <family val="2"/>
          </rPr>
          <t xml:space="preserve">Blind Width          Maximum Cut Out Width
For 50mm/63mm PS/PS Privacy
222 - 254mm       50mm
255 - 379mm       75mm
 &gt; 380mm             130mm
</t>
        </r>
      </text>
    </comment>
    <comment ref="D24" authorId="0" shapeId="0" xr:uid="{7A90D62A-9EF9-42C0-9F80-6859C5CC83BF}">
      <text>
        <r>
          <rPr>
            <sz val="8"/>
            <color indexed="81"/>
            <rFont val="Tahoma"/>
            <family val="2"/>
          </rPr>
          <t>The Product options are;
50mm PS Blind
50mm PS Privacy Blind
63mm PS Blind
63mm PS Privacy Blind
50mm Timber Blind</t>
        </r>
      </text>
    </comment>
    <comment ref="E24" authorId="1" shapeId="0" xr:uid="{6F008056-2781-4F18-8C35-E69B99BE871B}">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24" authorId="1" shapeId="0" xr:uid="{9ACEB061-7284-4326-A2FB-ACB83D13CC0C}">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4" authorId="1" shapeId="0" xr:uid="{708154A5-EF8F-43F7-8F6D-CFC6E7EE3B08}">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24" authorId="1" shapeId="0" xr:uid="{6306700A-B953-4D2B-8114-3A79B6AD88CA}">
      <text>
        <r>
          <rPr>
            <sz val="8"/>
            <color indexed="81"/>
            <rFont val="Tahoma"/>
            <family val="2"/>
          </rPr>
          <t>When selecting a
Corner or Bay 
Window Type, 
the CMB Corner WS 
or the 
CMB Bay WS 
must be completed please.</t>
        </r>
      </text>
    </comment>
    <comment ref="J24" authorId="1" shapeId="0" xr:uid="{2D73B926-FE5C-497C-957E-8DEB5F3E0447}">
      <text>
        <r>
          <rPr>
            <sz val="8"/>
            <color indexed="81"/>
            <rFont val="Tahoma"/>
            <family val="2"/>
          </rPr>
          <t>ACT 
Actual Measurements
You have made the allowances.
NAM
No Allowances Made 
The factory will make the deductions.</t>
        </r>
      </text>
    </comment>
    <comment ref="L24" authorId="1" shapeId="0" xr:uid="{D318EB8A-7064-4D8D-A2EA-DC05955543B3}">
      <text>
        <r>
          <rPr>
            <sz val="8"/>
            <color indexed="81"/>
            <rFont val="Tahoma"/>
            <family val="2"/>
          </rPr>
          <t>The Cord Lock options are;
50mm PS Privacy Blind, 
63mm PS Blind &amp; 
63mm PS Privacy Blind;
Left
Right
50mm PS Blind &amp; 
50mm Timber Blind;
Left
Right
Cordless</t>
        </r>
      </text>
    </comment>
    <comment ref="M24" authorId="1" shapeId="0" xr:uid="{E20A12BC-A709-4FC4-BD8E-55E032B5DBB6}">
      <text>
        <r>
          <rPr>
            <sz val="8"/>
            <color indexed="81"/>
            <rFont val="Tahoma"/>
            <family val="2"/>
          </rPr>
          <t>The Tilt options are;
For Cord Lock Left &amp; Right;
Left
Right
For Cordless;
Cordless Hook Wand Left
Cordless Hook Wand Right</t>
        </r>
      </text>
    </comment>
    <comment ref="O24" authorId="1" shapeId="0" xr:uid="{C545EFB6-96D4-4D46-BBDC-497652166132}">
      <text>
        <r>
          <rPr>
            <sz val="8"/>
            <color indexed="81"/>
            <rFont val="Tahoma"/>
            <family val="2"/>
          </rPr>
          <t>Standard is default.
Common Fascia is when the same Fascia 
is used for two Blinds.</t>
        </r>
      </text>
    </comment>
    <comment ref="Q24" authorId="1" shapeId="0" xr:uid="{0941BBD0-2DA3-48D3-88A5-468BBEC2C2ED}">
      <text>
        <r>
          <rPr>
            <sz val="8"/>
            <color indexed="81"/>
            <rFont val="Tahoma"/>
            <family val="2"/>
          </rPr>
          <t>When left blank, 
no Cut Out applies.</t>
        </r>
      </text>
    </comment>
    <comment ref="S24" authorId="1" shapeId="0" xr:uid="{4A84BC0C-DBE6-4CD8-A2D0-F1A27BD9A100}">
      <text>
        <r>
          <rPr>
            <sz val="8"/>
            <color indexed="81"/>
            <rFont val="Tahoma"/>
            <family val="2"/>
          </rPr>
          <t>Blind Width          Maximum Cut Out Width
For 50mm/63mm PS/PS Privacy
222 - 254mm       50mm
255 - 379mm       75mm
 &gt; 380mm             130mm</t>
        </r>
      </text>
    </comment>
    <comment ref="U24" authorId="1" shapeId="0" xr:uid="{F138C911-E228-486C-9086-E64090D70101}">
      <text>
        <r>
          <rPr>
            <sz val="8"/>
            <color indexed="81"/>
            <rFont val="Tahoma"/>
            <family val="2"/>
          </rPr>
          <t xml:space="preserve">Blind Width          Maximum Cut Out Width
For 50mm/63mm PS/PS Privacy
222 - 254mm       50mm
255 - 379mm       75mm
 &gt; 380mm             130mm
</t>
        </r>
      </text>
    </comment>
    <comment ref="D25" authorId="0" shapeId="0" xr:uid="{C8AF4E79-8A84-4221-B017-0FBFBAC11002}">
      <text>
        <r>
          <rPr>
            <sz val="8"/>
            <color indexed="81"/>
            <rFont val="Tahoma"/>
            <family val="2"/>
          </rPr>
          <t>The Product options are;
50mm PS Blind
50mm PS Privacy Blind
63mm PS Blind
63mm PS Privacy Blind
50mm Timber Blind</t>
        </r>
      </text>
    </comment>
    <comment ref="E25" authorId="1" shapeId="0" xr:uid="{5E75C3A1-AE77-4D5B-81B6-1024DF787170}">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25" authorId="1" shapeId="0" xr:uid="{053E7905-F27E-41C4-A603-7EB2041C986C}">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5" authorId="1" shapeId="0" xr:uid="{35C37D0D-3E59-41D9-A73F-94746C2448F9}">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25" authorId="1" shapeId="0" xr:uid="{67833124-1A2C-4368-8289-7B31B25B7D68}">
      <text>
        <r>
          <rPr>
            <sz val="8"/>
            <color indexed="81"/>
            <rFont val="Tahoma"/>
            <family val="2"/>
          </rPr>
          <t>When selecting a
Corner or Bay 
Window Type, 
the CMB Corner WS 
or the 
CMB Bay WS 
must be completed please.</t>
        </r>
      </text>
    </comment>
    <comment ref="J25" authorId="1" shapeId="0" xr:uid="{DD885232-190A-48C5-A557-205BB91996E2}">
      <text>
        <r>
          <rPr>
            <sz val="8"/>
            <color indexed="81"/>
            <rFont val="Tahoma"/>
            <family val="2"/>
          </rPr>
          <t>ACT 
Actual Measurements
You have made the allowances.
NAM
No Allowances Made 
The factory will make the deductions.</t>
        </r>
      </text>
    </comment>
    <comment ref="L25" authorId="1" shapeId="0" xr:uid="{F66E39D7-6FC6-4D94-B903-D251BD4E5609}">
      <text>
        <r>
          <rPr>
            <sz val="8"/>
            <color indexed="81"/>
            <rFont val="Tahoma"/>
            <family val="2"/>
          </rPr>
          <t>The Cord Lock options are;
50mm PS Privacy Blind, 
63mm PS Blind &amp; 
63mm PS Privacy Blind;
Left
Right
50mm PS Blind &amp; 
50mm Timber Blind;
Left
Right
Cordless</t>
        </r>
      </text>
    </comment>
    <comment ref="M25" authorId="1" shapeId="0" xr:uid="{8D718431-58E5-4FB4-9ED1-92723947B3E8}">
      <text>
        <r>
          <rPr>
            <sz val="8"/>
            <color indexed="81"/>
            <rFont val="Tahoma"/>
            <family val="2"/>
          </rPr>
          <t>The Tilt options are;
For Cord Lock Left &amp; Right;
Left
Right
For Cordless;
Cordless Hook Wand Left
Cordless Hook Wand Right</t>
        </r>
      </text>
    </comment>
    <comment ref="O25" authorId="1" shapeId="0" xr:uid="{D23F909F-F188-48C0-B822-DDA56DD207AC}">
      <text>
        <r>
          <rPr>
            <sz val="8"/>
            <color indexed="81"/>
            <rFont val="Tahoma"/>
            <family val="2"/>
          </rPr>
          <t>Standard is default.
Common Fascia is when the same Fascia 
is used for two Blinds.</t>
        </r>
      </text>
    </comment>
    <comment ref="Q25" authorId="1" shapeId="0" xr:uid="{2F48016F-7F06-4D70-80C8-0AE42ACA33B6}">
      <text>
        <r>
          <rPr>
            <sz val="8"/>
            <color indexed="81"/>
            <rFont val="Tahoma"/>
            <family val="2"/>
          </rPr>
          <t>When left blank, 
no Cut Out applies.</t>
        </r>
      </text>
    </comment>
    <comment ref="S25" authorId="1" shapeId="0" xr:uid="{715654BB-EE6D-4718-B0D3-AE60ABA29B0E}">
      <text>
        <r>
          <rPr>
            <sz val="8"/>
            <color indexed="81"/>
            <rFont val="Tahoma"/>
            <family val="2"/>
          </rPr>
          <t>Blind Width          Maximum Cut Out Width
For 50mm/63mm PS/PS Privacy
222 - 254mm       50mm
255 - 379mm       75mm
 &gt; 380mm             130mm</t>
        </r>
      </text>
    </comment>
    <comment ref="U25" authorId="1" shapeId="0" xr:uid="{158C8D0F-F45B-4E5A-96AC-BAAFB4BBEC6A}">
      <text>
        <r>
          <rPr>
            <sz val="8"/>
            <color indexed="81"/>
            <rFont val="Tahoma"/>
            <family val="2"/>
          </rPr>
          <t xml:space="preserve">Blind Width          Maximum Cut Out Width
For 50mm/63mm PS/PS Privacy
222 - 254mm       50mm
255 - 379mm       75mm
 &gt; 380mm             130mm
</t>
        </r>
      </text>
    </comment>
    <comment ref="D26" authorId="0" shapeId="0" xr:uid="{20799110-7AC8-4B61-B127-34605145E5C6}">
      <text>
        <r>
          <rPr>
            <sz val="8"/>
            <color indexed="81"/>
            <rFont val="Tahoma"/>
            <family val="2"/>
          </rPr>
          <t>The Product options are;
50mm PS Blind
50mm PS Privacy Blind
63mm PS Blind
63mm PS Privacy Blind
50mm Timber Blind</t>
        </r>
      </text>
    </comment>
    <comment ref="E26" authorId="1" shapeId="0" xr:uid="{0F1E7BE0-0BB9-48C9-B68E-EAE098EEF4F7}">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26" authorId="1" shapeId="0" xr:uid="{7578AABA-EC43-43D0-94D6-87154DB573D6}">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6" authorId="1" shapeId="0" xr:uid="{45E0FC61-0CBA-4968-9073-4F7DAFC5C38A}">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26" authorId="1" shapeId="0" xr:uid="{E17BD440-DF09-421C-9079-42F35EA8F7A5}">
      <text>
        <r>
          <rPr>
            <sz val="8"/>
            <color indexed="81"/>
            <rFont val="Tahoma"/>
            <family val="2"/>
          </rPr>
          <t>When selecting a
Corner or Bay 
Window Type, 
the CMB Corner WS 
or the 
CMB Bay WS 
must be completed please.</t>
        </r>
      </text>
    </comment>
    <comment ref="J26" authorId="1" shapeId="0" xr:uid="{DF13E719-F43E-41D6-8DC1-92E7373397B4}">
      <text>
        <r>
          <rPr>
            <sz val="8"/>
            <color indexed="81"/>
            <rFont val="Tahoma"/>
            <family val="2"/>
          </rPr>
          <t>ACT 
Actual Measurements
You have made the allowances.
NAM
No Allowances Made 
The factory will make the deductions.</t>
        </r>
      </text>
    </comment>
    <comment ref="L26" authorId="1" shapeId="0" xr:uid="{4F6C5DCB-E274-43A1-8296-F7ED8074E244}">
      <text>
        <r>
          <rPr>
            <sz val="8"/>
            <color indexed="81"/>
            <rFont val="Tahoma"/>
            <family val="2"/>
          </rPr>
          <t>The Cord Lock options are;
50mm PS Privacy Blind, 
63mm PS Blind &amp; 
63mm PS Privacy Blind;
Left
Right
50mm PS Blind &amp; 
50mm Timber Blind;
Left
Right
Cordless</t>
        </r>
      </text>
    </comment>
    <comment ref="M26" authorId="1" shapeId="0" xr:uid="{8926D68E-F747-4169-BD5E-42493BDBF7FA}">
      <text>
        <r>
          <rPr>
            <sz val="8"/>
            <color indexed="81"/>
            <rFont val="Tahoma"/>
            <family val="2"/>
          </rPr>
          <t>The Tilt options are;
For Cord Lock Left &amp; Right;
Left
Right
For Cordless;
Cordless Hook Wand Left
Cordless Hook Wand Right</t>
        </r>
      </text>
    </comment>
    <comment ref="O26" authorId="1" shapeId="0" xr:uid="{119B44DE-E11F-4EEF-9E33-586D4E1CA763}">
      <text>
        <r>
          <rPr>
            <sz val="8"/>
            <color indexed="81"/>
            <rFont val="Tahoma"/>
            <family val="2"/>
          </rPr>
          <t>Standard is default.
Common Fascia is when the same Fascia 
is used for two Blinds.</t>
        </r>
      </text>
    </comment>
    <comment ref="Q26" authorId="1" shapeId="0" xr:uid="{5E4245D1-ACD8-4BD6-896F-53FFECBEC169}">
      <text>
        <r>
          <rPr>
            <sz val="8"/>
            <color indexed="81"/>
            <rFont val="Tahoma"/>
            <family val="2"/>
          </rPr>
          <t>When left blank, 
no Cut Out applies.</t>
        </r>
      </text>
    </comment>
    <comment ref="S26" authorId="1" shapeId="0" xr:uid="{A93EE281-C83D-4B5F-804C-E3CFC25E3010}">
      <text>
        <r>
          <rPr>
            <sz val="8"/>
            <color indexed="81"/>
            <rFont val="Tahoma"/>
            <family val="2"/>
          </rPr>
          <t>Blind Width          Maximum Cut Out Width
For 50mm/63mm PS/PS Privacy
222 - 254mm       50mm
255 - 379mm       75mm
 &gt; 380mm             130mm</t>
        </r>
      </text>
    </comment>
    <comment ref="U26" authorId="1" shapeId="0" xr:uid="{6E7621A9-EEC8-473A-BC56-CBC69D4EB0D6}">
      <text>
        <r>
          <rPr>
            <sz val="8"/>
            <color indexed="81"/>
            <rFont val="Tahoma"/>
            <family val="2"/>
          </rPr>
          <t xml:space="preserve">Blind Width          Maximum Cut Out Width
For 50mm/63mm PS/PS Privacy
222 - 254mm       50mm
255 - 379mm       75mm
 &gt; 380mm             130mm
</t>
        </r>
      </text>
    </comment>
    <comment ref="D27" authorId="0" shapeId="0" xr:uid="{0933497A-24EE-40C0-AE6A-0CDAAC33B415}">
      <text>
        <r>
          <rPr>
            <sz val="8"/>
            <color indexed="81"/>
            <rFont val="Tahoma"/>
            <family val="2"/>
          </rPr>
          <t>The Product options are;
50mm PS Blind
50mm PS Privacy Blind
63mm PS Blind
63mm PS Privacy Blind
50mm Timber Blind</t>
        </r>
      </text>
    </comment>
    <comment ref="E27" authorId="1" shapeId="0" xr:uid="{3181AF7D-6B32-4FA6-B7A7-93326F9AFE7F}">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27" authorId="1" shapeId="0" xr:uid="{817DE01F-321E-42B4-91D1-88D863B86B86}">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7" authorId="1" shapeId="0" xr:uid="{952AB7DC-2C67-4808-B018-FCFC3C723ACB}">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27" authorId="1" shapeId="0" xr:uid="{E5B059F0-FA5E-4566-BCE8-E440F1DD801C}">
      <text>
        <r>
          <rPr>
            <sz val="8"/>
            <color indexed="81"/>
            <rFont val="Tahoma"/>
            <family val="2"/>
          </rPr>
          <t>When selecting a
Corner or Bay 
Window Type, 
the CMB Corner WS 
or the 
CMB Bay WS 
must be completed please.</t>
        </r>
      </text>
    </comment>
    <comment ref="J27" authorId="1" shapeId="0" xr:uid="{ABB66BFC-7FFE-45F8-AB27-1AFB86D79EE2}">
      <text>
        <r>
          <rPr>
            <sz val="8"/>
            <color indexed="81"/>
            <rFont val="Tahoma"/>
            <family val="2"/>
          </rPr>
          <t>ACT 
Actual Measurements
You have made the allowances.
NAM
No Allowances Made 
The factory will make the deductions.</t>
        </r>
      </text>
    </comment>
    <comment ref="L27" authorId="1" shapeId="0" xr:uid="{7EB86FCD-DC21-406B-BE07-18DA7A62CEA9}">
      <text>
        <r>
          <rPr>
            <sz val="8"/>
            <color indexed="81"/>
            <rFont val="Tahoma"/>
            <family val="2"/>
          </rPr>
          <t>The Cord Lock options are;
50mm PS Privacy Blind, 
63mm PS Blind &amp; 
63mm PS Privacy Blind;
Left
Right
50mm PS Blind &amp; 
50mm Timber Blind;
Left
Right
Cordless</t>
        </r>
      </text>
    </comment>
    <comment ref="M27" authorId="1" shapeId="0" xr:uid="{E16504C3-41FB-4C0D-B833-C6F829304500}">
      <text>
        <r>
          <rPr>
            <sz val="8"/>
            <color indexed="81"/>
            <rFont val="Tahoma"/>
            <family val="2"/>
          </rPr>
          <t>The Tilt options are;
For Cord Lock Left &amp; Right;
Left
Right
For Cordless;
Cordless Hook Wand Left
Cordless Hook Wand Right</t>
        </r>
      </text>
    </comment>
    <comment ref="O27" authorId="1" shapeId="0" xr:uid="{C3F7BCE2-F85B-483D-95F2-488CC3C6E4DD}">
      <text>
        <r>
          <rPr>
            <sz val="8"/>
            <color indexed="81"/>
            <rFont val="Tahoma"/>
            <family val="2"/>
          </rPr>
          <t>Standard is default.
Common Fascia is when the same Fascia 
is used for two Blinds.</t>
        </r>
      </text>
    </comment>
    <comment ref="Q27" authorId="1" shapeId="0" xr:uid="{984206DF-8A6D-418B-9910-9C5DD38863C3}">
      <text>
        <r>
          <rPr>
            <sz val="8"/>
            <color indexed="81"/>
            <rFont val="Tahoma"/>
            <family val="2"/>
          </rPr>
          <t>When left blank, 
no Cut Out applies.</t>
        </r>
      </text>
    </comment>
    <comment ref="S27" authorId="1" shapeId="0" xr:uid="{20025341-F434-443A-9B98-1B797F2CEA04}">
      <text>
        <r>
          <rPr>
            <sz val="8"/>
            <color indexed="81"/>
            <rFont val="Tahoma"/>
            <family val="2"/>
          </rPr>
          <t>Blind Width          Maximum Cut Out Width
For 50mm/63mm PS/PS Privacy
222 - 254mm       50mm
255 - 379mm       75mm
 &gt; 380mm             130mm</t>
        </r>
      </text>
    </comment>
    <comment ref="U27" authorId="1" shapeId="0" xr:uid="{251AC026-033C-4C66-A6C4-77D4AFAE832C}">
      <text>
        <r>
          <rPr>
            <sz val="8"/>
            <color indexed="81"/>
            <rFont val="Tahoma"/>
            <family val="2"/>
          </rPr>
          <t xml:space="preserve">Blind Width          Maximum Cut Out Width
For 50mm/63mm PS/PS Privacy
222 - 254mm       50mm
255 - 379mm       75mm
 &gt; 380mm             130mm
</t>
        </r>
      </text>
    </comment>
    <comment ref="D28" authorId="0" shapeId="0" xr:uid="{140E2446-C70B-4491-A980-1F615E336E6C}">
      <text>
        <r>
          <rPr>
            <sz val="8"/>
            <color indexed="81"/>
            <rFont val="Tahoma"/>
            <family val="2"/>
          </rPr>
          <t>The Product options are;
50mm PS Blind
50mm PS Privacy Blind
63mm PS Blind
63mm PS Privacy Blind
50mm Timber Blind</t>
        </r>
      </text>
    </comment>
    <comment ref="E28" authorId="1" shapeId="0" xr:uid="{0EF89629-1404-40C1-9AAD-0154CEDCA39D}">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28" authorId="1" shapeId="0" xr:uid="{06122D4B-A3BA-4B02-87F6-3ED558947D6A}">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8" authorId="1" shapeId="0" xr:uid="{B9000307-B517-4DF0-BC90-3422027CBA40}">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28" authorId="1" shapeId="0" xr:uid="{2CFC7675-302B-4489-83CD-8071CDCE647B}">
      <text>
        <r>
          <rPr>
            <sz val="8"/>
            <color indexed="81"/>
            <rFont val="Tahoma"/>
            <family val="2"/>
          </rPr>
          <t>When selecting a
Corner or Bay 
Window Type, 
the CMB Corner WS 
or the 
CMB Bay WS 
must be completed please.</t>
        </r>
      </text>
    </comment>
    <comment ref="J28" authorId="1" shapeId="0" xr:uid="{DC2BA90F-F373-4C91-839A-A0B6A021B8EA}">
      <text>
        <r>
          <rPr>
            <sz val="8"/>
            <color indexed="81"/>
            <rFont val="Tahoma"/>
            <family val="2"/>
          </rPr>
          <t>ACT 
Actual Measurements
You have made the allowances.
NAM
No Allowances Made 
The factory will make the deductions.</t>
        </r>
      </text>
    </comment>
    <comment ref="L28" authorId="1" shapeId="0" xr:uid="{5C503D6F-3630-4C2B-B92E-19D96872AB0A}">
      <text>
        <r>
          <rPr>
            <sz val="8"/>
            <color indexed="81"/>
            <rFont val="Tahoma"/>
            <family val="2"/>
          </rPr>
          <t>The Cord Lock options are;
50mm PS Privacy Blind, 
63mm PS Blind &amp; 
63mm PS Privacy Blind;
Left
Right
50mm PS Blind &amp; 
50mm Timber Blind;
Left
Right
Cordless</t>
        </r>
      </text>
    </comment>
    <comment ref="M28" authorId="1" shapeId="0" xr:uid="{7F2663C1-447D-461D-840A-896F652F920B}">
      <text>
        <r>
          <rPr>
            <sz val="8"/>
            <color indexed="81"/>
            <rFont val="Tahoma"/>
            <family val="2"/>
          </rPr>
          <t>The Tilt options are;
For Cord Lock Left &amp; Right;
Left
Right
For Cordless;
Cordless Hook Wand Left
Cordless Hook Wand Right</t>
        </r>
      </text>
    </comment>
    <comment ref="O28" authorId="1" shapeId="0" xr:uid="{FDB6EBB2-70F7-4595-9675-7B18F7C0499C}">
      <text>
        <r>
          <rPr>
            <sz val="8"/>
            <color indexed="81"/>
            <rFont val="Tahoma"/>
            <family val="2"/>
          </rPr>
          <t>Standard is default.
Common Fascia is when the same Fascia 
is used for two Blinds.</t>
        </r>
      </text>
    </comment>
    <comment ref="Q28" authorId="1" shapeId="0" xr:uid="{C39E2D5E-D1DE-4F44-BB16-61F7E2376F46}">
      <text>
        <r>
          <rPr>
            <sz val="8"/>
            <color indexed="81"/>
            <rFont val="Tahoma"/>
            <family val="2"/>
          </rPr>
          <t>When left blank, 
no Cut Out applies.</t>
        </r>
      </text>
    </comment>
    <comment ref="S28" authorId="1" shapeId="0" xr:uid="{C9BDB940-41F3-46F5-8306-AC4290FB3C4F}">
      <text>
        <r>
          <rPr>
            <sz val="8"/>
            <color indexed="81"/>
            <rFont val="Tahoma"/>
            <family val="2"/>
          </rPr>
          <t>Blind Width          Maximum Cut Out Width
For 50mm/63mm PS/PS Privacy
222 - 254mm       50mm
255 - 379mm       75mm
 &gt; 380mm             130mm</t>
        </r>
      </text>
    </comment>
    <comment ref="U28" authorId="1" shapeId="0" xr:uid="{009CA987-DC78-4750-99CF-F015B0BE33AB}">
      <text>
        <r>
          <rPr>
            <sz val="8"/>
            <color indexed="81"/>
            <rFont val="Tahoma"/>
            <family val="2"/>
          </rPr>
          <t xml:space="preserve">Blind Width          Maximum Cut Out Width
For 50mm/63mm PS/PS Privacy
222 - 254mm       50mm
255 - 379mm       75mm
 &gt; 380mm             130mm
</t>
        </r>
      </text>
    </comment>
    <comment ref="D29" authorId="0" shapeId="0" xr:uid="{9ABE3544-FCDB-436D-AAB1-D01323E5CDAF}">
      <text>
        <r>
          <rPr>
            <sz val="8"/>
            <color indexed="81"/>
            <rFont val="Tahoma"/>
            <family val="2"/>
          </rPr>
          <t>The Product options are;
50mm PS Blind
50mm PS Privacy Blind
63mm PS Blind
63mm PS Privacy Blind
50mm Timber Blind</t>
        </r>
      </text>
    </comment>
    <comment ref="E29" authorId="1" shapeId="0" xr:uid="{A19B8B35-209B-4B9E-BBCA-32F506BCE769}">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29" authorId="1" shapeId="0" xr:uid="{16FD7F0B-C61D-47D7-9FB9-A219B2C3D0AE}">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29" authorId="1" shapeId="0" xr:uid="{3ED465EC-01A8-4395-97BA-BC52525FF7BD}">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29" authorId="1" shapeId="0" xr:uid="{3D192C77-97F3-4647-8ED0-244DCDCA02BF}">
      <text>
        <r>
          <rPr>
            <sz val="8"/>
            <color indexed="81"/>
            <rFont val="Tahoma"/>
            <family val="2"/>
          </rPr>
          <t>When selecting a
Corner or Bay 
Window Type, 
the CMB Corner WS 
or the 
CMB Bay WS 
must be completed please.</t>
        </r>
      </text>
    </comment>
    <comment ref="J29" authorId="1" shapeId="0" xr:uid="{C0FD03F6-C743-4ED1-A012-49CA70797A3A}">
      <text>
        <r>
          <rPr>
            <sz val="8"/>
            <color indexed="81"/>
            <rFont val="Tahoma"/>
            <family val="2"/>
          </rPr>
          <t>ACT 
Actual Measurements
You have made the allowances.
NAM
No Allowances Made 
The factory will make the deductions.</t>
        </r>
      </text>
    </comment>
    <comment ref="L29" authorId="1" shapeId="0" xr:uid="{17286B38-CCAC-4FDA-889C-09A8ED140E03}">
      <text>
        <r>
          <rPr>
            <sz val="8"/>
            <color indexed="81"/>
            <rFont val="Tahoma"/>
            <family val="2"/>
          </rPr>
          <t>The Cord Lock options are;
50mm PS Privacy Blind, 
63mm PS Blind &amp; 
63mm PS Privacy Blind;
Left
Right
50mm PS Blind &amp; 
50mm Timber Blind;
Left
Right
Cordless</t>
        </r>
      </text>
    </comment>
    <comment ref="M29" authorId="1" shapeId="0" xr:uid="{1DE21467-0496-495F-811C-B7ABA976EBDE}">
      <text>
        <r>
          <rPr>
            <sz val="8"/>
            <color indexed="81"/>
            <rFont val="Tahoma"/>
            <family val="2"/>
          </rPr>
          <t>The Tilt options are;
For Cord Lock Left &amp; Right;
Left
Right
For Cordless;
Cordless Hook Wand Left
Cordless Hook Wand Right</t>
        </r>
      </text>
    </comment>
    <comment ref="O29" authorId="1" shapeId="0" xr:uid="{0270E9E0-16F7-43A2-B94D-498DEB30B1FD}">
      <text>
        <r>
          <rPr>
            <sz val="8"/>
            <color indexed="81"/>
            <rFont val="Tahoma"/>
            <family val="2"/>
          </rPr>
          <t>Standard is default.
Common Fascia is when the same Fascia 
is used for two Blinds.</t>
        </r>
      </text>
    </comment>
    <comment ref="Q29" authorId="1" shapeId="0" xr:uid="{75FB9B79-AB9A-46E5-BD7B-C6ECD73341E7}">
      <text>
        <r>
          <rPr>
            <sz val="8"/>
            <color indexed="81"/>
            <rFont val="Tahoma"/>
            <family val="2"/>
          </rPr>
          <t>When left blank, 
no Cut Out applies.</t>
        </r>
      </text>
    </comment>
    <comment ref="S29" authorId="1" shapeId="0" xr:uid="{92FCBE14-BE6A-4B12-A50D-3EC1B13B07F8}">
      <text>
        <r>
          <rPr>
            <sz val="8"/>
            <color indexed="81"/>
            <rFont val="Tahoma"/>
            <family val="2"/>
          </rPr>
          <t>Blind Width          Maximum Cut Out Width
For 50mm/63mm PS/PS Privacy
222 - 254mm       50mm
255 - 379mm       75mm
 &gt; 380mm             130mm</t>
        </r>
      </text>
    </comment>
    <comment ref="U29" authorId="1" shapeId="0" xr:uid="{58953C0D-1E31-499A-89F0-3709EC2E7745}">
      <text>
        <r>
          <rPr>
            <sz val="8"/>
            <color indexed="81"/>
            <rFont val="Tahoma"/>
            <family val="2"/>
          </rPr>
          <t xml:space="preserve">Blind Width          Maximum Cut Out Width
For 50mm/63mm PS/PS Privacy
222 - 254mm       50mm
255 - 379mm       75mm
 &gt; 380mm             130mm
</t>
        </r>
      </text>
    </comment>
    <comment ref="D30" authorId="0" shapeId="0" xr:uid="{A85BDC70-93D9-43C8-9794-BA79492CFEA5}">
      <text>
        <r>
          <rPr>
            <sz val="8"/>
            <color indexed="81"/>
            <rFont val="Tahoma"/>
            <family val="2"/>
          </rPr>
          <t>The Product options are;
50mm PS Blind
50mm PS Privacy Blind
63mm PS Blind
63mm PS Privacy Blind
50mm Timber Blind</t>
        </r>
      </text>
    </comment>
    <comment ref="E30" authorId="1" shapeId="0" xr:uid="{BFAF26D7-D1C0-43B9-B683-BE5234312778}">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30" authorId="1" shapeId="0" xr:uid="{E46690EA-3327-493D-8488-174998BB53F7}">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0" authorId="1" shapeId="0" xr:uid="{844351AF-1F9D-4682-8411-F1A8AE2729CE}">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30" authorId="1" shapeId="0" xr:uid="{AADFD04A-CCAE-409B-A920-E9CC0C9CDA67}">
      <text>
        <r>
          <rPr>
            <sz val="8"/>
            <color indexed="81"/>
            <rFont val="Tahoma"/>
            <family val="2"/>
          </rPr>
          <t>When selecting a
Corner or Bay 
Window Type, 
the CMB Corner WS 
or the 
CMB Bay WS 
must be completed please.</t>
        </r>
      </text>
    </comment>
    <comment ref="J30" authorId="1" shapeId="0" xr:uid="{D5ACC0C8-C4DB-4FBB-A90F-4FBDAE1CE2BC}">
      <text>
        <r>
          <rPr>
            <sz val="8"/>
            <color indexed="81"/>
            <rFont val="Tahoma"/>
            <family val="2"/>
          </rPr>
          <t>ACT 
Actual Measurements
You have made the allowances.
NAM
No Allowances Made 
The factory will make the deductions.</t>
        </r>
      </text>
    </comment>
    <comment ref="L30" authorId="1" shapeId="0" xr:uid="{965032BB-ACB8-4EA8-BEFE-4995B5BD779B}">
      <text>
        <r>
          <rPr>
            <sz val="8"/>
            <color indexed="81"/>
            <rFont val="Tahoma"/>
            <family val="2"/>
          </rPr>
          <t>The Cord Lock options are;
50mm PS Privacy Blind, 
63mm PS Blind &amp; 
63mm PS Privacy Blind;
Left
Right
50mm PS Blind &amp; 
50mm Timber Blind;
Left
Right
Cordless</t>
        </r>
      </text>
    </comment>
    <comment ref="M30" authorId="1" shapeId="0" xr:uid="{DD3B66F8-95CC-4772-B7E9-59D5A5B21780}">
      <text>
        <r>
          <rPr>
            <sz val="8"/>
            <color indexed="81"/>
            <rFont val="Tahoma"/>
            <family val="2"/>
          </rPr>
          <t>The Tilt options are;
For Cord Lock Left &amp; Right;
Left
Right
For Cordless;
Cordless Hook Wand Left
Cordless Hook Wand Right</t>
        </r>
      </text>
    </comment>
    <comment ref="O30" authorId="1" shapeId="0" xr:uid="{CA9BD000-8306-4278-8954-0584F58CC357}">
      <text>
        <r>
          <rPr>
            <sz val="8"/>
            <color indexed="81"/>
            <rFont val="Tahoma"/>
            <family val="2"/>
          </rPr>
          <t>Standard is default.
Common Fascia is when the same Fascia 
is used for two Blinds.</t>
        </r>
      </text>
    </comment>
    <comment ref="Q30" authorId="1" shapeId="0" xr:uid="{09DAD150-1F52-47B1-956D-5CBF4B3745FF}">
      <text>
        <r>
          <rPr>
            <sz val="8"/>
            <color indexed="81"/>
            <rFont val="Tahoma"/>
            <family val="2"/>
          </rPr>
          <t>When left blank, 
no Cut Out applies.</t>
        </r>
      </text>
    </comment>
    <comment ref="S30" authorId="1" shapeId="0" xr:uid="{5EA74AF4-5A74-463A-9F47-EC6C3F9E2289}">
      <text>
        <r>
          <rPr>
            <sz val="8"/>
            <color indexed="81"/>
            <rFont val="Tahoma"/>
            <family val="2"/>
          </rPr>
          <t>Blind Width          Maximum Cut Out Width
For 50mm/63mm PS/PS Privacy
222 - 254mm       50mm
255 - 379mm       75mm
 &gt; 380mm             130mm</t>
        </r>
      </text>
    </comment>
    <comment ref="U30" authorId="1" shapeId="0" xr:uid="{8C7250B9-9F8A-4AA4-8395-ED8756403E82}">
      <text>
        <r>
          <rPr>
            <sz val="8"/>
            <color indexed="81"/>
            <rFont val="Tahoma"/>
            <family val="2"/>
          </rPr>
          <t xml:space="preserve">Blind Width          Maximum Cut Out Width
For 50mm/63mm PS/PS Privacy
222 - 254mm       50mm
255 - 379mm       75mm
 &gt; 380mm             130mm
</t>
        </r>
      </text>
    </comment>
    <comment ref="D31" authorId="0" shapeId="0" xr:uid="{9C984C8E-F8D0-4966-8E9B-8E462A55CC64}">
      <text>
        <r>
          <rPr>
            <sz val="8"/>
            <color indexed="81"/>
            <rFont val="Tahoma"/>
            <family val="2"/>
          </rPr>
          <t>The Product options are;
50mm PS Blind
50mm PS Privacy Blind
63mm PS Blind
63mm PS Privacy Blind
50mm Timber Blind</t>
        </r>
      </text>
    </comment>
    <comment ref="E31" authorId="1" shapeId="0" xr:uid="{ECE7CDD7-1601-4B0E-B16B-62B8C3E5FE00}">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31" authorId="1" shapeId="0" xr:uid="{D0936A26-8C19-42F4-851C-E17E356E5C0C}">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1" authorId="1" shapeId="0" xr:uid="{3FBC2BF7-E576-468D-B0D0-42E366D0927D}">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31" authorId="1" shapeId="0" xr:uid="{62AE614B-B8EE-46C1-AED3-C92C60D660E8}">
      <text>
        <r>
          <rPr>
            <sz val="8"/>
            <color indexed="81"/>
            <rFont val="Tahoma"/>
            <family val="2"/>
          </rPr>
          <t>When selecting a
Corner or Bay 
Window Type, 
the CMB Corner WS 
or the 
CMB Bay WS 
must be completed please.</t>
        </r>
      </text>
    </comment>
    <comment ref="J31" authorId="1" shapeId="0" xr:uid="{4AC58005-C6FB-4438-8E39-677ADE1D340F}">
      <text>
        <r>
          <rPr>
            <sz val="8"/>
            <color indexed="81"/>
            <rFont val="Tahoma"/>
            <family val="2"/>
          </rPr>
          <t>ACT 
Actual Measurements
You have made the allowances.
NAM
No Allowances Made 
The factory will make the deductions.</t>
        </r>
      </text>
    </comment>
    <comment ref="L31" authorId="1" shapeId="0" xr:uid="{C67B051D-37E3-48CB-AAFC-2BCD31A75027}">
      <text>
        <r>
          <rPr>
            <sz val="8"/>
            <color indexed="81"/>
            <rFont val="Tahoma"/>
            <family val="2"/>
          </rPr>
          <t>The Cord Lock options are;
50mm PS Privacy Blind, 
63mm PS Blind &amp; 
63mm PS Privacy Blind;
Left
Right
50mm PS Blind &amp; 
50mm Timber Blind;
Left
Right
Cordless</t>
        </r>
      </text>
    </comment>
    <comment ref="M31" authorId="1" shapeId="0" xr:uid="{76D2387D-8C89-47F6-9C29-358A5480EC7A}">
      <text>
        <r>
          <rPr>
            <sz val="8"/>
            <color indexed="81"/>
            <rFont val="Tahoma"/>
            <family val="2"/>
          </rPr>
          <t>The Tilt options are;
For Cord Lock Left &amp; Right;
Left
Right
For Cordless;
Cordless Hook Wand Left
Cordless Hook Wand Right</t>
        </r>
      </text>
    </comment>
    <comment ref="O31" authorId="1" shapeId="0" xr:uid="{C6BE7D80-1C44-4D70-8A41-6A0FBB114F70}">
      <text>
        <r>
          <rPr>
            <sz val="8"/>
            <color indexed="81"/>
            <rFont val="Tahoma"/>
            <family val="2"/>
          </rPr>
          <t>Standard is default.
Common Fascia is when the same Fascia 
is used for two Blinds.</t>
        </r>
      </text>
    </comment>
    <comment ref="Q31" authorId="1" shapeId="0" xr:uid="{3562FBA8-A697-4D94-909A-EAB639CBD1A5}">
      <text>
        <r>
          <rPr>
            <sz val="8"/>
            <color indexed="81"/>
            <rFont val="Tahoma"/>
            <family val="2"/>
          </rPr>
          <t>When left blank, 
no Cut Out applies.</t>
        </r>
      </text>
    </comment>
    <comment ref="S31" authorId="1" shapeId="0" xr:uid="{0AE60557-C7E8-440D-9F7B-A51EF6BF0A19}">
      <text>
        <r>
          <rPr>
            <sz val="8"/>
            <color indexed="81"/>
            <rFont val="Tahoma"/>
            <family val="2"/>
          </rPr>
          <t>Blind Width          Maximum Cut Out Width
For 50mm/63mm PS/PS Privacy
222 - 254mm       50mm
255 - 379mm       75mm
 &gt; 380mm             130mm</t>
        </r>
      </text>
    </comment>
    <comment ref="U31" authorId="1" shapeId="0" xr:uid="{BAAF03D3-544E-4B7E-B698-C2AE52EA70E7}">
      <text>
        <r>
          <rPr>
            <sz val="8"/>
            <color indexed="81"/>
            <rFont val="Tahoma"/>
            <family val="2"/>
          </rPr>
          <t xml:space="preserve">Blind Width          Maximum Cut Out Width
For 50mm/63mm PS/PS Privacy
222 - 254mm       50mm
255 - 379mm       75mm
 &gt; 380mm             130mm
</t>
        </r>
      </text>
    </comment>
    <comment ref="D32" authorId="0" shapeId="0" xr:uid="{CED6C56F-F5DF-4DDB-9FA3-BE8665850810}">
      <text>
        <r>
          <rPr>
            <sz val="8"/>
            <color indexed="81"/>
            <rFont val="Tahoma"/>
            <family val="2"/>
          </rPr>
          <t>The Product options are;
50mm PS Blind
50mm PS Privacy Blind
63mm PS Blind
63mm PS Privacy Blind
50mm Timber Blind</t>
        </r>
      </text>
    </comment>
    <comment ref="E32" authorId="1" shapeId="0" xr:uid="{95259CF2-A83C-4553-B186-2DBDC0846919}">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32" authorId="1" shapeId="0" xr:uid="{03041766-1AB7-4523-9041-C093C16A6372}">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2" authorId="1" shapeId="0" xr:uid="{7C09E54A-B914-479C-B766-0A05B4C1E7AB}">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32" authorId="1" shapeId="0" xr:uid="{38DF13A7-C7C3-48D9-8255-D1CA7BF9C0CC}">
      <text>
        <r>
          <rPr>
            <sz val="8"/>
            <color indexed="81"/>
            <rFont val="Tahoma"/>
            <family val="2"/>
          </rPr>
          <t>When selecting a
Corner or Bay 
Window Type, 
the CMB Corner WS 
or the 
CMB Bay WS 
must be completed please.</t>
        </r>
      </text>
    </comment>
    <comment ref="J32" authorId="1" shapeId="0" xr:uid="{AABD04DD-8801-4CD3-B0CF-4A0461D9A6A5}">
      <text>
        <r>
          <rPr>
            <sz val="8"/>
            <color indexed="81"/>
            <rFont val="Tahoma"/>
            <family val="2"/>
          </rPr>
          <t>ACT 
Actual Measurements
You have made the allowances.
NAM
No Allowances Made 
The factory will make the deductions.</t>
        </r>
      </text>
    </comment>
    <comment ref="L32" authorId="1" shapeId="0" xr:uid="{99A97050-C36E-424A-B9AE-AA46DB564263}">
      <text>
        <r>
          <rPr>
            <sz val="8"/>
            <color indexed="81"/>
            <rFont val="Tahoma"/>
            <family val="2"/>
          </rPr>
          <t>The Cord Lock options are;
50mm PS Privacy Blind, 
63mm PS Blind &amp; 
63mm PS Privacy Blind;
Left
Right
50mm PS Blind &amp; 
50mm Timber Blind;
Left
Right
Cordless</t>
        </r>
      </text>
    </comment>
    <comment ref="M32" authorId="1" shapeId="0" xr:uid="{11BE274B-44A4-4DFA-9651-A98A937FFCFA}">
      <text>
        <r>
          <rPr>
            <sz val="8"/>
            <color indexed="81"/>
            <rFont val="Tahoma"/>
            <family val="2"/>
          </rPr>
          <t>The Tilt options are;
For Cord Lock Left &amp; Right;
Left
Right
For Cordless;
Cordless Hook Wand Left
Cordless Hook Wand Right</t>
        </r>
      </text>
    </comment>
    <comment ref="O32" authorId="1" shapeId="0" xr:uid="{C4A30DAF-5C46-4224-B976-92E7AB6DED85}">
      <text>
        <r>
          <rPr>
            <sz val="8"/>
            <color indexed="81"/>
            <rFont val="Tahoma"/>
            <family val="2"/>
          </rPr>
          <t>Standard is default.
Common Fascia is when the same Fascia 
is used for two Blinds.</t>
        </r>
      </text>
    </comment>
    <comment ref="Q32" authorId="1" shapeId="0" xr:uid="{99125B93-5FD3-4E56-84D0-D974867BAED3}">
      <text>
        <r>
          <rPr>
            <sz val="8"/>
            <color indexed="81"/>
            <rFont val="Tahoma"/>
            <family val="2"/>
          </rPr>
          <t>When left blank, 
no Cut Out applies.</t>
        </r>
      </text>
    </comment>
    <comment ref="S32" authorId="1" shapeId="0" xr:uid="{9178D1E9-520C-495B-AAEA-1F1E1967EA16}">
      <text>
        <r>
          <rPr>
            <sz val="8"/>
            <color indexed="81"/>
            <rFont val="Tahoma"/>
            <family val="2"/>
          </rPr>
          <t>Blind Width          Maximum Cut Out Width
For 50mm/63mm PS/PS Privacy
222 - 254mm       50mm
255 - 379mm       75mm
 &gt; 380mm             130mm</t>
        </r>
      </text>
    </comment>
    <comment ref="U32" authorId="1" shapeId="0" xr:uid="{45E0DE52-90F4-4014-B586-F688F03528EC}">
      <text>
        <r>
          <rPr>
            <sz val="8"/>
            <color indexed="81"/>
            <rFont val="Tahoma"/>
            <family val="2"/>
          </rPr>
          <t xml:space="preserve">Blind Width          Maximum Cut Out Width
For 50mm/63mm PS/PS Privacy
222 - 254mm       50mm
255 - 379mm       75mm
 &gt; 380mm             130mm
</t>
        </r>
      </text>
    </comment>
    <comment ref="D33" authorId="0" shapeId="0" xr:uid="{08E3F78E-CF86-4294-B79D-7E3E0A1D9A76}">
      <text>
        <r>
          <rPr>
            <sz val="8"/>
            <color indexed="81"/>
            <rFont val="Tahoma"/>
            <family val="2"/>
          </rPr>
          <t>The Product options are;
50mm PS Blind
50mm PS Privacy Blind
63mm PS Blind
63mm PS Privacy Blind
50mm Timber Blind</t>
        </r>
      </text>
    </comment>
    <comment ref="E33" authorId="1" shapeId="0" xr:uid="{C6F093EB-7E5F-4092-83BA-C3F964F42C43}">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33" authorId="1" shapeId="0" xr:uid="{517A4132-523B-42D8-85BA-04EE8612B7E2}">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3" authorId="1" shapeId="0" xr:uid="{A079D96C-A51C-45D8-92E8-CB468EDDBE68}">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33" authorId="1" shapeId="0" xr:uid="{DB08213C-636A-491E-82E1-887409767425}">
      <text>
        <r>
          <rPr>
            <sz val="8"/>
            <color indexed="81"/>
            <rFont val="Tahoma"/>
            <family val="2"/>
          </rPr>
          <t>When selecting a
Corner or Bay 
Window Type, 
the CMB Corner WS 
or the 
CMB Bay WS 
must be completed please.</t>
        </r>
      </text>
    </comment>
    <comment ref="J33" authorId="1" shapeId="0" xr:uid="{ABD349E3-39EC-4191-968B-9796CBF54796}">
      <text>
        <r>
          <rPr>
            <sz val="8"/>
            <color indexed="81"/>
            <rFont val="Tahoma"/>
            <family val="2"/>
          </rPr>
          <t>ACT 
Actual Measurements
You have made the allowances.
NAM
No Allowances Made 
The factory will make the deductions.</t>
        </r>
      </text>
    </comment>
    <comment ref="L33" authorId="1" shapeId="0" xr:uid="{DB83B0A7-D6E4-4A41-984B-B4FD917A1E84}">
      <text>
        <r>
          <rPr>
            <sz val="8"/>
            <color indexed="81"/>
            <rFont val="Tahoma"/>
            <family val="2"/>
          </rPr>
          <t>The Cord Lock options are;
50mm PS Privacy Blind, 
63mm PS Blind &amp; 
63mm PS Privacy Blind;
Left
Right
50mm PS Blind &amp; 
50mm Timber Blind;
Left
Right
Cordless</t>
        </r>
      </text>
    </comment>
    <comment ref="M33" authorId="1" shapeId="0" xr:uid="{84DD50C6-D423-4B0D-AA14-2F0ACD85AFE0}">
      <text>
        <r>
          <rPr>
            <sz val="8"/>
            <color indexed="81"/>
            <rFont val="Tahoma"/>
            <family val="2"/>
          </rPr>
          <t>The Tilt options are;
For Cord Lock Left &amp; Right;
Left
Right
For Cordless;
Cordless Hook Wand Left
Cordless Hook Wand Right</t>
        </r>
      </text>
    </comment>
    <comment ref="O33" authorId="1" shapeId="0" xr:uid="{AC32FBF7-4E6B-4C8B-BC71-998877CF9CF6}">
      <text>
        <r>
          <rPr>
            <sz val="8"/>
            <color indexed="81"/>
            <rFont val="Tahoma"/>
            <family val="2"/>
          </rPr>
          <t>Standard is default.
Common Fascia is when the same Fascia 
is used for two Blinds.</t>
        </r>
      </text>
    </comment>
    <comment ref="Q33" authorId="1" shapeId="0" xr:uid="{3AC7DBBE-F6DB-4A91-ADDE-FAA5F4214601}">
      <text>
        <r>
          <rPr>
            <sz val="8"/>
            <color indexed="81"/>
            <rFont val="Tahoma"/>
            <family val="2"/>
          </rPr>
          <t>When left blank, 
no Cut Out applies.</t>
        </r>
      </text>
    </comment>
    <comment ref="S33" authorId="1" shapeId="0" xr:uid="{590A5E13-5E09-4DD3-B230-D1A42E2AA2E3}">
      <text>
        <r>
          <rPr>
            <sz val="8"/>
            <color indexed="81"/>
            <rFont val="Tahoma"/>
            <family val="2"/>
          </rPr>
          <t>Blind Width          Maximum Cut Out Width
For 50mm/63mm PS/PS Privacy
222 - 254mm       50mm
255 - 379mm       75mm
 &gt; 380mm             130mm</t>
        </r>
      </text>
    </comment>
    <comment ref="U33" authorId="1" shapeId="0" xr:uid="{AB91B835-9922-4B27-8B0E-3ED1FC6A6740}">
      <text>
        <r>
          <rPr>
            <sz val="8"/>
            <color indexed="81"/>
            <rFont val="Tahoma"/>
            <family val="2"/>
          </rPr>
          <t xml:space="preserve">Blind Width          Maximum Cut Out Width
For 50mm/63mm PS/PS Privacy
222 - 254mm       50mm
255 - 379mm       75mm
 &gt; 380mm             130mm
</t>
        </r>
      </text>
    </comment>
    <comment ref="D34" authorId="0" shapeId="0" xr:uid="{62DDBB84-6CE3-4F93-AE34-A5346F68D059}">
      <text>
        <r>
          <rPr>
            <sz val="8"/>
            <color indexed="81"/>
            <rFont val="Tahoma"/>
            <family val="2"/>
          </rPr>
          <t>The Product options are;
50mm PS Blind
50mm PS Privacy Blind
63mm PS Blind
63mm PS Privacy Blind
50mm Timber Blind</t>
        </r>
      </text>
    </comment>
    <comment ref="E34" authorId="1" shapeId="0" xr:uid="{BA10B5EE-AA92-4C98-8EA2-DACA4FA10C56}">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34" authorId="1" shapeId="0" xr:uid="{C4BEC979-1440-487D-A5A3-16E7CBC97E03}">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4" authorId="1" shapeId="0" xr:uid="{F68F1993-A20A-4D7C-ADA4-C15F5B359B62}">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34" authorId="1" shapeId="0" xr:uid="{6B0E2479-91F7-4C1F-A0E0-FA8E03C818F6}">
      <text>
        <r>
          <rPr>
            <sz val="8"/>
            <color indexed="81"/>
            <rFont val="Tahoma"/>
            <family val="2"/>
          </rPr>
          <t>When selecting a
Corner or Bay 
Window Type, 
the CMB Corner WS 
or the 
CMB Bay WS 
must be completed please.</t>
        </r>
      </text>
    </comment>
    <comment ref="J34" authorId="1" shapeId="0" xr:uid="{9719218B-CC69-4040-BF2D-22283B7F7B81}">
      <text>
        <r>
          <rPr>
            <sz val="8"/>
            <color indexed="81"/>
            <rFont val="Tahoma"/>
            <family val="2"/>
          </rPr>
          <t>ACT 
Actual Measurements
You have made the allowances.
NAM
No Allowances Made 
The factory will make the deductions.</t>
        </r>
      </text>
    </comment>
    <comment ref="L34" authorId="1" shapeId="0" xr:uid="{17646D31-BA13-46C7-B212-CD4E75FAF6C1}">
      <text>
        <r>
          <rPr>
            <sz val="8"/>
            <color indexed="81"/>
            <rFont val="Tahoma"/>
            <family val="2"/>
          </rPr>
          <t>The Cord Lock options are;
50mm PS Privacy Blind, 
63mm PS Blind &amp; 
63mm PS Privacy Blind;
Left
Right
50mm PS Blind &amp; 
50mm Timber Blind;
Left
Right
Cordless</t>
        </r>
      </text>
    </comment>
    <comment ref="M34" authorId="1" shapeId="0" xr:uid="{32A7B18C-42FE-41E5-9562-11C59C3D6CA7}">
      <text>
        <r>
          <rPr>
            <sz val="8"/>
            <color indexed="81"/>
            <rFont val="Tahoma"/>
            <family val="2"/>
          </rPr>
          <t>The Tilt options are;
For Cord Lock Left &amp; Right;
Left
Right
For Cordless;
Cordless Hook Wand Left
Cordless Hook Wand Right</t>
        </r>
      </text>
    </comment>
    <comment ref="O34" authorId="1" shapeId="0" xr:uid="{D331752D-1043-45C9-A35D-EB4534BC1382}">
      <text>
        <r>
          <rPr>
            <sz val="8"/>
            <color indexed="81"/>
            <rFont val="Tahoma"/>
            <family val="2"/>
          </rPr>
          <t>Standard is default.
Common Fascia is when the same Fascia 
is used for two Blinds.</t>
        </r>
      </text>
    </comment>
    <comment ref="Q34" authorId="1" shapeId="0" xr:uid="{A04FF092-7E0B-4F27-8970-7008BA2BDF36}">
      <text>
        <r>
          <rPr>
            <sz val="8"/>
            <color indexed="81"/>
            <rFont val="Tahoma"/>
            <family val="2"/>
          </rPr>
          <t>When left blank, 
no Cut Out applies.</t>
        </r>
      </text>
    </comment>
    <comment ref="S34" authorId="1" shapeId="0" xr:uid="{DB6FD190-EF4B-4043-AF9C-DC00530EC4E2}">
      <text>
        <r>
          <rPr>
            <sz val="8"/>
            <color indexed="81"/>
            <rFont val="Tahoma"/>
            <family val="2"/>
          </rPr>
          <t>Blind Width          Maximum Cut Out Width
For 50mm/63mm PS/PS Privacy
222 - 254mm       50mm
255 - 379mm       75mm
 &gt; 380mm             130mm</t>
        </r>
      </text>
    </comment>
    <comment ref="U34" authorId="1" shapeId="0" xr:uid="{C1B85038-D096-462D-A6A8-FA70A2E0126E}">
      <text>
        <r>
          <rPr>
            <sz val="8"/>
            <color indexed="81"/>
            <rFont val="Tahoma"/>
            <family val="2"/>
          </rPr>
          <t xml:space="preserve">Blind Width          Maximum Cut Out Width
For 50mm/63mm PS/PS Privacy
222 - 254mm       50mm
255 - 379mm       75mm
 &gt; 380mm             130mm
</t>
        </r>
      </text>
    </comment>
    <comment ref="D35" authorId="0" shapeId="0" xr:uid="{FF516973-7649-4927-B82B-3D9381CB3F82}">
      <text>
        <r>
          <rPr>
            <sz val="8"/>
            <color indexed="81"/>
            <rFont val="Tahoma"/>
            <family val="2"/>
          </rPr>
          <t>The Product options are;
50mm PS Blind
50mm PS Privacy Blind
63mm PS Blind
63mm PS Privacy Blind
50mm Timber Blind</t>
        </r>
      </text>
    </comment>
    <comment ref="E35" authorId="1" shapeId="0" xr:uid="{30B3A3E4-F7FC-4B05-82E2-4127421B252E}">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35" authorId="1" shapeId="0" xr:uid="{FEDFAB2B-B4E9-409D-8875-77EE23DF3F0F}">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5" authorId="1" shapeId="0" xr:uid="{530FC792-3228-4C50-BC35-3F42894F1EFD}">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35" authorId="1" shapeId="0" xr:uid="{DA346C85-8BA5-40C8-B987-EA3419DA5D55}">
      <text>
        <r>
          <rPr>
            <sz val="8"/>
            <color indexed="81"/>
            <rFont val="Tahoma"/>
            <family val="2"/>
          </rPr>
          <t>When selecting a
Corner or Bay 
Window Type, 
the CMB Corner WS 
or the 
CMB Bay WS 
must be completed please.</t>
        </r>
      </text>
    </comment>
    <comment ref="J35" authorId="1" shapeId="0" xr:uid="{DFF1A421-76B7-4DFD-A553-EFB43602F2D3}">
      <text>
        <r>
          <rPr>
            <sz val="8"/>
            <color indexed="81"/>
            <rFont val="Tahoma"/>
            <family val="2"/>
          </rPr>
          <t>ACT 
Actual Measurements
You have made the allowances.
NAM
No Allowances Made 
The factory will make the deductions.</t>
        </r>
      </text>
    </comment>
    <comment ref="L35" authorId="1" shapeId="0" xr:uid="{349B9D09-4C7F-4097-8BDF-7403ADDAA31C}">
      <text>
        <r>
          <rPr>
            <sz val="8"/>
            <color indexed="81"/>
            <rFont val="Tahoma"/>
            <family val="2"/>
          </rPr>
          <t>The Cord Lock options are;
50mm PS Privacy Blind, 
63mm PS Blind &amp; 
63mm PS Privacy Blind;
Left
Right
50mm PS Blind &amp; 
50mm Timber Blind;
Left
Right
Cordless</t>
        </r>
      </text>
    </comment>
    <comment ref="M35" authorId="1" shapeId="0" xr:uid="{89D18C5F-15A6-4C04-B2ED-F8B44866645F}">
      <text>
        <r>
          <rPr>
            <sz val="8"/>
            <color indexed="81"/>
            <rFont val="Tahoma"/>
            <family val="2"/>
          </rPr>
          <t>The Tilt options are;
For Cord Lock Left &amp; Right;
Left
Right
For Cordless;
Cordless Hook Wand Left
Cordless Hook Wand Right</t>
        </r>
      </text>
    </comment>
    <comment ref="O35" authorId="1" shapeId="0" xr:uid="{5C86E498-50EF-4595-B597-D9CFD6F660BD}">
      <text>
        <r>
          <rPr>
            <sz val="8"/>
            <color indexed="81"/>
            <rFont val="Tahoma"/>
            <family val="2"/>
          </rPr>
          <t>Standard is default.
Common Fascia is when the same Fascia 
is used for two Blinds.</t>
        </r>
      </text>
    </comment>
    <comment ref="Q35" authorId="1" shapeId="0" xr:uid="{6E9B4985-E77A-4C21-B56F-0B39D8FF204B}">
      <text>
        <r>
          <rPr>
            <sz val="8"/>
            <color indexed="81"/>
            <rFont val="Tahoma"/>
            <family val="2"/>
          </rPr>
          <t>When left blank, 
no Cut Out applies.</t>
        </r>
      </text>
    </comment>
    <comment ref="S35" authorId="1" shapeId="0" xr:uid="{08B27E3E-9A12-4EE9-B5DE-F2A01B4E9839}">
      <text>
        <r>
          <rPr>
            <sz val="8"/>
            <color indexed="81"/>
            <rFont val="Tahoma"/>
            <family val="2"/>
          </rPr>
          <t>Blind Width          Maximum Cut Out Width
For 50mm/63mm PS/PS Privacy
222 - 254mm       50mm
255 - 379mm       75mm
 &gt; 380mm             130mm</t>
        </r>
      </text>
    </comment>
    <comment ref="U35" authorId="1" shapeId="0" xr:uid="{0E220B24-AAA5-4A77-B9B8-42865FF1F9CA}">
      <text>
        <r>
          <rPr>
            <sz val="8"/>
            <color indexed="81"/>
            <rFont val="Tahoma"/>
            <family val="2"/>
          </rPr>
          <t xml:space="preserve">Blind Width          Maximum Cut Out Width
For 50mm/63mm PS/PS Privacy
222 - 254mm       50mm
255 - 379mm       75mm
 &gt; 380mm             130mm
</t>
        </r>
      </text>
    </comment>
    <comment ref="D36" authorId="0" shapeId="0" xr:uid="{79A2D0BF-D0F7-40C0-8C3B-4FBCD6585502}">
      <text>
        <r>
          <rPr>
            <sz val="8"/>
            <color indexed="81"/>
            <rFont val="Tahoma"/>
            <family val="2"/>
          </rPr>
          <t>The Product options are;
50mm PS Blind
50mm PS Privacy Blind
63mm PS Blind
63mm PS Privacy Blind
50mm Timber Blind</t>
        </r>
      </text>
    </comment>
    <comment ref="E36" authorId="1" shapeId="0" xr:uid="{8A33B1AD-DE48-4D33-A9CC-4DD40DF239DB}">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36" authorId="1" shapeId="0" xr:uid="{A17E78FC-A4F6-48F8-9060-59460B91F8F7}">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6" authorId="1" shapeId="0" xr:uid="{67C58EA5-262D-4D23-915B-9C8AFE79D195}">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36" authorId="1" shapeId="0" xr:uid="{4B16C9EB-A288-4122-9AEC-2200DF733415}">
      <text>
        <r>
          <rPr>
            <sz val="8"/>
            <color indexed="81"/>
            <rFont val="Tahoma"/>
            <family val="2"/>
          </rPr>
          <t>When selecting a
Corner or Bay 
Window Type, 
the CMB Corner WS 
or the 
CMB Bay WS 
must be completed please.</t>
        </r>
      </text>
    </comment>
    <comment ref="J36" authorId="1" shapeId="0" xr:uid="{689860CA-CB24-4B55-84A7-03F530C41AA1}">
      <text>
        <r>
          <rPr>
            <sz val="8"/>
            <color indexed="81"/>
            <rFont val="Tahoma"/>
            <family val="2"/>
          </rPr>
          <t>ACT 
Actual Measurements
You have made the allowances.
NAM
No Allowances Made 
The factory will make the deductions.</t>
        </r>
      </text>
    </comment>
    <comment ref="L36" authorId="1" shapeId="0" xr:uid="{D6E7DDB8-B801-4D38-BAE7-0FC570BE5141}">
      <text>
        <r>
          <rPr>
            <sz val="8"/>
            <color indexed="81"/>
            <rFont val="Tahoma"/>
            <family val="2"/>
          </rPr>
          <t>The Cord Lock options are;
50mm PS Privacy Blind, 
63mm PS Blind &amp; 
63mm PS Privacy Blind;
Left
Right
50mm PS Blind &amp; 
50mm Timber Blind;
Left
Right
Cordless</t>
        </r>
      </text>
    </comment>
    <comment ref="M36" authorId="1" shapeId="0" xr:uid="{780B3912-D96B-4B3A-A6F5-DB62FBC55083}">
      <text>
        <r>
          <rPr>
            <sz val="8"/>
            <color indexed="81"/>
            <rFont val="Tahoma"/>
            <family val="2"/>
          </rPr>
          <t>The Tilt options are;
For Cord Lock Left &amp; Right;
Left
Right
For Cordless;
Cordless Hook Wand Left
Cordless Hook Wand Right</t>
        </r>
      </text>
    </comment>
    <comment ref="O36" authorId="1" shapeId="0" xr:uid="{098E7FF3-F891-4F5E-AF5B-52272871CF6C}">
      <text>
        <r>
          <rPr>
            <sz val="8"/>
            <color indexed="81"/>
            <rFont val="Tahoma"/>
            <family val="2"/>
          </rPr>
          <t>Standard is default.
Common Fascia is when the same Fascia 
is used for two Blinds.</t>
        </r>
      </text>
    </comment>
    <comment ref="Q36" authorId="1" shapeId="0" xr:uid="{5171230A-9ED9-4E76-A444-75F520266C5D}">
      <text>
        <r>
          <rPr>
            <sz val="8"/>
            <color indexed="81"/>
            <rFont val="Tahoma"/>
            <family val="2"/>
          </rPr>
          <t>When left blank, 
no Cut Out applies.</t>
        </r>
      </text>
    </comment>
    <comment ref="S36" authorId="1" shapeId="0" xr:uid="{7699F1EE-510B-4A00-9FB2-0AE9E595608D}">
      <text>
        <r>
          <rPr>
            <sz val="8"/>
            <color indexed="81"/>
            <rFont val="Tahoma"/>
            <family val="2"/>
          </rPr>
          <t>Blind Width          Maximum Cut Out Width
For 50mm/63mm PS/PS Privacy
222 - 254mm       50mm
255 - 379mm       75mm
 &gt; 380mm             130mm</t>
        </r>
      </text>
    </comment>
    <comment ref="U36" authorId="1" shapeId="0" xr:uid="{CAC540C0-3614-4658-ADFC-EF7B9B69F612}">
      <text>
        <r>
          <rPr>
            <sz val="8"/>
            <color indexed="81"/>
            <rFont val="Tahoma"/>
            <family val="2"/>
          </rPr>
          <t xml:space="preserve">Blind Width          Maximum Cut Out Width
For 50mm/63mm PS/PS Privacy
222 - 254mm       50mm
255 - 379mm       75mm
 &gt; 380mm             130mm
</t>
        </r>
      </text>
    </comment>
    <comment ref="D37" authorId="0" shapeId="0" xr:uid="{4474BFED-8814-4262-8256-52D8FC08A359}">
      <text>
        <r>
          <rPr>
            <sz val="8"/>
            <color indexed="81"/>
            <rFont val="Tahoma"/>
            <family val="2"/>
          </rPr>
          <t>The Product options are;
50mm PS Blind
50mm PS Privacy Blind
63mm PS Blind
63mm PS Privacy Blind
50mm Timber Blind</t>
        </r>
      </text>
    </comment>
    <comment ref="E37" authorId="1" shapeId="0" xr:uid="{84572FBF-1C42-4A04-8BAF-BCF3459078FF}">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37" authorId="1" shapeId="0" xr:uid="{EA7B81BC-FF35-43EF-BA06-2BCCE335F08E}">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7" authorId="1" shapeId="0" xr:uid="{86BF1F0F-A622-40C9-A20B-9716D76D1196}">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37" authorId="1" shapeId="0" xr:uid="{042921F0-C501-4098-B156-A14D4DDDDF12}">
      <text>
        <r>
          <rPr>
            <sz val="8"/>
            <color indexed="81"/>
            <rFont val="Tahoma"/>
            <family val="2"/>
          </rPr>
          <t>When selecting a
Corner or Bay 
Window Type, 
the CMB Corner WS 
or the 
CMB Bay WS 
must be completed please.</t>
        </r>
      </text>
    </comment>
    <comment ref="J37" authorId="1" shapeId="0" xr:uid="{74F7B9E9-E4D6-440D-BC3D-276FB2CB0898}">
      <text>
        <r>
          <rPr>
            <sz val="8"/>
            <color indexed="81"/>
            <rFont val="Tahoma"/>
            <family val="2"/>
          </rPr>
          <t>ACT 
Actual Measurements
You have made the allowances.
NAM
No Allowances Made 
The factory will make the deductions.</t>
        </r>
      </text>
    </comment>
    <comment ref="L37" authorId="1" shapeId="0" xr:uid="{D5E05A5C-1389-4B1B-813A-0DDB3B20C310}">
      <text>
        <r>
          <rPr>
            <sz val="8"/>
            <color indexed="81"/>
            <rFont val="Tahoma"/>
            <family val="2"/>
          </rPr>
          <t>The Cord Lock options are;
50mm PS Privacy Blind, 
63mm PS Blind &amp; 
63mm PS Privacy Blind;
Left
Right
50mm PS Blind &amp; 
50mm Timber Blind;
Left
Right
Cordless</t>
        </r>
      </text>
    </comment>
    <comment ref="M37" authorId="1" shapeId="0" xr:uid="{02C81A6B-B4FE-4F04-A563-3BF22BD42578}">
      <text>
        <r>
          <rPr>
            <sz val="8"/>
            <color indexed="81"/>
            <rFont val="Tahoma"/>
            <family val="2"/>
          </rPr>
          <t>The Tilt options are;
For Cord Lock Left &amp; Right;
Left
Right
For Cordless;
Cordless Hook Wand Left
Cordless Hook Wand Right</t>
        </r>
      </text>
    </comment>
    <comment ref="O37" authorId="1" shapeId="0" xr:uid="{26E21171-5EB3-44A8-975D-314D57C90A06}">
      <text>
        <r>
          <rPr>
            <sz val="8"/>
            <color indexed="81"/>
            <rFont val="Tahoma"/>
            <family val="2"/>
          </rPr>
          <t>Standard is default.
Common Fascia is when the same Fascia 
is used for two Blinds.</t>
        </r>
      </text>
    </comment>
    <comment ref="Q37" authorId="1" shapeId="0" xr:uid="{0AF7B670-B3E1-4C0C-AAA3-24D381961124}">
      <text>
        <r>
          <rPr>
            <sz val="8"/>
            <color indexed="81"/>
            <rFont val="Tahoma"/>
            <family val="2"/>
          </rPr>
          <t>When left blank, 
no Cut Out applies.</t>
        </r>
      </text>
    </comment>
    <comment ref="S37" authorId="1" shapeId="0" xr:uid="{F626A2E5-944F-436D-9DBA-CD32994CBB9C}">
      <text>
        <r>
          <rPr>
            <sz val="8"/>
            <color indexed="81"/>
            <rFont val="Tahoma"/>
            <family val="2"/>
          </rPr>
          <t>Blind Width          Maximum Cut Out Width
For 50mm/63mm PS/PS Privacy
222 - 254mm       50mm
255 - 379mm       75mm
 &gt; 380mm             130mm</t>
        </r>
      </text>
    </comment>
    <comment ref="U37" authorId="1" shapeId="0" xr:uid="{A4A16703-2F66-47A5-A965-41CF58F2F188}">
      <text>
        <r>
          <rPr>
            <sz val="8"/>
            <color indexed="81"/>
            <rFont val="Tahoma"/>
            <family val="2"/>
          </rPr>
          <t xml:space="preserve">Blind Width          Maximum Cut Out Width
For 50mm/63mm PS/PS Privacy
222 - 254mm       50mm
255 - 379mm       75mm
 &gt; 380mm             130mm
</t>
        </r>
      </text>
    </comment>
    <comment ref="D38" authorId="0" shapeId="0" xr:uid="{99B9CE89-AB49-4D58-B0AE-C21D95A72DDD}">
      <text>
        <r>
          <rPr>
            <sz val="8"/>
            <color indexed="81"/>
            <rFont val="Tahoma"/>
            <family val="2"/>
          </rPr>
          <t>The Product options are;
50mm PS Blind
50mm PS Privacy Blind
63mm PS Blind
63mm PS Privacy Blind
50mm Timber Blind</t>
        </r>
      </text>
    </comment>
    <comment ref="E38" authorId="1" shapeId="0" xr:uid="{E44BE1D4-D768-41CF-97E5-7331AB2C3757}">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38" authorId="1" shapeId="0" xr:uid="{F06EE771-7926-47F4-B616-6275B9F2A89B}">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8" authorId="1" shapeId="0" xr:uid="{6A4DF01E-5C75-474E-AD6A-BCF235B84A45}">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38" authorId="1" shapeId="0" xr:uid="{1E385CBD-1D33-4ED1-801F-FC05309D6E1C}">
      <text>
        <r>
          <rPr>
            <sz val="8"/>
            <color indexed="81"/>
            <rFont val="Tahoma"/>
            <family val="2"/>
          </rPr>
          <t>When selecting a
Corner or Bay 
Window Type, 
the CMB Corner WS 
or the 
CMB Bay WS 
must be completed please.</t>
        </r>
      </text>
    </comment>
    <comment ref="J38" authorId="1" shapeId="0" xr:uid="{97B91650-9B25-4E20-95B1-5988E8363BEB}">
      <text>
        <r>
          <rPr>
            <sz val="8"/>
            <color indexed="81"/>
            <rFont val="Tahoma"/>
            <family val="2"/>
          </rPr>
          <t>ACT 
Actual Measurements
You have made the allowances.
NAM
No Allowances Made 
The factory will make the deductions.</t>
        </r>
      </text>
    </comment>
    <comment ref="L38" authorId="1" shapeId="0" xr:uid="{9CCA448B-FECF-4853-8685-DFA3AB783DB6}">
      <text>
        <r>
          <rPr>
            <sz val="8"/>
            <color indexed="81"/>
            <rFont val="Tahoma"/>
            <family val="2"/>
          </rPr>
          <t>The Cord Lock options are;
50mm PS Privacy Blind, 
63mm PS Blind &amp; 
63mm PS Privacy Blind;
Left
Right
50mm PS Blind &amp; 
50mm Timber Blind;
Left
Right
Cordless</t>
        </r>
      </text>
    </comment>
    <comment ref="M38" authorId="1" shapeId="0" xr:uid="{35F1A7FB-20CE-4899-9F3D-EFD558F62476}">
      <text>
        <r>
          <rPr>
            <sz val="8"/>
            <color indexed="81"/>
            <rFont val="Tahoma"/>
            <family val="2"/>
          </rPr>
          <t>The Tilt options are;
For Cord Lock Left &amp; Right;
Left
Right
For Cordless;
Cordless Hook Wand Left
Cordless Hook Wand Right</t>
        </r>
      </text>
    </comment>
    <comment ref="O38" authorId="1" shapeId="0" xr:uid="{51C63402-9C30-4792-B0FE-4CDC00A883A5}">
      <text>
        <r>
          <rPr>
            <sz val="8"/>
            <color indexed="81"/>
            <rFont val="Tahoma"/>
            <family val="2"/>
          </rPr>
          <t>Standard is default.
Common Fascia is when the same Fascia 
is used for two Blinds.</t>
        </r>
      </text>
    </comment>
    <comment ref="Q38" authorId="1" shapeId="0" xr:uid="{621743D6-79F9-4084-8284-2C4D32B1510B}">
      <text>
        <r>
          <rPr>
            <sz val="8"/>
            <color indexed="81"/>
            <rFont val="Tahoma"/>
            <family val="2"/>
          </rPr>
          <t>When left blank, 
no Cut Out applies.</t>
        </r>
      </text>
    </comment>
    <comment ref="S38" authorId="1" shapeId="0" xr:uid="{363C8563-CDB9-482B-9C71-6770CF45238E}">
      <text>
        <r>
          <rPr>
            <sz val="8"/>
            <color indexed="81"/>
            <rFont val="Tahoma"/>
            <family val="2"/>
          </rPr>
          <t>Blind Width          Maximum Cut Out Width
For 50mm/63mm PS/PS Privacy
222 - 254mm       50mm
255 - 379mm       75mm
 &gt; 380mm             130mm</t>
        </r>
      </text>
    </comment>
    <comment ref="U38" authorId="1" shapeId="0" xr:uid="{4C71FD83-74EB-4C81-8420-D147E731CB85}">
      <text>
        <r>
          <rPr>
            <sz val="8"/>
            <color indexed="81"/>
            <rFont val="Tahoma"/>
            <family val="2"/>
          </rPr>
          <t xml:space="preserve">Blind Width          Maximum Cut Out Width
For 50mm/63mm PS/PS Privacy
222 - 254mm       50mm
255 - 379mm       75mm
 &gt; 380mm             130mm
</t>
        </r>
      </text>
    </comment>
    <comment ref="D39" authorId="0" shapeId="0" xr:uid="{E9E05DCF-7E0D-4249-A3C9-1C64CE2C5F80}">
      <text>
        <r>
          <rPr>
            <sz val="8"/>
            <color indexed="81"/>
            <rFont val="Tahoma"/>
            <family val="2"/>
          </rPr>
          <t>The Product options are;
50mm PS Blind
50mm PS Privacy Blind
63mm PS Blind
63mm PS Privacy Blind
50mm Timber Blind</t>
        </r>
      </text>
    </comment>
    <comment ref="E39" authorId="1" shapeId="0" xr:uid="{82108AFA-2DD4-4AE2-AA3D-0949048B95E3}">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39" authorId="1" shapeId="0" xr:uid="{488EC676-7D79-498A-8B8C-B76D7A431F8C}">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39" authorId="1" shapeId="0" xr:uid="{EECFC84C-38BB-47A5-9B33-01D847E34332}">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39" authorId="1" shapeId="0" xr:uid="{9452450D-5C37-4ABF-9E6E-2518986DC3B0}">
      <text>
        <r>
          <rPr>
            <sz val="8"/>
            <color indexed="81"/>
            <rFont val="Tahoma"/>
            <family val="2"/>
          </rPr>
          <t>When selecting a
Corner or Bay 
Window Type, 
the CMB Corner WS 
or the 
CMB Bay WS 
must be completed please.</t>
        </r>
      </text>
    </comment>
    <comment ref="J39" authorId="1" shapeId="0" xr:uid="{EF4508FA-6274-4BEC-9CD4-FB0BABF01486}">
      <text>
        <r>
          <rPr>
            <sz val="8"/>
            <color indexed="81"/>
            <rFont val="Tahoma"/>
            <family val="2"/>
          </rPr>
          <t>ACT 
Actual Measurements
You have made the allowances.
NAM
No Allowances Made 
The factory will make the deductions.</t>
        </r>
      </text>
    </comment>
    <comment ref="L39" authorId="1" shapeId="0" xr:uid="{BE8AE949-5DA2-4A32-80CC-D052C424FDF7}">
      <text>
        <r>
          <rPr>
            <sz val="8"/>
            <color indexed="81"/>
            <rFont val="Tahoma"/>
            <family val="2"/>
          </rPr>
          <t>The Cord Lock options are;
50mm PS Privacy Blind, 
63mm PS Blind &amp; 
63mm PS Privacy Blind;
Left
Right
50mm PS Blind &amp; 
50mm Timber Blind;
Left
Right
Cordless</t>
        </r>
      </text>
    </comment>
    <comment ref="M39" authorId="1" shapeId="0" xr:uid="{C39698E2-E640-4722-9139-1BDA987FE417}">
      <text>
        <r>
          <rPr>
            <sz val="8"/>
            <color indexed="81"/>
            <rFont val="Tahoma"/>
            <family val="2"/>
          </rPr>
          <t>The Tilt options are;
For Cord Lock Left &amp; Right;
Left
Right
For Cordless;
Cordless Hook Wand Left
Cordless Hook Wand Right</t>
        </r>
      </text>
    </comment>
    <comment ref="O39" authorId="1" shapeId="0" xr:uid="{28BD1C5F-4E73-4B9D-915C-134924E7BC04}">
      <text>
        <r>
          <rPr>
            <sz val="8"/>
            <color indexed="81"/>
            <rFont val="Tahoma"/>
            <family val="2"/>
          </rPr>
          <t>Standard is default.
Common Fascia is when the same Fascia 
is used for two Blinds.</t>
        </r>
      </text>
    </comment>
    <comment ref="Q39" authorId="1" shapeId="0" xr:uid="{74B08C58-CC8D-44E6-A0DF-2574CA82941A}">
      <text>
        <r>
          <rPr>
            <sz val="8"/>
            <color indexed="81"/>
            <rFont val="Tahoma"/>
            <family val="2"/>
          </rPr>
          <t>When left blank, 
no Cut Out applies.</t>
        </r>
      </text>
    </comment>
    <comment ref="S39" authorId="1" shapeId="0" xr:uid="{5F3EFC5D-06F2-4B74-B19B-7F71318CF8B5}">
      <text>
        <r>
          <rPr>
            <sz val="8"/>
            <color indexed="81"/>
            <rFont val="Tahoma"/>
            <family val="2"/>
          </rPr>
          <t>Blind Width          Maximum Cut Out Width
For 50mm/63mm PS/PS Privacy
222 - 254mm       50mm
255 - 379mm       75mm
 &gt; 380mm             130mm</t>
        </r>
      </text>
    </comment>
    <comment ref="U39" authorId="1" shapeId="0" xr:uid="{827C2578-6904-440F-B342-92EFFE7E7879}">
      <text>
        <r>
          <rPr>
            <sz val="8"/>
            <color indexed="81"/>
            <rFont val="Tahoma"/>
            <family val="2"/>
          </rPr>
          <t xml:space="preserve">Blind Width          Maximum Cut Out Width
For 50mm/63mm PS/PS Privacy
222 - 254mm       50mm
255 - 379mm       75mm
 &gt; 380mm             130mm
</t>
        </r>
      </text>
    </comment>
    <comment ref="D40" authorId="0" shapeId="0" xr:uid="{DC8A4EE3-68B7-4CF6-B83B-5658D5B95052}">
      <text>
        <r>
          <rPr>
            <sz val="8"/>
            <color indexed="81"/>
            <rFont val="Tahoma"/>
            <family val="2"/>
          </rPr>
          <t>The Product options are;
50mm PS Blind
50mm PS Privacy Blind
63mm PS Blind
63mm PS Privacy Blind
50mm Timber Blind</t>
        </r>
      </text>
    </comment>
    <comment ref="E40" authorId="1" shapeId="0" xr:uid="{33108FF1-D57B-465C-8327-7D0E6A301302}">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40" authorId="1" shapeId="0" xr:uid="{0E6FC26B-9E9A-4E30-AC58-0B328B52B797}">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0" authorId="1" shapeId="0" xr:uid="{9423B07E-95B6-4528-9334-435C706AECB5}">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40" authorId="1" shapeId="0" xr:uid="{09D584AB-50FA-435A-AC6B-041BB1B69984}">
      <text>
        <r>
          <rPr>
            <sz val="8"/>
            <color indexed="81"/>
            <rFont val="Tahoma"/>
            <family val="2"/>
          </rPr>
          <t>When selecting a
Corner or Bay 
Window Type, 
the CMB Corner WS 
or the 
CMB Bay WS 
must be completed please.</t>
        </r>
      </text>
    </comment>
    <comment ref="J40" authorId="1" shapeId="0" xr:uid="{C71EFB4E-1B7B-4F86-95F9-FEA972ABEDC1}">
      <text>
        <r>
          <rPr>
            <sz val="8"/>
            <color indexed="81"/>
            <rFont val="Tahoma"/>
            <family val="2"/>
          </rPr>
          <t>ACT 
Actual Measurements
You have made the allowances.
NAM
No Allowances Made 
The factory will make the deductions.</t>
        </r>
      </text>
    </comment>
    <comment ref="L40" authorId="1" shapeId="0" xr:uid="{E2A251D0-7AB3-44D4-B22A-D5B66DD665ED}">
      <text>
        <r>
          <rPr>
            <sz val="8"/>
            <color indexed="81"/>
            <rFont val="Tahoma"/>
            <family val="2"/>
          </rPr>
          <t>The Cord Lock options are;
50mm PS Privacy Blind, 
63mm PS Blind &amp; 
63mm PS Privacy Blind;
Left
Right
50mm PS Blind &amp; 
50mm Timber Blind;
Left
Right
Cordless</t>
        </r>
      </text>
    </comment>
    <comment ref="M40" authorId="1" shapeId="0" xr:uid="{CA624923-3002-4366-8AFB-754FE6423CF6}">
      <text>
        <r>
          <rPr>
            <sz val="8"/>
            <color indexed="81"/>
            <rFont val="Tahoma"/>
            <family val="2"/>
          </rPr>
          <t>The Tilt options are;
For Cord Lock Left &amp; Right;
Left
Right
For Cordless;
Cordless Hook Wand Left
Cordless Hook Wand Right</t>
        </r>
      </text>
    </comment>
    <comment ref="O40" authorId="1" shapeId="0" xr:uid="{34318571-AB10-4253-9717-EB5D8916720F}">
      <text>
        <r>
          <rPr>
            <sz val="8"/>
            <color indexed="81"/>
            <rFont val="Tahoma"/>
            <family val="2"/>
          </rPr>
          <t>Standard is default.
Common Fascia is when the same Fascia 
is used for two Blinds.</t>
        </r>
      </text>
    </comment>
    <comment ref="Q40" authorId="1" shapeId="0" xr:uid="{2F4009EE-499B-43FB-BC05-19CD70425EA0}">
      <text>
        <r>
          <rPr>
            <sz val="8"/>
            <color indexed="81"/>
            <rFont val="Tahoma"/>
            <family val="2"/>
          </rPr>
          <t>When left blank, 
no Cut Out applies.</t>
        </r>
      </text>
    </comment>
    <comment ref="S40" authorId="1" shapeId="0" xr:uid="{CE3628CA-4A3C-41D5-83FC-299A53ACA976}">
      <text>
        <r>
          <rPr>
            <sz val="8"/>
            <color indexed="81"/>
            <rFont val="Tahoma"/>
            <family val="2"/>
          </rPr>
          <t>Blind Width          Maximum Cut Out Width
For 50mm/63mm PS/PS Privacy
222 - 254mm       50mm
255 - 379mm       75mm
 &gt; 380mm             130mm</t>
        </r>
      </text>
    </comment>
    <comment ref="U40" authorId="1" shapeId="0" xr:uid="{33F9BEC0-0541-478E-9842-A9607D44AF9C}">
      <text>
        <r>
          <rPr>
            <sz val="8"/>
            <color indexed="81"/>
            <rFont val="Tahoma"/>
            <family val="2"/>
          </rPr>
          <t xml:space="preserve">Blind Width          Maximum Cut Out Width
For 50mm/63mm PS/PS Privacy
222 - 254mm       50mm
255 - 379mm       75mm
 &gt; 380mm             130mm
</t>
        </r>
      </text>
    </comment>
    <comment ref="D41" authorId="0" shapeId="0" xr:uid="{BD7EAD13-7BFC-42B2-B3DD-6A5E69259E3A}">
      <text>
        <r>
          <rPr>
            <sz val="8"/>
            <color indexed="81"/>
            <rFont val="Tahoma"/>
            <family val="2"/>
          </rPr>
          <t>The Product options are;
50mm PS Blind
50mm PS Privacy Blind
63mm PS Blind
63mm PS Privacy Blind
50mm Timber Blind</t>
        </r>
      </text>
    </comment>
    <comment ref="E41" authorId="1" shapeId="0" xr:uid="{F2200551-2414-4217-B8B6-8340E9AD8ECF}">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41" authorId="1" shapeId="0" xr:uid="{8302B175-D382-46A3-9C77-0D0BDD60C5E8}">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1" authorId="1" shapeId="0" xr:uid="{032CCF05-69E8-4B8F-AA0E-C8E159685241}">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41" authorId="1" shapeId="0" xr:uid="{C0626117-2F65-458B-BAFC-79646F736904}">
      <text>
        <r>
          <rPr>
            <sz val="8"/>
            <color indexed="81"/>
            <rFont val="Tahoma"/>
            <family val="2"/>
          </rPr>
          <t>When selecting a
Corner or Bay 
Window Type, 
the CMB Corner WS 
or the 
CMB Bay WS 
must be completed please.</t>
        </r>
      </text>
    </comment>
    <comment ref="J41" authorId="1" shapeId="0" xr:uid="{CC83B341-7B7D-4EEA-93A6-74245147708A}">
      <text>
        <r>
          <rPr>
            <sz val="8"/>
            <color indexed="81"/>
            <rFont val="Tahoma"/>
            <family val="2"/>
          </rPr>
          <t>ACT 
Actual Measurements
You have made the allowances.
NAM
No Allowances Made 
The factory will make the deductions.</t>
        </r>
      </text>
    </comment>
    <comment ref="L41" authorId="1" shapeId="0" xr:uid="{F65110E6-A9A8-4114-86EB-CB197900D0C0}">
      <text>
        <r>
          <rPr>
            <sz val="8"/>
            <color indexed="81"/>
            <rFont val="Tahoma"/>
            <family val="2"/>
          </rPr>
          <t>The Cord Lock options are;
50mm PS Privacy Blind, 
63mm PS Blind &amp; 
63mm PS Privacy Blind;
Left
Right
50mm PS Blind &amp; 
50mm Timber Blind;
Left
Right
Cordless</t>
        </r>
      </text>
    </comment>
    <comment ref="M41" authorId="1" shapeId="0" xr:uid="{2CBB20FC-7085-41BD-A0FD-0231E4339BFF}">
      <text>
        <r>
          <rPr>
            <sz val="8"/>
            <color indexed="81"/>
            <rFont val="Tahoma"/>
            <family val="2"/>
          </rPr>
          <t>The Tilt options are;
For Cord Lock Left &amp; Right;
Left
Right
For Cordless;
Cordless Hook Wand Left
Cordless Hook Wand Right</t>
        </r>
      </text>
    </comment>
    <comment ref="O41" authorId="1" shapeId="0" xr:uid="{A43D3249-730E-4DB3-8585-872C2AE597CF}">
      <text>
        <r>
          <rPr>
            <sz val="8"/>
            <color indexed="81"/>
            <rFont val="Tahoma"/>
            <family val="2"/>
          </rPr>
          <t>Standard is default.
Common Fascia is when the same Fascia 
is used for two Blinds.</t>
        </r>
      </text>
    </comment>
    <comment ref="Q41" authorId="1" shapeId="0" xr:uid="{68282876-2A2F-4FE9-A51F-6969064C496C}">
      <text>
        <r>
          <rPr>
            <sz val="8"/>
            <color indexed="81"/>
            <rFont val="Tahoma"/>
            <family val="2"/>
          </rPr>
          <t>When left blank, 
no Cut Out applies.</t>
        </r>
      </text>
    </comment>
    <comment ref="S41" authorId="1" shapeId="0" xr:uid="{A416B9F3-F69D-41E8-93FC-335F304D1541}">
      <text>
        <r>
          <rPr>
            <sz val="8"/>
            <color indexed="81"/>
            <rFont val="Tahoma"/>
            <family val="2"/>
          </rPr>
          <t>Blind Width          Maximum Cut Out Width
For 50mm/63mm PS/PS Privacy
222 - 254mm       50mm
255 - 379mm       75mm
 &gt; 380mm             130mm</t>
        </r>
      </text>
    </comment>
    <comment ref="U41" authorId="1" shapeId="0" xr:uid="{C810E38C-2519-40A1-9261-D91EAF4198C0}">
      <text>
        <r>
          <rPr>
            <sz val="8"/>
            <color indexed="81"/>
            <rFont val="Tahoma"/>
            <family val="2"/>
          </rPr>
          <t xml:space="preserve">Blind Width          Maximum Cut Out Width
For 50mm/63mm PS/PS Privacy
222 - 254mm       50mm
255 - 379mm       75mm
 &gt; 380mm             130mm
</t>
        </r>
      </text>
    </comment>
    <comment ref="D42" authorId="0" shapeId="0" xr:uid="{45D777AF-F498-4AAC-B864-4274CF9E42E3}">
      <text>
        <r>
          <rPr>
            <sz val="8"/>
            <color indexed="81"/>
            <rFont val="Tahoma"/>
            <family val="2"/>
          </rPr>
          <t>The Product options are;
50mm PS Blind
50mm PS Privacy Blind
63mm PS Blind
63mm PS Privacy Blind
50mm Timber Blind</t>
        </r>
      </text>
    </comment>
    <comment ref="E42" authorId="1" shapeId="0" xr:uid="{1C2C509E-39F8-4E7C-9774-12DF6A3BEBF6}">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42" authorId="1" shapeId="0" xr:uid="{B9BA668A-76CC-4E3F-9A85-FA1F66B3AF91}">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2" authorId="1" shapeId="0" xr:uid="{CCC5126C-75F7-461A-AF82-890FCCD5C490}">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42" authorId="1" shapeId="0" xr:uid="{461B88CC-B471-4740-A73E-6759C14AB3C2}">
      <text>
        <r>
          <rPr>
            <sz val="8"/>
            <color indexed="81"/>
            <rFont val="Tahoma"/>
            <family val="2"/>
          </rPr>
          <t>When selecting a
Corner or Bay 
Window Type, 
the CMB Corner WS 
or the 
CMB Bay WS 
must be completed please.</t>
        </r>
      </text>
    </comment>
    <comment ref="J42" authorId="1" shapeId="0" xr:uid="{C1FF1769-8405-49EE-9E9A-8156FA2C67BE}">
      <text>
        <r>
          <rPr>
            <sz val="8"/>
            <color indexed="81"/>
            <rFont val="Tahoma"/>
            <family val="2"/>
          </rPr>
          <t>ACT 
Actual Measurements
You have made the allowances.
NAM
No Allowances Made 
The factory will make the deductions.</t>
        </r>
      </text>
    </comment>
    <comment ref="L42" authorId="1" shapeId="0" xr:uid="{95465120-7518-498E-BDA4-C668EBE3996E}">
      <text>
        <r>
          <rPr>
            <sz val="8"/>
            <color indexed="81"/>
            <rFont val="Tahoma"/>
            <family val="2"/>
          </rPr>
          <t>The Cord Lock options are;
50mm PS Privacy Blind, 
63mm PS Blind &amp; 
63mm PS Privacy Blind;
Left
Right
50mm PS Blind &amp; 
50mm Timber Blind;
Left
Right
Cordless</t>
        </r>
      </text>
    </comment>
    <comment ref="M42" authorId="1" shapeId="0" xr:uid="{5608DE90-8D71-435F-A86D-A85454943AB5}">
      <text>
        <r>
          <rPr>
            <sz val="8"/>
            <color indexed="81"/>
            <rFont val="Tahoma"/>
            <family val="2"/>
          </rPr>
          <t>The Tilt options are;
For Cord Lock Left &amp; Right;
Left
Right
For Cordless;
Cordless Hook Wand Left
Cordless Hook Wand Right</t>
        </r>
      </text>
    </comment>
    <comment ref="O42" authorId="1" shapeId="0" xr:uid="{4E5A349E-96C6-49AA-9377-AE92A988178A}">
      <text>
        <r>
          <rPr>
            <sz val="8"/>
            <color indexed="81"/>
            <rFont val="Tahoma"/>
            <family val="2"/>
          </rPr>
          <t>Standard is default.
Common Fascia is when the same Fascia 
is used for two Blinds.</t>
        </r>
      </text>
    </comment>
    <comment ref="Q42" authorId="1" shapeId="0" xr:uid="{3FC0DF35-F3C5-4840-8602-01A2A0243C1F}">
      <text>
        <r>
          <rPr>
            <sz val="8"/>
            <color indexed="81"/>
            <rFont val="Tahoma"/>
            <family val="2"/>
          </rPr>
          <t>When left blank, 
no Cut Out applies.</t>
        </r>
      </text>
    </comment>
    <comment ref="S42" authorId="1" shapeId="0" xr:uid="{A3BAF8F1-AC87-42FB-A639-B0F675CB4DC7}">
      <text>
        <r>
          <rPr>
            <sz val="8"/>
            <color indexed="81"/>
            <rFont val="Tahoma"/>
            <family val="2"/>
          </rPr>
          <t>Blind Width          Maximum Cut Out Width
For 50mm/63mm PS/PS Privacy
222 - 254mm       50mm
255 - 379mm       75mm
 &gt; 380mm             130mm</t>
        </r>
      </text>
    </comment>
    <comment ref="U42" authorId="1" shapeId="0" xr:uid="{2688828D-7639-4A93-8142-B1AA6C89E94D}">
      <text>
        <r>
          <rPr>
            <sz val="8"/>
            <color indexed="81"/>
            <rFont val="Tahoma"/>
            <family val="2"/>
          </rPr>
          <t xml:space="preserve">Blind Width          Maximum Cut Out Width
For 50mm/63mm PS/PS Privacy
222 - 254mm       50mm
255 - 379mm       75mm
 &gt; 380mm             130mm
</t>
        </r>
      </text>
    </comment>
    <comment ref="D43" authorId="0" shapeId="0" xr:uid="{AA6D6CC8-6974-4779-82BF-34F2698EADFD}">
      <text>
        <r>
          <rPr>
            <sz val="8"/>
            <color indexed="81"/>
            <rFont val="Tahoma"/>
            <family val="2"/>
          </rPr>
          <t>The Product options are;
50mm PS Blind
50mm PS Privacy Blind
63mm PS Blind
63mm PS Privacy Blind
50mm Timber Blind</t>
        </r>
      </text>
    </comment>
    <comment ref="E43" authorId="1" shapeId="0" xr:uid="{D8471E5F-D57D-4E44-A491-440FF718E455}">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43" authorId="1" shapeId="0" xr:uid="{8F31596A-5979-4F12-B60D-6453EF9BA4FB}">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3" authorId="1" shapeId="0" xr:uid="{0899076C-A397-4D0C-99DB-9AF0CD7FCC9E}">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43" authorId="1" shapeId="0" xr:uid="{534A2CF1-6C88-4EFB-9A00-794A0452D463}">
      <text>
        <r>
          <rPr>
            <sz val="8"/>
            <color indexed="81"/>
            <rFont val="Tahoma"/>
            <family val="2"/>
          </rPr>
          <t>When selecting a
Corner or Bay 
Window Type, 
the CMB Corner WS 
or the 
CMB Bay WS 
must be completed please.</t>
        </r>
      </text>
    </comment>
    <comment ref="J43" authorId="1" shapeId="0" xr:uid="{AEFB0DF4-91D0-4572-8151-10E7616159C5}">
      <text>
        <r>
          <rPr>
            <sz val="8"/>
            <color indexed="81"/>
            <rFont val="Tahoma"/>
            <family val="2"/>
          </rPr>
          <t>ACT 
Actual Measurements
You have made the allowances.
NAM
No Allowances Made 
The factory will make the deductions.</t>
        </r>
      </text>
    </comment>
    <comment ref="L43" authorId="1" shapeId="0" xr:uid="{D83E6906-1C1B-4672-B957-AA7CFD4B60C9}">
      <text>
        <r>
          <rPr>
            <sz val="8"/>
            <color indexed="81"/>
            <rFont val="Tahoma"/>
            <family val="2"/>
          </rPr>
          <t>The Cord Lock options are;
50mm PS Privacy Blind, 
63mm PS Blind &amp; 
63mm PS Privacy Blind;
Left
Right
50mm PS Blind &amp; 
50mm Timber Blind;
Left
Right
Cordless</t>
        </r>
      </text>
    </comment>
    <comment ref="M43" authorId="1" shapeId="0" xr:uid="{493A11CF-F93F-4FAA-93AB-04052AE41010}">
      <text>
        <r>
          <rPr>
            <sz val="8"/>
            <color indexed="81"/>
            <rFont val="Tahoma"/>
            <family val="2"/>
          </rPr>
          <t>The Tilt options are;
For Cord Lock Left &amp; Right;
Left
Right
For Cordless;
Cordless Hook Wand Left
Cordless Hook Wand Right</t>
        </r>
      </text>
    </comment>
    <comment ref="O43" authorId="1" shapeId="0" xr:uid="{4FFE1115-7AE1-4C38-8855-7DCDBFA8F468}">
      <text>
        <r>
          <rPr>
            <sz val="8"/>
            <color indexed="81"/>
            <rFont val="Tahoma"/>
            <family val="2"/>
          </rPr>
          <t>Standard is default.
Common Fascia is when the same Fascia 
is used for two Blinds.</t>
        </r>
      </text>
    </comment>
    <comment ref="Q43" authorId="1" shapeId="0" xr:uid="{9BA89C60-47BE-409D-B0A3-911ED4AD28E8}">
      <text>
        <r>
          <rPr>
            <sz val="8"/>
            <color indexed="81"/>
            <rFont val="Tahoma"/>
            <family val="2"/>
          </rPr>
          <t>When left blank, 
no Cut Out applies.</t>
        </r>
      </text>
    </comment>
    <comment ref="S43" authorId="1" shapeId="0" xr:uid="{5A66F582-A3A2-42EC-A1A6-FFBDA0421E9F}">
      <text>
        <r>
          <rPr>
            <sz val="8"/>
            <color indexed="81"/>
            <rFont val="Tahoma"/>
            <family val="2"/>
          </rPr>
          <t>Blind Width          Maximum Cut Out Width
For 50mm/63mm PS/PS Privacy
222 - 254mm       50mm
255 - 379mm       75mm
 &gt; 380mm             130mm</t>
        </r>
      </text>
    </comment>
    <comment ref="U43" authorId="1" shapeId="0" xr:uid="{773202D5-3235-4B6C-AEE7-2A240459D195}">
      <text>
        <r>
          <rPr>
            <sz val="8"/>
            <color indexed="81"/>
            <rFont val="Tahoma"/>
            <family val="2"/>
          </rPr>
          <t xml:space="preserve">Blind Width          Maximum Cut Out Width
For 50mm/63mm PS/PS Privacy
222 - 254mm       50mm
255 - 379mm       75mm
 &gt; 380mm             130mm
</t>
        </r>
      </text>
    </comment>
    <comment ref="D44" authorId="0" shapeId="0" xr:uid="{E2689C3C-019C-4B6F-B637-633B0AB6AF6E}">
      <text>
        <r>
          <rPr>
            <sz val="8"/>
            <color indexed="81"/>
            <rFont val="Tahoma"/>
            <family val="2"/>
          </rPr>
          <t>The Product options are;
50mm PS Blind
50mm PS Privacy Blind
63mm PS Blind
63mm PS Privacy Blind
50mm Timber Blind</t>
        </r>
      </text>
    </comment>
    <comment ref="E44" authorId="1" shapeId="0" xr:uid="{9EE06AD7-0C85-474A-897F-D4F0A5052D2A}">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44" authorId="1" shapeId="0" xr:uid="{44FB2D44-6582-45DB-83D5-086ADBB19FDC}">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4" authorId="1" shapeId="0" xr:uid="{43A86AFD-629E-41CB-9DC6-01C6FE095D3D}">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44" authorId="1" shapeId="0" xr:uid="{D4EC5A1C-8580-435A-9D8B-6D8E80C8D7AA}">
      <text>
        <r>
          <rPr>
            <sz val="8"/>
            <color indexed="81"/>
            <rFont val="Tahoma"/>
            <family val="2"/>
          </rPr>
          <t>When selecting a
Corner or Bay 
Window Type, 
the CMB Corner WS 
or the 
CMB Bay WS 
must be completed please.</t>
        </r>
      </text>
    </comment>
    <comment ref="J44" authorId="1" shapeId="0" xr:uid="{B3D19DBA-B2F9-45B5-996A-57E3611D4B2A}">
      <text>
        <r>
          <rPr>
            <sz val="8"/>
            <color indexed="81"/>
            <rFont val="Tahoma"/>
            <family val="2"/>
          </rPr>
          <t>ACT 
Actual Measurements
You have made the allowances.
NAM
No Allowances Made 
The factory will make the deductions.</t>
        </r>
      </text>
    </comment>
    <comment ref="L44" authorId="1" shapeId="0" xr:uid="{6CF11994-7274-4B86-80A9-A3374D83818B}">
      <text>
        <r>
          <rPr>
            <sz val="8"/>
            <color indexed="81"/>
            <rFont val="Tahoma"/>
            <family val="2"/>
          </rPr>
          <t>The Cord Lock options are;
50mm PS Privacy Blind, 
63mm PS Blind &amp; 
63mm PS Privacy Blind;
Left
Right
50mm PS Blind &amp; 
50mm Timber Blind;
Left
Right
Cordless</t>
        </r>
      </text>
    </comment>
    <comment ref="M44" authorId="1" shapeId="0" xr:uid="{EA87F4E0-98B8-4FFF-B47B-B88E743A4604}">
      <text>
        <r>
          <rPr>
            <sz val="8"/>
            <color indexed="81"/>
            <rFont val="Tahoma"/>
            <family val="2"/>
          </rPr>
          <t>The Tilt options are;
For Cord Lock Left &amp; Right;
Left
Right
For Cordless;
Cordless Hook Wand Left
Cordless Hook Wand Right</t>
        </r>
      </text>
    </comment>
    <comment ref="O44" authorId="1" shapeId="0" xr:uid="{A5D0FBEA-A986-4169-9DFC-E8D5E894DF0A}">
      <text>
        <r>
          <rPr>
            <sz val="8"/>
            <color indexed="81"/>
            <rFont val="Tahoma"/>
            <family val="2"/>
          </rPr>
          <t>Standard is default.
Common Fascia is when the same Fascia 
is used for two Blinds.</t>
        </r>
      </text>
    </comment>
    <comment ref="Q44" authorId="1" shapeId="0" xr:uid="{F1565164-0A99-4E07-B8ED-3D83048A1EF7}">
      <text>
        <r>
          <rPr>
            <sz val="8"/>
            <color indexed="81"/>
            <rFont val="Tahoma"/>
            <family val="2"/>
          </rPr>
          <t>When left blank, 
no Cut Out applies.</t>
        </r>
      </text>
    </comment>
    <comment ref="S44" authorId="1" shapeId="0" xr:uid="{47536593-A3F4-4604-BBB9-E4F2119F1B26}">
      <text>
        <r>
          <rPr>
            <sz val="8"/>
            <color indexed="81"/>
            <rFont val="Tahoma"/>
            <family val="2"/>
          </rPr>
          <t>Blind Width          Maximum Cut Out Width
For 50mm/63mm PS/PS Privacy
222 - 254mm       50mm
255 - 379mm       75mm
 &gt; 380mm             130mm</t>
        </r>
      </text>
    </comment>
    <comment ref="U44" authorId="1" shapeId="0" xr:uid="{2966345F-C7EF-4463-AE13-F94626BE4D25}">
      <text>
        <r>
          <rPr>
            <sz val="8"/>
            <color indexed="81"/>
            <rFont val="Tahoma"/>
            <family val="2"/>
          </rPr>
          <t xml:space="preserve">Blind Width          Maximum Cut Out Width
For 50mm/63mm PS/PS Privacy
222 - 254mm       50mm
255 - 379mm       75mm
 &gt; 380mm             130mm
</t>
        </r>
      </text>
    </comment>
    <comment ref="D45" authorId="0" shapeId="0" xr:uid="{BB819DFE-63C1-49E9-B640-156C85D6DB17}">
      <text>
        <r>
          <rPr>
            <sz val="8"/>
            <color indexed="81"/>
            <rFont val="Tahoma"/>
            <family val="2"/>
          </rPr>
          <t>The Product options are;
50mm PS Blind
50mm PS Privacy Blind
63mm PS Blind
63mm PS Privacy Blind
50mm Timber Blind</t>
        </r>
      </text>
    </comment>
    <comment ref="E45" authorId="1" shapeId="0" xr:uid="{5A17F821-7559-427A-A207-684DA746AAB7}">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45" authorId="1" shapeId="0" xr:uid="{2C97A878-A746-489E-92C1-6CC914E70637}">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5" authorId="1" shapeId="0" xr:uid="{0791D695-5EB0-4346-AF76-ACB59AFE3796}">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45" authorId="1" shapeId="0" xr:uid="{8FACB231-E9E9-422A-9A39-235EBB41D723}">
      <text>
        <r>
          <rPr>
            <sz val="8"/>
            <color indexed="81"/>
            <rFont val="Tahoma"/>
            <family val="2"/>
          </rPr>
          <t>When selecting a
Corner or Bay 
Window Type, 
the CMB Corner WS 
or the 
CMB Bay WS 
must be completed please.</t>
        </r>
      </text>
    </comment>
    <comment ref="J45" authorId="1" shapeId="0" xr:uid="{3BAEB3E1-1D4E-4187-80F2-309A386F39B0}">
      <text>
        <r>
          <rPr>
            <sz val="8"/>
            <color indexed="81"/>
            <rFont val="Tahoma"/>
            <family val="2"/>
          </rPr>
          <t>ACT 
Actual Measurements
You have made the allowances.
NAM
No Allowances Made 
The factory will make the deductions.</t>
        </r>
      </text>
    </comment>
    <comment ref="L45" authorId="1" shapeId="0" xr:uid="{949FA9D9-869E-4329-AC21-65798151F5DA}">
      <text>
        <r>
          <rPr>
            <sz val="8"/>
            <color indexed="81"/>
            <rFont val="Tahoma"/>
            <family val="2"/>
          </rPr>
          <t>The Cord Lock options are;
50mm PS Privacy Blind, 
63mm PS Blind &amp; 
63mm PS Privacy Blind;
Left
Right
50mm PS Blind &amp; 
50mm Timber Blind;
Left
Right
Cordless</t>
        </r>
      </text>
    </comment>
    <comment ref="M45" authorId="1" shapeId="0" xr:uid="{8834469A-3B10-4873-8F6B-333484F3EFF3}">
      <text>
        <r>
          <rPr>
            <sz val="8"/>
            <color indexed="81"/>
            <rFont val="Tahoma"/>
            <family val="2"/>
          </rPr>
          <t>The Tilt options are;
For Cord Lock Left &amp; Right;
Left
Right
For Cordless;
Cordless Hook Wand Left
Cordless Hook Wand Right</t>
        </r>
      </text>
    </comment>
    <comment ref="O45" authorId="1" shapeId="0" xr:uid="{F5EC5780-34D9-4BF0-99FF-168291C69E7E}">
      <text>
        <r>
          <rPr>
            <sz val="8"/>
            <color indexed="81"/>
            <rFont val="Tahoma"/>
            <family val="2"/>
          </rPr>
          <t>Standard is default.
Common Fascia is when the same Fascia 
is used for two Blinds.</t>
        </r>
      </text>
    </comment>
    <comment ref="Q45" authorId="1" shapeId="0" xr:uid="{2436E87A-B5FD-40BC-9B1D-3C9E12E59E4A}">
      <text>
        <r>
          <rPr>
            <sz val="8"/>
            <color indexed="81"/>
            <rFont val="Tahoma"/>
            <family val="2"/>
          </rPr>
          <t>When left blank, 
no Cut Out applies.</t>
        </r>
      </text>
    </comment>
    <comment ref="S45" authorId="1" shapeId="0" xr:uid="{84A0F4AE-85CC-455E-B918-C767A0514281}">
      <text>
        <r>
          <rPr>
            <sz val="8"/>
            <color indexed="81"/>
            <rFont val="Tahoma"/>
            <family val="2"/>
          </rPr>
          <t>Blind Width          Maximum Cut Out Width
For 50mm/63mm PS/PS Privacy
222 - 254mm       50mm
255 - 379mm       75mm
 &gt; 380mm             130mm</t>
        </r>
      </text>
    </comment>
    <comment ref="U45" authorId="1" shapeId="0" xr:uid="{C5DF63F5-3785-4AB7-96A0-7FED45071D8E}">
      <text>
        <r>
          <rPr>
            <sz val="8"/>
            <color indexed="81"/>
            <rFont val="Tahoma"/>
            <family val="2"/>
          </rPr>
          <t xml:space="preserve">Blind Width          Maximum Cut Out Width
For 50mm/63mm PS/PS Privacy
222 - 254mm       50mm
255 - 379mm       75mm
 &gt; 380mm             130mm
</t>
        </r>
      </text>
    </comment>
    <comment ref="D46" authorId="0" shapeId="0" xr:uid="{20B244DA-5996-4167-A0BA-C9446E319F11}">
      <text>
        <r>
          <rPr>
            <sz val="8"/>
            <color indexed="81"/>
            <rFont val="Tahoma"/>
            <family val="2"/>
          </rPr>
          <t>The Product options are;
50mm PS Blind
50mm PS Privacy Blind
63mm PS Blind
63mm PS Privacy Blind
50mm Timber Blind</t>
        </r>
      </text>
    </comment>
    <comment ref="E46" authorId="1" shapeId="0" xr:uid="{D7DC032F-844A-4C5A-991A-965F4D5B42EA}">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46" authorId="1" shapeId="0" xr:uid="{FE78AB8F-4534-49F2-AECC-4C72F125345E}">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6" authorId="1" shapeId="0" xr:uid="{FB7E8502-A370-4614-AA27-503979D0072B}">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46" authorId="1" shapeId="0" xr:uid="{7E5CE48B-05B9-43E3-9F31-1F786FD56F32}">
      <text>
        <r>
          <rPr>
            <sz val="8"/>
            <color indexed="81"/>
            <rFont val="Tahoma"/>
            <family val="2"/>
          </rPr>
          <t>When selecting a
Corner or Bay 
Window Type, 
the CMB Corner WS 
or the 
CMB Bay WS 
must be completed please.</t>
        </r>
      </text>
    </comment>
    <comment ref="J46" authorId="1" shapeId="0" xr:uid="{AA10E4F6-2C65-48F6-96D4-71FEEF10E8D2}">
      <text>
        <r>
          <rPr>
            <sz val="8"/>
            <color indexed="81"/>
            <rFont val="Tahoma"/>
            <family val="2"/>
          </rPr>
          <t>ACT 
Actual Measurements
You have made the allowances.
NAM
No Allowances Made 
The factory will make the deductions.</t>
        </r>
      </text>
    </comment>
    <comment ref="L46" authorId="1" shapeId="0" xr:uid="{D2FECBE7-9915-4655-A0E1-BC6D3848D1AD}">
      <text>
        <r>
          <rPr>
            <sz val="8"/>
            <color indexed="81"/>
            <rFont val="Tahoma"/>
            <family val="2"/>
          </rPr>
          <t>The Cord Lock options are;
50mm PS Privacy Blind, 
63mm PS Blind &amp; 
63mm PS Privacy Blind;
Left
Right
50mm PS Blind &amp; 
50mm Timber Blind;
Left
Right
Cordless</t>
        </r>
      </text>
    </comment>
    <comment ref="M46" authorId="1" shapeId="0" xr:uid="{61C2B367-F503-43CE-8EE7-8A84E60B00C6}">
      <text>
        <r>
          <rPr>
            <sz val="8"/>
            <color indexed="81"/>
            <rFont val="Tahoma"/>
            <family val="2"/>
          </rPr>
          <t>The Tilt options are;
For Cord Lock Left &amp; Right;
Left
Right
For Cordless;
Cordless Hook Wand Left
Cordless Hook Wand Right</t>
        </r>
      </text>
    </comment>
    <comment ref="O46" authorId="1" shapeId="0" xr:uid="{1A5DEC29-549C-4FDD-8428-B2CB82E8BC7C}">
      <text>
        <r>
          <rPr>
            <sz val="8"/>
            <color indexed="81"/>
            <rFont val="Tahoma"/>
            <family val="2"/>
          </rPr>
          <t>Standard is default.
Common Fascia is when the same Fascia 
is used for two Blinds.</t>
        </r>
      </text>
    </comment>
    <comment ref="Q46" authorId="1" shapeId="0" xr:uid="{F8FB1835-224B-4BBA-92F8-2000E13BD78C}">
      <text>
        <r>
          <rPr>
            <sz val="8"/>
            <color indexed="81"/>
            <rFont val="Tahoma"/>
            <family val="2"/>
          </rPr>
          <t>When left blank, 
no Cut Out applies.</t>
        </r>
      </text>
    </comment>
    <comment ref="S46" authorId="1" shapeId="0" xr:uid="{5C364B79-7483-4DE8-8AD6-02B6C27B6F20}">
      <text>
        <r>
          <rPr>
            <sz val="8"/>
            <color indexed="81"/>
            <rFont val="Tahoma"/>
            <family val="2"/>
          </rPr>
          <t>Blind Width          Maximum Cut Out Width
For 50mm/63mm PS/PS Privacy
222 - 254mm       50mm
255 - 379mm       75mm
 &gt; 380mm             130mm</t>
        </r>
      </text>
    </comment>
    <comment ref="U46" authorId="1" shapeId="0" xr:uid="{1D94376D-DC0F-4705-A7F0-E335EC539A6C}">
      <text>
        <r>
          <rPr>
            <sz val="8"/>
            <color indexed="81"/>
            <rFont val="Tahoma"/>
            <family val="2"/>
          </rPr>
          <t xml:space="preserve">Blind Width          Maximum Cut Out Width
For 50mm/63mm PS/PS Privacy
222 - 254mm       50mm
255 - 379mm       75mm
 &gt; 380mm             130mm
</t>
        </r>
      </text>
    </comment>
    <comment ref="D47" authorId="0" shapeId="0" xr:uid="{0E60BB82-26CD-4431-ADCA-214893083977}">
      <text>
        <r>
          <rPr>
            <sz val="8"/>
            <color indexed="81"/>
            <rFont val="Tahoma"/>
            <family val="2"/>
          </rPr>
          <t>The Product options are;
50mm PS Blind
50mm PS Privacy Blind
63mm PS Blind
63mm PS Privacy Blind
50mm Timber Blind</t>
        </r>
      </text>
    </comment>
    <comment ref="E47" authorId="1" shapeId="0" xr:uid="{21D7F61A-DE0F-4868-B6ED-E4BBBA4D69CC}">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47" authorId="1" shapeId="0" xr:uid="{5A5A47A7-D66A-4F12-8FE5-2FF30B9C5D79}">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7" authorId="1" shapeId="0" xr:uid="{64B87428-579E-4E59-8502-FBD9CF6AFE04}">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47" authorId="1" shapeId="0" xr:uid="{EB448343-FD07-4D0E-AAF6-361F5399CB44}">
      <text>
        <r>
          <rPr>
            <sz val="8"/>
            <color indexed="81"/>
            <rFont val="Tahoma"/>
            <family val="2"/>
          </rPr>
          <t>When selecting a
Corner or Bay 
Window Type, 
the CMB Corner WS 
or the 
CMB Bay WS 
must be completed please.</t>
        </r>
      </text>
    </comment>
    <comment ref="J47" authorId="1" shapeId="0" xr:uid="{37E46AB4-6AF6-4C26-80AE-3412E3800B17}">
      <text>
        <r>
          <rPr>
            <sz val="8"/>
            <color indexed="81"/>
            <rFont val="Tahoma"/>
            <family val="2"/>
          </rPr>
          <t>ACT 
Actual Measurements
You have made the allowances.
NAM
No Allowances Made 
The factory will make the deductions.</t>
        </r>
      </text>
    </comment>
    <comment ref="L47" authorId="1" shapeId="0" xr:uid="{F4DC249B-46F5-4535-BBEC-A708C3ED63B4}">
      <text>
        <r>
          <rPr>
            <sz val="8"/>
            <color indexed="81"/>
            <rFont val="Tahoma"/>
            <family val="2"/>
          </rPr>
          <t>The Cord Lock options are;
50mm PS Privacy Blind, 
63mm PS Blind &amp; 
63mm PS Privacy Blind;
Left
Right
50mm PS Blind &amp; 
50mm Timber Blind;
Left
Right
Cordless</t>
        </r>
      </text>
    </comment>
    <comment ref="M47" authorId="1" shapeId="0" xr:uid="{463E2F07-ABF7-49DE-97A7-32B7C524392B}">
      <text>
        <r>
          <rPr>
            <sz val="8"/>
            <color indexed="81"/>
            <rFont val="Tahoma"/>
            <family val="2"/>
          </rPr>
          <t>The Tilt options are;
For Cord Lock Left &amp; Right;
Left
Right
For Cordless;
Cordless Hook Wand Left
Cordless Hook Wand Right</t>
        </r>
      </text>
    </comment>
    <comment ref="O47" authorId="1" shapeId="0" xr:uid="{1907A912-BC38-4E52-896D-C8F1F983799A}">
      <text>
        <r>
          <rPr>
            <sz val="8"/>
            <color indexed="81"/>
            <rFont val="Tahoma"/>
            <family val="2"/>
          </rPr>
          <t>Standard is default.
Common Fascia is when the same Fascia 
is used for two Blinds.</t>
        </r>
      </text>
    </comment>
    <comment ref="Q47" authorId="1" shapeId="0" xr:uid="{156A08E2-F08E-46C7-AE5D-0A8869AA9F0C}">
      <text>
        <r>
          <rPr>
            <sz val="8"/>
            <color indexed="81"/>
            <rFont val="Tahoma"/>
            <family val="2"/>
          </rPr>
          <t>When left blank, 
no Cut Out applies.</t>
        </r>
      </text>
    </comment>
    <comment ref="S47" authorId="1" shapeId="0" xr:uid="{801D551F-C192-4B89-99A8-CE98C1A8FEA2}">
      <text>
        <r>
          <rPr>
            <sz val="8"/>
            <color indexed="81"/>
            <rFont val="Tahoma"/>
            <family val="2"/>
          </rPr>
          <t>Blind Width          Maximum Cut Out Width
For 50mm/63mm PS/PS Privacy
222 - 254mm       50mm
255 - 379mm       75mm
 &gt; 380mm             130mm</t>
        </r>
      </text>
    </comment>
    <comment ref="U47" authorId="1" shapeId="0" xr:uid="{033BC1CD-BFDF-429A-8AC6-EBA424ED2686}">
      <text>
        <r>
          <rPr>
            <sz val="8"/>
            <color indexed="81"/>
            <rFont val="Tahoma"/>
            <family val="2"/>
          </rPr>
          <t xml:space="preserve">Blind Width          Maximum Cut Out Width
For 50mm/63mm PS/PS Privacy
222 - 254mm       50mm
255 - 379mm       75mm
 &gt; 380mm             130mm
</t>
        </r>
      </text>
    </comment>
    <comment ref="D48" authorId="0" shapeId="0" xr:uid="{9B86FD08-A5B6-4D3B-B04A-7757FF19A93F}">
      <text>
        <r>
          <rPr>
            <sz val="8"/>
            <color indexed="81"/>
            <rFont val="Tahoma"/>
            <family val="2"/>
          </rPr>
          <t>The Product options are;
50mm PS Blind
50mm PS Privacy Blind
63mm PS Blind
63mm PS Privacy Blind
50mm Timber Blind</t>
        </r>
      </text>
    </comment>
    <comment ref="E48" authorId="1" shapeId="0" xr:uid="{D1E9C8CA-8E64-49AC-A29D-8EB50A946059}">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48" authorId="1" shapeId="0" xr:uid="{CA76F2BB-2426-4078-8BF5-CA3B61EFC0C4}">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8" authorId="1" shapeId="0" xr:uid="{B5524761-5B9C-46B0-A8E5-C59D0ACC13CF}">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48" authorId="1" shapeId="0" xr:uid="{186E2331-62C1-4E4C-8921-350A86E1A2E7}">
      <text>
        <r>
          <rPr>
            <sz val="8"/>
            <color indexed="81"/>
            <rFont val="Tahoma"/>
            <family val="2"/>
          </rPr>
          <t>When selecting a
Corner or Bay 
Window Type, 
the CMB Corner WS 
or the 
CMB Bay WS 
must be completed please.</t>
        </r>
      </text>
    </comment>
    <comment ref="J48" authorId="1" shapeId="0" xr:uid="{F674AC24-1E25-424D-A4D6-0789A3353D4D}">
      <text>
        <r>
          <rPr>
            <sz val="8"/>
            <color indexed="81"/>
            <rFont val="Tahoma"/>
            <family val="2"/>
          </rPr>
          <t>ACT 
Actual Measurements
You have made the allowances.
NAM
No Allowances Made 
The factory will make the deductions.</t>
        </r>
      </text>
    </comment>
    <comment ref="L48" authorId="1" shapeId="0" xr:uid="{F79046B1-8B2F-438A-AEAB-23299110FA42}">
      <text>
        <r>
          <rPr>
            <sz val="8"/>
            <color indexed="81"/>
            <rFont val="Tahoma"/>
            <family val="2"/>
          </rPr>
          <t>The Cord Lock options are;
50mm PS Privacy Blind, 
63mm PS Blind &amp; 
63mm PS Privacy Blind;
Left
Right
50mm PS Blind &amp; 
50mm Timber Blind;
Left
Right
Cordless</t>
        </r>
      </text>
    </comment>
    <comment ref="M48" authorId="1" shapeId="0" xr:uid="{6A0DFD6F-4BA7-43E4-932D-501D10BB14A4}">
      <text>
        <r>
          <rPr>
            <sz val="8"/>
            <color indexed="81"/>
            <rFont val="Tahoma"/>
            <family val="2"/>
          </rPr>
          <t>The Tilt options are;
For Cord Lock Left &amp; Right;
Left
Right
For Cordless;
Cordless Hook Wand Left
Cordless Hook Wand Right</t>
        </r>
      </text>
    </comment>
    <comment ref="O48" authorId="1" shapeId="0" xr:uid="{4131B003-4B91-4281-9CD8-C5BCE793875C}">
      <text>
        <r>
          <rPr>
            <sz val="8"/>
            <color indexed="81"/>
            <rFont val="Tahoma"/>
            <family val="2"/>
          </rPr>
          <t>Standard is default.
Common Fascia is when the same Fascia 
is used for two Blinds.</t>
        </r>
      </text>
    </comment>
    <comment ref="Q48" authorId="1" shapeId="0" xr:uid="{12259637-0534-4823-8BD0-5D330C193912}">
      <text>
        <r>
          <rPr>
            <sz val="8"/>
            <color indexed="81"/>
            <rFont val="Tahoma"/>
            <family val="2"/>
          </rPr>
          <t>When left blank, 
no Cut Out applies.</t>
        </r>
      </text>
    </comment>
    <comment ref="S48" authorId="1" shapeId="0" xr:uid="{7B6477EF-4C84-4117-8289-4FE7C3F6E42D}">
      <text>
        <r>
          <rPr>
            <sz val="8"/>
            <color indexed="81"/>
            <rFont val="Tahoma"/>
            <family val="2"/>
          </rPr>
          <t>Blind Width          Maximum Cut Out Width
For 50mm/63mm PS/PS Privacy
222 - 254mm       50mm
255 - 379mm       75mm
 &gt; 380mm             130mm</t>
        </r>
      </text>
    </comment>
    <comment ref="U48" authorId="1" shapeId="0" xr:uid="{2DF8E76C-F5CA-4A4C-BA4F-29315B204633}">
      <text>
        <r>
          <rPr>
            <sz val="8"/>
            <color indexed="81"/>
            <rFont val="Tahoma"/>
            <family val="2"/>
          </rPr>
          <t xml:space="preserve">Blind Width          Maximum Cut Out Width
For 50mm/63mm PS/PS Privacy
222 - 254mm       50mm
255 - 379mm       75mm
 &gt; 380mm             130mm
</t>
        </r>
      </text>
    </comment>
    <comment ref="D49" authorId="0" shapeId="0" xr:uid="{9A2F2193-8F8E-4418-B826-160F75EADCA4}">
      <text>
        <r>
          <rPr>
            <sz val="8"/>
            <color indexed="81"/>
            <rFont val="Tahoma"/>
            <family val="2"/>
          </rPr>
          <t>The Product options are;
50mm PS Blind
50mm PS Privacy Blind
63mm PS Blind
63mm PS Privacy Blind
50mm Timber Blind</t>
        </r>
      </text>
    </comment>
    <comment ref="E49" authorId="1" shapeId="0" xr:uid="{26826F75-CE16-405B-BC7B-717289908075}">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49" authorId="1" shapeId="0" xr:uid="{76892801-92C7-4E1E-B7DA-D1B2DA83C4B0}">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49" authorId="1" shapeId="0" xr:uid="{967F55CC-E700-4E5C-B28F-C3AB3989C1DD}">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49" authorId="1" shapeId="0" xr:uid="{8822F43D-4CBB-41EB-B576-1D3423B1A275}">
      <text>
        <r>
          <rPr>
            <sz val="8"/>
            <color indexed="81"/>
            <rFont val="Tahoma"/>
            <family val="2"/>
          </rPr>
          <t>When selecting a
Corner or Bay 
Window Type, 
the CMB Corner WS 
or the 
CMB Bay WS 
must be completed please.</t>
        </r>
      </text>
    </comment>
    <comment ref="J49" authorId="1" shapeId="0" xr:uid="{B6AA0935-C451-4ADB-AF60-2EC4BCE6CC02}">
      <text>
        <r>
          <rPr>
            <sz val="8"/>
            <color indexed="81"/>
            <rFont val="Tahoma"/>
            <family val="2"/>
          </rPr>
          <t>ACT 
Actual Measurements
You have made the allowances.
NAM
No Allowances Made 
The factory will make the deductions.</t>
        </r>
      </text>
    </comment>
    <comment ref="L49" authorId="1" shapeId="0" xr:uid="{95270248-CD13-40D2-A588-03EA49C1236D}">
      <text>
        <r>
          <rPr>
            <sz val="8"/>
            <color indexed="81"/>
            <rFont val="Tahoma"/>
            <family val="2"/>
          </rPr>
          <t>The Cord Lock options are;
50mm PS Privacy Blind, 
63mm PS Blind &amp; 
63mm PS Privacy Blind;
Left
Right
50mm PS Blind &amp; 
50mm Timber Blind;
Left
Right
Cordless</t>
        </r>
      </text>
    </comment>
    <comment ref="M49" authorId="1" shapeId="0" xr:uid="{D8F285FC-3EA4-4B76-9754-B8D6F746A798}">
      <text>
        <r>
          <rPr>
            <sz val="8"/>
            <color indexed="81"/>
            <rFont val="Tahoma"/>
            <family val="2"/>
          </rPr>
          <t>The Tilt options are;
For Cord Lock Left &amp; Right;
Left
Right
For Cordless;
Cordless Hook Wand Left
Cordless Hook Wand Right</t>
        </r>
      </text>
    </comment>
    <comment ref="O49" authorId="1" shapeId="0" xr:uid="{B2440640-52D5-4AD1-B676-2B4227BDC327}">
      <text>
        <r>
          <rPr>
            <sz val="8"/>
            <color indexed="81"/>
            <rFont val="Tahoma"/>
            <family val="2"/>
          </rPr>
          <t>Standard is default.
Common Fascia is when the same Fascia 
is used for two Blinds.</t>
        </r>
      </text>
    </comment>
    <comment ref="Q49" authorId="1" shapeId="0" xr:uid="{55B9EA9D-2883-4093-810F-069145ED79DE}">
      <text>
        <r>
          <rPr>
            <sz val="8"/>
            <color indexed="81"/>
            <rFont val="Tahoma"/>
            <family val="2"/>
          </rPr>
          <t>When left blank, 
no Cut Out applies.</t>
        </r>
      </text>
    </comment>
    <comment ref="S49" authorId="1" shapeId="0" xr:uid="{611C297F-2916-4E38-A47C-F684025A6E81}">
      <text>
        <r>
          <rPr>
            <sz val="8"/>
            <color indexed="81"/>
            <rFont val="Tahoma"/>
            <family val="2"/>
          </rPr>
          <t>Blind Width          Maximum Cut Out Width
For 50mm/63mm PS/PS Privacy
222 - 254mm       50mm
255 - 379mm       75mm
 &gt; 380mm             130mm</t>
        </r>
      </text>
    </comment>
    <comment ref="U49" authorId="1" shapeId="0" xr:uid="{2227C8B9-2FC5-44AA-9379-99126FBF3FA6}">
      <text>
        <r>
          <rPr>
            <sz val="8"/>
            <color indexed="81"/>
            <rFont val="Tahoma"/>
            <family val="2"/>
          </rPr>
          <t xml:space="preserve">Blind Width          Maximum Cut Out Width
For 50mm/63mm PS/PS Privacy
222 - 254mm       50mm
255 - 379mm       75mm
 &gt; 380mm             130mm
</t>
        </r>
      </text>
    </comment>
    <comment ref="D50" authorId="0" shapeId="0" xr:uid="{C02A5057-D6C0-4088-B7C6-70647B2B983E}">
      <text>
        <r>
          <rPr>
            <sz val="8"/>
            <color indexed="81"/>
            <rFont val="Tahoma"/>
            <family val="2"/>
          </rPr>
          <t>The Product options are;
50mm PS Blind
50mm PS Privacy Blind
63mm PS Blind
63mm PS Privacy Blind
50mm Timber Blind</t>
        </r>
      </text>
    </comment>
    <comment ref="E50" authorId="1" shapeId="0" xr:uid="{0BB85BE1-2A37-444C-A71F-80326AC2535C}">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50" authorId="1" shapeId="0" xr:uid="{18834E81-E0B1-4C83-9E4E-122A92717993}">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0" authorId="1" shapeId="0" xr:uid="{C59C7785-17A8-4294-8122-7DFD1A9C584A}">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50" authorId="1" shapeId="0" xr:uid="{B1B5A960-3E23-4DC1-8E91-D8DCB447A54A}">
      <text>
        <r>
          <rPr>
            <sz val="8"/>
            <color indexed="81"/>
            <rFont val="Tahoma"/>
            <family val="2"/>
          </rPr>
          <t>When selecting a
Corner or Bay 
Window Type, 
the CMB Corner WS 
or the 
CMB Bay WS 
must be completed please.</t>
        </r>
      </text>
    </comment>
    <comment ref="J50" authorId="1" shapeId="0" xr:uid="{3539F058-D442-4C0E-B5B8-A27111037775}">
      <text>
        <r>
          <rPr>
            <sz val="8"/>
            <color indexed="81"/>
            <rFont val="Tahoma"/>
            <family val="2"/>
          </rPr>
          <t>ACT 
Actual Measurements
You have made the allowances.
NAM
No Allowances Made 
The factory will make the deductions.</t>
        </r>
      </text>
    </comment>
    <comment ref="L50" authorId="1" shapeId="0" xr:uid="{11A17CEE-8EE1-4ECD-8E0F-738CDF16DFE4}">
      <text>
        <r>
          <rPr>
            <sz val="8"/>
            <color indexed="81"/>
            <rFont val="Tahoma"/>
            <family val="2"/>
          </rPr>
          <t>The Cord Lock options are;
50mm PS Privacy Blind, 
63mm PS Blind &amp; 
63mm PS Privacy Blind;
Left
Right
50mm PS Blind &amp; 
50mm Timber Blind;
Left
Right
Cordless</t>
        </r>
      </text>
    </comment>
    <comment ref="M50" authorId="1" shapeId="0" xr:uid="{4FA62291-7441-41FB-9379-49260AFD086E}">
      <text>
        <r>
          <rPr>
            <sz val="8"/>
            <color indexed="81"/>
            <rFont val="Tahoma"/>
            <family val="2"/>
          </rPr>
          <t>The Tilt options are;
For Cord Lock Left &amp; Right;
Left
Right
For Cordless;
Cordless Hook Wand Left
Cordless Hook Wand Right</t>
        </r>
      </text>
    </comment>
    <comment ref="O50" authorId="1" shapeId="0" xr:uid="{8DD231D2-AC14-4D10-AEB6-FBF4912343EC}">
      <text>
        <r>
          <rPr>
            <sz val="8"/>
            <color indexed="81"/>
            <rFont val="Tahoma"/>
            <family val="2"/>
          </rPr>
          <t>Standard is default.
Common Fascia is when the same Fascia 
is used for two Blinds.</t>
        </r>
      </text>
    </comment>
    <comment ref="Q50" authorId="1" shapeId="0" xr:uid="{D7D0F26A-BEFC-4F3E-88D4-366DF41F4E44}">
      <text>
        <r>
          <rPr>
            <sz val="8"/>
            <color indexed="81"/>
            <rFont val="Tahoma"/>
            <family val="2"/>
          </rPr>
          <t>When left blank, 
no Cut Out applies.</t>
        </r>
      </text>
    </comment>
    <comment ref="S50" authorId="1" shapeId="0" xr:uid="{A2D634FA-DB0A-40F3-923F-833C9D9EE7A9}">
      <text>
        <r>
          <rPr>
            <sz val="8"/>
            <color indexed="81"/>
            <rFont val="Tahoma"/>
            <family val="2"/>
          </rPr>
          <t>Blind Width          Maximum Cut Out Width
For 50mm/63mm PS/PS Privacy
222 - 254mm       50mm
255 - 379mm       75mm
 &gt; 380mm             130mm</t>
        </r>
      </text>
    </comment>
    <comment ref="U50" authorId="1" shapeId="0" xr:uid="{64783D5E-56F3-40CA-85B3-A1858FE19AA5}">
      <text>
        <r>
          <rPr>
            <sz val="8"/>
            <color indexed="81"/>
            <rFont val="Tahoma"/>
            <family val="2"/>
          </rPr>
          <t xml:space="preserve">Blind Width          Maximum Cut Out Width
For 50mm/63mm PS/PS Privacy
222 - 254mm       50mm
255 - 379mm       75mm
 &gt; 380mm             130mm
</t>
        </r>
      </text>
    </comment>
    <comment ref="D51" authorId="0" shapeId="0" xr:uid="{0D2707C5-7AF5-49F0-99FD-D21EED621A01}">
      <text>
        <r>
          <rPr>
            <sz val="8"/>
            <color indexed="81"/>
            <rFont val="Tahoma"/>
            <family val="2"/>
          </rPr>
          <t>The Product options are;
50mm PS Blind
50mm PS Privacy Blind
63mm PS Blind
63mm PS Privacy Blind
50mm Timber Blind</t>
        </r>
      </text>
    </comment>
    <comment ref="E51" authorId="1" shapeId="0" xr:uid="{200352CC-B289-411D-9486-634C83182678}">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51" authorId="1" shapeId="0" xr:uid="{BF12FE36-3B14-4AAE-AEB3-9E5C2F9983C1}">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1" authorId="1" shapeId="0" xr:uid="{2D0D5729-79EA-4CB0-AE44-BFB91957D1D7}">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51" authorId="1" shapeId="0" xr:uid="{B228C533-2A90-4C93-A238-BD153AA31D41}">
      <text>
        <r>
          <rPr>
            <sz val="8"/>
            <color indexed="81"/>
            <rFont val="Tahoma"/>
            <family val="2"/>
          </rPr>
          <t>When selecting a
Corner or Bay 
Window Type, 
the CMB Corner WS 
or the 
CMB Bay WS 
must be completed please.</t>
        </r>
      </text>
    </comment>
    <comment ref="J51" authorId="1" shapeId="0" xr:uid="{02ADD2E2-B440-4E58-9B0E-A3883C39AE4C}">
      <text>
        <r>
          <rPr>
            <sz val="8"/>
            <color indexed="81"/>
            <rFont val="Tahoma"/>
            <family val="2"/>
          </rPr>
          <t>ACT 
Actual Measurements
You have made the allowances.
NAM
No Allowances Made 
The factory will make the deductions.</t>
        </r>
      </text>
    </comment>
    <comment ref="L51" authorId="1" shapeId="0" xr:uid="{20D125B6-474D-4F88-BCF9-09F74BCBFB60}">
      <text>
        <r>
          <rPr>
            <sz val="8"/>
            <color indexed="81"/>
            <rFont val="Tahoma"/>
            <family val="2"/>
          </rPr>
          <t>The Cord Lock options are;
50mm PS Privacy Blind, 
63mm PS Blind &amp; 
63mm PS Privacy Blind;
Left
Right
50mm PS Blind &amp; 
50mm Timber Blind;
Left
Right
Cordless</t>
        </r>
      </text>
    </comment>
    <comment ref="M51" authorId="1" shapeId="0" xr:uid="{EAF8012C-D8FD-4D9C-AA38-50B5E9CF6E3A}">
      <text>
        <r>
          <rPr>
            <sz val="8"/>
            <color indexed="81"/>
            <rFont val="Tahoma"/>
            <family val="2"/>
          </rPr>
          <t>The Tilt options are;
For Cord Lock Left &amp; Right;
Left
Right
For Cordless;
Cordless Hook Wand Left
Cordless Hook Wand Right</t>
        </r>
      </text>
    </comment>
    <comment ref="O51" authorId="1" shapeId="0" xr:uid="{5880F72C-4F74-44FE-B5BA-51BDB0C0F700}">
      <text>
        <r>
          <rPr>
            <sz val="8"/>
            <color indexed="81"/>
            <rFont val="Tahoma"/>
            <family val="2"/>
          </rPr>
          <t>Standard is default.
Common Fascia is when the same Fascia 
is used for two Blinds.</t>
        </r>
      </text>
    </comment>
    <comment ref="Q51" authorId="1" shapeId="0" xr:uid="{ADDC3C0C-80C4-4371-8954-3A810C7AAFAF}">
      <text>
        <r>
          <rPr>
            <sz val="8"/>
            <color indexed="81"/>
            <rFont val="Tahoma"/>
            <family val="2"/>
          </rPr>
          <t>When left blank, 
no Cut Out applies.</t>
        </r>
      </text>
    </comment>
    <comment ref="S51" authorId="1" shapeId="0" xr:uid="{552AA645-D4EE-4C75-88B8-7A009B6FE440}">
      <text>
        <r>
          <rPr>
            <sz val="8"/>
            <color indexed="81"/>
            <rFont val="Tahoma"/>
            <family val="2"/>
          </rPr>
          <t>Blind Width          Maximum Cut Out Width
For 50mm/63mm PS/PS Privacy
222 - 254mm       50mm
255 - 379mm       75mm
 &gt; 380mm             130mm</t>
        </r>
      </text>
    </comment>
    <comment ref="U51" authorId="1" shapeId="0" xr:uid="{A682BC3A-5079-47EE-9B06-382DFC45E640}">
      <text>
        <r>
          <rPr>
            <sz val="8"/>
            <color indexed="81"/>
            <rFont val="Tahoma"/>
            <family val="2"/>
          </rPr>
          <t xml:space="preserve">Blind Width          Maximum Cut Out Width
For 50mm/63mm PS/PS Privacy
222 - 254mm       50mm
255 - 379mm       75mm
 &gt; 380mm             130mm
</t>
        </r>
      </text>
    </comment>
    <comment ref="D52" authorId="0" shapeId="0" xr:uid="{E2D655CB-FCFC-4A44-A48A-6166DE70DAE4}">
      <text>
        <r>
          <rPr>
            <sz val="8"/>
            <color indexed="81"/>
            <rFont val="Tahoma"/>
            <family val="2"/>
          </rPr>
          <t>The Product options are;
50mm PS Blind
50mm PS Privacy Blind
63mm PS Blind
63mm PS Privacy Blind
50mm Timber Blind</t>
        </r>
      </text>
    </comment>
    <comment ref="E52" authorId="1" shapeId="0" xr:uid="{CF691CEC-9022-4046-AB6B-EABF9282BE17}">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52" authorId="1" shapeId="0" xr:uid="{932CEC2D-619F-4344-897E-F46FB6C53610}">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2" authorId="1" shapeId="0" xr:uid="{DD82D403-44CD-48E3-A18B-E7257BF03D3C}">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52" authorId="1" shapeId="0" xr:uid="{3378A225-859A-40C0-BBBE-9EFF1CF1ECB7}">
      <text>
        <r>
          <rPr>
            <sz val="8"/>
            <color indexed="81"/>
            <rFont val="Tahoma"/>
            <family val="2"/>
          </rPr>
          <t>When selecting a
Corner or Bay 
Window Type, 
the CMB Corner WS 
or the 
CMB Bay WS 
must be completed please.</t>
        </r>
      </text>
    </comment>
    <comment ref="J52" authorId="1" shapeId="0" xr:uid="{997DF8BD-C74A-4928-9274-08C90ACA811D}">
      <text>
        <r>
          <rPr>
            <sz val="8"/>
            <color indexed="81"/>
            <rFont val="Tahoma"/>
            <family val="2"/>
          </rPr>
          <t>ACT 
Actual Measurements
You have made the allowances.
NAM
No Allowances Made 
The factory will make the deductions.</t>
        </r>
      </text>
    </comment>
    <comment ref="L52" authorId="1" shapeId="0" xr:uid="{70614215-468B-4823-A816-05A924FFB8AF}">
      <text>
        <r>
          <rPr>
            <sz val="8"/>
            <color indexed="81"/>
            <rFont val="Tahoma"/>
            <family val="2"/>
          </rPr>
          <t>The Cord Lock options are;
50mm PS Privacy Blind, 
63mm PS Blind &amp; 
63mm PS Privacy Blind;
Left
Right
50mm PS Blind &amp; 
50mm Timber Blind;
Left
Right
Cordless</t>
        </r>
      </text>
    </comment>
    <comment ref="M52" authorId="1" shapeId="0" xr:uid="{4FCDDB93-C127-4A9D-A79F-94652C3EDD57}">
      <text>
        <r>
          <rPr>
            <sz val="8"/>
            <color indexed="81"/>
            <rFont val="Tahoma"/>
            <family val="2"/>
          </rPr>
          <t>The Tilt options are;
For Cord Lock Left &amp; Right;
Left
Right
For Cordless;
Cordless Hook Wand Left
Cordless Hook Wand Right</t>
        </r>
      </text>
    </comment>
    <comment ref="O52" authorId="1" shapeId="0" xr:uid="{19EF69E2-778B-4EEE-A555-94368CA19B90}">
      <text>
        <r>
          <rPr>
            <sz val="8"/>
            <color indexed="81"/>
            <rFont val="Tahoma"/>
            <family val="2"/>
          </rPr>
          <t>Standard is default.
Common Fascia is when the same Fascia 
is used for two Blinds.</t>
        </r>
      </text>
    </comment>
    <comment ref="Q52" authorId="1" shapeId="0" xr:uid="{719C2572-20E3-44D9-AF5C-178A868C1523}">
      <text>
        <r>
          <rPr>
            <sz val="8"/>
            <color indexed="81"/>
            <rFont val="Tahoma"/>
            <family val="2"/>
          </rPr>
          <t>When left blank, 
no Cut Out applies.</t>
        </r>
      </text>
    </comment>
    <comment ref="S52" authorId="1" shapeId="0" xr:uid="{F67FBA83-376A-48C8-9996-A1752D1A5159}">
      <text>
        <r>
          <rPr>
            <sz val="8"/>
            <color indexed="81"/>
            <rFont val="Tahoma"/>
            <family val="2"/>
          </rPr>
          <t>Blind Width          Maximum Cut Out Width
For 50mm/63mm PS/PS Privacy
222 - 254mm       50mm
255 - 379mm       75mm
 &gt; 380mm             130mm</t>
        </r>
      </text>
    </comment>
    <comment ref="U52" authorId="1" shapeId="0" xr:uid="{111A728F-8D38-4F59-8B74-2A2AC7339A57}">
      <text>
        <r>
          <rPr>
            <sz val="8"/>
            <color indexed="81"/>
            <rFont val="Tahoma"/>
            <family val="2"/>
          </rPr>
          <t xml:space="preserve">Blind Width          Maximum Cut Out Width
For 50mm/63mm PS/PS Privacy
222 - 254mm       50mm
255 - 379mm       75mm
 &gt; 380mm             130mm
</t>
        </r>
      </text>
    </comment>
    <comment ref="D53" authorId="0" shapeId="0" xr:uid="{C0864408-7461-4E99-9DF6-8CAC3C99DC5F}">
      <text>
        <r>
          <rPr>
            <sz val="8"/>
            <color indexed="81"/>
            <rFont val="Tahoma"/>
            <family val="2"/>
          </rPr>
          <t>The Product options are;
50mm PS Blind
50mm PS Privacy Blind
63mm PS Blind
63mm PS Privacy Blind
50mm Timber Blind</t>
        </r>
      </text>
    </comment>
    <comment ref="E53" authorId="1" shapeId="0" xr:uid="{B48AD1FE-D985-41A7-B6D5-7A687393B393}">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53" authorId="1" shapeId="0" xr:uid="{CA9DF662-B33E-4F81-9B62-F6018A08B832}">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3" authorId="1" shapeId="0" xr:uid="{14028B90-5EA8-4A97-9D4E-3E3571154081}">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53" authorId="1" shapeId="0" xr:uid="{D94BA586-2AF0-4D4D-A5EA-68E8A2625F40}">
      <text>
        <r>
          <rPr>
            <sz val="8"/>
            <color indexed="81"/>
            <rFont val="Tahoma"/>
            <family val="2"/>
          </rPr>
          <t>When selecting a
Corner or Bay 
Window Type, 
the CMB Corner WS 
or the 
CMB Bay WS 
must be completed please.</t>
        </r>
      </text>
    </comment>
    <comment ref="J53" authorId="1" shapeId="0" xr:uid="{D6622A9D-7FAE-4D88-8F1F-067FE30EE8CF}">
      <text>
        <r>
          <rPr>
            <sz val="8"/>
            <color indexed="81"/>
            <rFont val="Tahoma"/>
            <family val="2"/>
          </rPr>
          <t>ACT 
Actual Measurements
You have made the allowances.
NAM
No Allowances Made 
The factory will make the deductions.</t>
        </r>
      </text>
    </comment>
    <comment ref="L53" authorId="1" shapeId="0" xr:uid="{69710779-820B-4803-B160-29F653D9BCE0}">
      <text>
        <r>
          <rPr>
            <sz val="8"/>
            <color indexed="81"/>
            <rFont val="Tahoma"/>
            <family val="2"/>
          </rPr>
          <t>The Cord Lock options are;
50mm PS Privacy Blind, 
63mm PS Blind &amp; 
63mm PS Privacy Blind;
Left
Right
50mm PS Blind &amp; 
50mm Timber Blind;
Left
Right
Cordless</t>
        </r>
      </text>
    </comment>
    <comment ref="M53" authorId="1" shapeId="0" xr:uid="{6C7FB1DA-B552-4A26-B887-001780115BC3}">
      <text>
        <r>
          <rPr>
            <sz val="8"/>
            <color indexed="81"/>
            <rFont val="Tahoma"/>
            <family val="2"/>
          </rPr>
          <t>The Tilt options are;
For Cord Lock Left &amp; Right;
Left
Right
For Cordless;
Cordless Hook Wand Left
Cordless Hook Wand Right</t>
        </r>
      </text>
    </comment>
    <comment ref="O53" authorId="1" shapeId="0" xr:uid="{BB59380C-39B7-4DF6-A552-E584C52641E6}">
      <text>
        <r>
          <rPr>
            <sz val="8"/>
            <color indexed="81"/>
            <rFont val="Tahoma"/>
            <family val="2"/>
          </rPr>
          <t>Standard is default.
Common Fascia is when the same Fascia 
is used for two Blinds.</t>
        </r>
      </text>
    </comment>
    <comment ref="Q53" authorId="1" shapeId="0" xr:uid="{CB42AA9B-8E9E-4022-ABAB-3ED85B6D9DD5}">
      <text>
        <r>
          <rPr>
            <sz val="8"/>
            <color indexed="81"/>
            <rFont val="Tahoma"/>
            <family val="2"/>
          </rPr>
          <t>When left blank, 
no Cut Out applies.</t>
        </r>
      </text>
    </comment>
    <comment ref="S53" authorId="1" shapeId="0" xr:uid="{311C7AEF-0F91-4515-A7DA-167E421B08E0}">
      <text>
        <r>
          <rPr>
            <sz val="8"/>
            <color indexed="81"/>
            <rFont val="Tahoma"/>
            <family val="2"/>
          </rPr>
          <t>Blind Width          Maximum Cut Out Width
For 50mm/63mm PS/PS Privacy
222 - 254mm       50mm
255 - 379mm       75mm
 &gt; 380mm             130mm</t>
        </r>
      </text>
    </comment>
    <comment ref="U53" authorId="1" shapeId="0" xr:uid="{F18F55E2-25C8-4321-8AA5-0860001C7B90}">
      <text>
        <r>
          <rPr>
            <sz val="8"/>
            <color indexed="81"/>
            <rFont val="Tahoma"/>
            <family val="2"/>
          </rPr>
          <t xml:space="preserve">Blind Width          Maximum Cut Out Width
For 50mm/63mm PS/PS Privacy
222 - 254mm       50mm
255 - 379mm       75mm
 &gt; 380mm             130mm
</t>
        </r>
      </text>
    </comment>
    <comment ref="D54" authorId="0" shapeId="0" xr:uid="{BE648D9F-1BEF-4FE7-9382-E5245ECEF810}">
      <text>
        <r>
          <rPr>
            <sz val="8"/>
            <color indexed="81"/>
            <rFont val="Tahoma"/>
            <family val="2"/>
          </rPr>
          <t>The Product options are;
50mm PS Blind
50mm PS Privacy Blind
63mm PS Blind
63mm PS Privacy Blind
50mm Timber Blind</t>
        </r>
      </text>
    </comment>
    <comment ref="E54" authorId="1" shapeId="0" xr:uid="{95EFC823-EEFD-4995-A832-BF174F9ECF16}">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54" authorId="1" shapeId="0" xr:uid="{0E316345-0CC1-4BB4-84E4-14BAD7D98715}">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4" authorId="1" shapeId="0" xr:uid="{47193F39-3A86-47BE-9F20-4A94072E3C6B}">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54" authorId="1" shapeId="0" xr:uid="{479FF732-24B7-466C-8DFB-DD4CA2CE4FA4}">
      <text>
        <r>
          <rPr>
            <sz val="8"/>
            <color indexed="81"/>
            <rFont val="Tahoma"/>
            <family val="2"/>
          </rPr>
          <t>When selecting a
Corner or Bay 
Window Type, 
the CMB Corner WS 
or the 
CMB Bay WS 
must be completed please.</t>
        </r>
      </text>
    </comment>
    <comment ref="J54" authorId="1" shapeId="0" xr:uid="{883179B6-8EB5-4E7C-81B1-F897FD508F9D}">
      <text>
        <r>
          <rPr>
            <sz val="8"/>
            <color indexed="81"/>
            <rFont val="Tahoma"/>
            <family val="2"/>
          </rPr>
          <t>ACT 
Actual Measurements
You have made the allowances.
NAM
No Allowances Made 
The factory will make the deductions.</t>
        </r>
      </text>
    </comment>
    <comment ref="L54" authorId="1" shapeId="0" xr:uid="{14FDEC44-8489-445D-8655-D07AFE3BEE86}">
      <text>
        <r>
          <rPr>
            <sz val="8"/>
            <color indexed="81"/>
            <rFont val="Tahoma"/>
            <family val="2"/>
          </rPr>
          <t>The Cord Lock options are;
50mm PS Privacy Blind, 
63mm PS Blind &amp; 
63mm PS Privacy Blind;
Left
Right
50mm PS Blind &amp; 
50mm Timber Blind;
Left
Right
Cordless</t>
        </r>
      </text>
    </comment>
    <comment ref="M54" authorId="1" shapeId="0" xr:uid="{E6BA2032-E379-4581-8851-5AE1220C5F5B}">
      <text>
        <r>
          <rPr>
            <sz val="8"/>
            <color indexed="81"/>
            <rFont val="Tahoma"/>
            <family val="2"/>
          </rPr>
          <t>The Tilt options are;
For Cord Lock Left &amp; Right;
Left
Right
For Cordless;
Cordless Hook Wand Left
Cordless Hook Wand Right</t>
        </r>
      </text>
    </comment>
    <comment ref="O54" authorId="1" shapeId="0" xr:uid="{F393C8BB-F077-44F3-8B2B-5F8F1A70AC36}">
      <text>
        <r>
          <rPr>
            <sz val="8"/>
            <color indexed="81"/>
            <rFont val="Tahoma"/>
            <family val="2"/>
          </rPr>
          <t>Standard is default.
Common Fascia is when the same Fascia 
is used for two Blinds.</t>
        </r>
      </text>
    </comment>
    <comment ref="Q54" authorId="1" shapeId="0" xr:uid="{7247E51C-EE59-43FD-8A79-13A55EB6C34E}">
      <text>
        <r>
          <rPr>
            <sz val="8"/>
            <color indexed="81"/>
            <rFont val="Tahoma"/>
            <family val="2"/>
          </rPr>
          <t>When left blank, 
no Cut Out applies.</t>
        </r>
      </text>
    </comment>
    <comment ref="S54" authorId="1" shapeId="0" xr:uid="{670EDEAF-BD79-44C8-899D-B16F02F5FC67}">
      <text>
        <r>
          <rPr>
            <sz val="8"/>
            <color indexed="81"/>
            <rFont val="Tahoma"/>
            <family val="2"/>
          </rPr>
          <t>Blind Width          Maximum Cut Out Width
For 50mm/63mm PS/PS Privacy
222 - 254mm       50mm
255 - 379mm       75mm
 &gt; 380mm             130mm</t>
        </r>
      </text>
    </comment>
    <comment ref="U54" authorId="1" shapeId="0" xr:uid="{286D9467-7D42-4AEB-AF68-279A1C5F0518}">
      <text>
        <r>
          <rPr>
            <sz val="8"/>
            <color indexed="81"/>
            <rFont val="Tahoma"/>
            <family val="2"/>
          </rPr>
          <t xml:space="preserve">Blind Width          Maximum Cut Out Width
For 50mm/63mm PS/PS Privacy
222 - 254mm       50mm
255 - 379mm       75mm
 &gt; 380mm             130mm
</t>
        </r>
      </text>
    </comment>
    <comment ref="D55" authorId="0" shapeId="0" xr:uid="{507BBB26-6C80-46D3-A1E3-B811092CC28F}">
      <text>
        <r>
          <rPr>
            <sz val="8"/>
            <color indexed="81"/>
            <rFont val="Tahoma"/>
            <family val="2"/>
          </rPr>
          <t>The Product options are;
50mm PS Blind
50mm PS Privacy Blind
63mm PS Blind
63mm PS Privacy Blind
50mm Timber Blind</t>
        </r>
      </text>
    </comment>
    <comment ref="E55" authorId="1" shapeId="0" xr:uid="{E180BB56-BFC6-4C44-8502-E3AA47E6C3BD}">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55" authorId="1" shapeId="0" xr:uid="{6DD2017C-B986-4679-8DFA-6761149E99D4}">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5" authorId="1" shapeId="0" xr:uid="{81A22DD9-0816-4029-BB8A-4A0E23441212}">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55" authorId="1" shapeId="0" xr:uid="{1C035533-78FD-45D1-98D2-C1701DE896FB}">
      <text>
        <r>
          <rPr>
            <sz val="8"/>
            <color indexed="81"/>
            <rFont val="Tahoma"/>
            <family val="2"/>
          </rPr>
          <t>When selecting a
Corner or Bay 
Window Type, 
the CMB Corner WS 
or the 
CMB Bay WS 
must be completed please.</t>
        </r>
      </text>
    </comment>
    <comment ref="J55" authorId="1" shapeId="0" xr:uid="{6FF02178-C3C1-49F6-99B2-5B302254366B}">
      <text>
        <r>
          <rPr>
            <sz val="8"/>
            <color indexed="81"/>
            <rFont val="Tahoma"/>
            <family val="2"/>
          </rPr>
          <t>ACT 
Actual Measurements
You have made the allowances.
NAM
No Allowances Made 
The factory will make the deductions.</t>
        </r>
      </text>
    </comment>
    <comment ref="L55" authorId="1" shapeId="0" xr:uid="{F0231A69-28D9-4363-9B60-D699215101B3}">
      <text>
        <r>
          <rPr>
            <sz val="8"/>
            <color indexed="81"/>
            <rFont val="Tahoma"/>
            <family val="2"/>
          </rPr>
          <t>The Cord Lock options are;
50mm PS Privacy Blind, 
63mm PS Blind &amp; 
63mm PS Privacy Blind;
Left
Right
50mm PS Blind &amp; 
50mm Timber Blind;
Left
Right
Cordless</t>
        </r>
      </text>
    </comment>
    <comment ref="M55" authorId="1" shapeId="0" xr:uid="{F08C6E1C-1415-40EA-BAE3-B099E32AE59E}">
      <text>
        <r>
          <rPr>
            <sz val="8"/>
            <color indexed="81"/>
            <rFont val="Tahoma"/>
            <family val="2"/>
          </rPr>
          <t>The Tilt options are;
For Cord Lock Left &amp; Right;
Left
Right
For Cordless;
Cordless Hook Wand Left
Cordless Hook Wand Right</t>
        </r>
      </text>
    </comment>
    <comment ref="O55" authorId="1" shapeId="0" xr:uid="{4E9B55D6-6A96-4A4C-953B-62C0A3958862}">
      <text>
        <r>
          <rPr>
            <sz val="8"/>
            <color indexed="81"/>
            <rFont val="Tahoma"/>
            <family val="2"/>
          </rPr>
          <t>Standard is default.
Common Fascia is when the same Fascia 
is used for two Blinds.</t>
        </r>
      </text>
    </comment>
    <comment ref="Q55" authorId="1" shapeId="0" xr:uid="{7F026ADA-5BA7-450D-901E-3DFB6F80453E}">
      <text>
        <r>
          <rPr>
            <sz val="8"/>
            <color indexed="81"/>
            <rFont val="Tahoma"/>
            <family val="2"/>
          </rPr>
          <t>When left blank, 
no Cut Out applies.</t>
        </r>
      </text>
    </comment>
    <comment ref="S55" authorId="1" shapeId="0" xr:uid="{A8EDF8AE-BD87-49E9-A210-11898A2FB3BE}">
      <text>
        <r>
          <rPr>
            <sz val="8"/>
            <color indexed="81"/>
            <rFont val="Tahoma"/>
            <family val="2"/>
          </rPr>
          <t>Blind Width          Maximum Cut Out Width
For 50mm/63mm PS/PS Privacy
222 - 254mm       50mm
255 - 379mm       75mm
 &gt; 380mm             130mm</t>
        </r>
      </text>
    </comment>
    <comment ref="U55" authorId="1" shapeId="0" xr:uid="{2E4A8576-4765-4441-BCD8-F2E614C333F1}">
      <text>
        <r>
          <rPr>
            <sz val="8"/>
            <color indexed="81"/>
            <rFont val="Tahoma"/>
            <family val="2"/>
          </rPr>
          <t xml:space="preserve">Blind Width          Maximum Cut Out Width
For 50mm/63mm PS/PS Privacy
222 - 254mm       50mm
255 - 379mm       75mm
 &gt; 380mm             130mm
</t>
        </r>
      </text>
    </comment>
    <comment ref="D56" authorId="0" shapeId="0" xr:uid="{D60F562E-63A1-4DF7-9FE5-00F764B7B944}">
      <text>
        <r>
          <rPr>
            <sz val="8"/>
            <color indexed="81"/>
            <rFont val="Tahoma"/>
            <family val="2"/>
          </rPr>
          <t>The Product options are;
50mm PS Blind
50mm PS Privacy Blind
63mm PS Blind
63mm PS Privacy Blind
50mm Timber Blind</t>
        </r>
      </text>
    </comment>
    <comment ref="E56" authorId="1" shapeId="0" xr:uid="{9ECBD221-3DE8-4BBE-B83D-4576C9FEE036}">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56" authorId="1" shapeId="0" xr:uid="{762375A7-A2C0-4889-B30F-ADAA89E3FE88}">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6" authorId="1" shapeId="0" xr:uid="{C1A43861-3B8D-4E57-924F-427F33DFBABF}">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56" authorId="1" shapeId="0" xr:uid="{63FB4500-B295-4CE2-8702-4E5328896232}">
      <text>
        <r>
          <rPr>
            <sz val="8"/>
            <color indexed="81"/>
            <rFont val="Tahoma"/>
            <family val="2"/>
          </rPr>
          <t>When selecting a
Corner or Bay 
Window Type, 
the CMB Corner WS 
or the 
CMB Bay WS 
must be completed please.</t>
        </r>
      </text>
    </comment>
    <comment ref="J56" authorId="1" shapeId="0" xr:uid="{1E5666E1-F468-44A5-926E-BFC8FA4732BF}">
      <text>
        <r>
          <rPr>
            <sz val="8"/>
            <color indexed="81"/>
            <rFont val="Tahoma"/>
            <family val="2"/>
          </rPr>
          <t>ACT 
Actual Measurements
You have made the allowances.
NAM
No Allowances Made 
The factory will make the deductions.</t>
        </r>
      </text>
    </comment>
    <comment ref="L56" authorId="1" shapeId="0" xr:uid="{8E62BDE9-0CF8-46A6-BBAB-6E6BD08E30F1}">
      <text>
        <r>
          <rPr>
            <sz val="8"/>
            <color indexed="81"/>
            <rFont val="Tahoma"/>
            <family val="2"/>
          </rPr>
          <t>The Cord Lock options are;
50mm PS Privacy Blind, 
63mm PS Blind &amp; 
63mm PS Privacy Blind;
Left
Right
50mm PS Blind &amp; 
50mm Timber Blind;
Left
Right
Cordless</t>
        </r>
      </text>
    </comment>
    <comment ref="M56" authorId="1" shapeId="0" xr:uid="{319B90D5-8382-4331-9A89-17D92BC98ED2}">
      <text>
        <r>
          <rPr>
            <sz val="8"/>
            <color indexed="81"/>
            <rFont val="Tahoma"/>
            <family val="2"/>
          </rPr>
          <t>The Tilt options are;
For Cord Lock Left &amp; Right;
Left
Right
For Cordless;
Cordless Hook Wand Left
Cordless Hook Wand Right</t>
        </r>
      </text>
    </comment>
    <comment ref="O56" authorId="1" shapeId="0" xr:uid="{C051E484-BF28-467B-B87C-05B47A2427D6}">
      <text>
        <r>
          <rPr>
            <sz val="8"/>
            <color indexed="81"/>
            <rFont val="Tahoma"/>
            <family val="2"/>
          </rPr>
          <t>Standard is default.
Common Fascia is when the same Fascia 
is used for two Blinds.</t>
        </r>
      </text>
    </comment>
    <comment ref="Q56" authorId="1" shapeId="0" xr:uid="{DFE35010-9983-402C-BA50-2837A45DF17A}">
      <text>
        <r>
          <rPr>
            <sz val="8"/>
            <color indexed="81"/>
            <rFont val="Tahoma"/>
            <family val="2"/>
          </rPr>
          <t>When left blank, 
no Cut Out applies.</t>
        </r>
      </text>
    </comment>
    <comment ref="S56" authorId="1" shapeId="0" xr:uid="{F0F80F23-0058-4A3E-83EC-E1A686581772}">
      <text>
        <r>
          <rPr>
            <sz val="8"/>
            <color indexed="81"/>
            <rFont val="Tahoma"/>
            <family val="2"/>
          </rPr>
          <t>Blind Width          Maximum Cut Out Width
For 50mm/63mm PS/PS Privacy
222 - 254mm       50mm
255 - 379mm       75mm
 &gt; 380mm             130mm</t>
        </r>
      </text>
    </comment>
    <comment ref="U56" authorId="1" shapeId="0" xr:uid="{FAF42B4B-1C4B-4820-87C5-70AD3A1F7CEA}">
      <text>
        <r>
          <rPr>
            <sz val="8"/>
            <color indexed="81"/>
            <rFont val="Tahoma"/>
            <family val="2"/>
          </rPr>
          <t xml:space="preserve">Blind Width          Maximum Cut Out Width
For 50mm/63mm PS/PS Privacy
222 - 254mm       50mm
255 - 379mm       75mm
 &gt; 380mm             130mm
</t>
        </r>
      </text>
    </comment>
    <comment ref="D57" authorId="0" shapeId="0" xr:uid="{EB69BEDE-F9BC-48E8-9DDB-B9568A834191}">
      <text>
        <r>
          <rPr>
            <sz val="8"/>
            <color indexed="81"/>
            <rFont val="Tahoma"/>
            <family val="2"/>
          </rPr>
          <t>The Product options are;
50mm PS Blind
50mm PS Privacy Blind
63mm PS Blind
63mm PS Privacy Blind
50mm Timber Blind</t>
        </r>
      </text>
    </comment>
    <comment ref="E57" authorId="1" shapeId="0" xr:uid="{41425918-F23B-4FD1-B5F9-4888201FF533}">
      <text>
        <r>
          <rPr>
            <sz val="8"/>
            <color indexed="81"/>
            <rFont val="Tahoma"/>
            <family val="2"/>
          </rPr>
          <t>The Product Colour options are;
50mm PS Blind &amp; 
50mm PS Privacy Blind;
50mm Bright White
50mm Classic White
50mm Earl Grey
50mm Snow White
50mm Super White
63mm PS Blind &amp; 
63mm PS Privacy Blind;
63mm Snow White
63mm Super White
50mm Timber Blind;
50mm Beechwood
50mm Cedar Image Medium
50mm Maple
50mm Riva
50mm Walnut</t>
        </r>
      </text>
    </comment>
    <comment ref="F57" authorId="1" shapeId="0" xr:uid="{F7C83593-4F54-4C4B-BA84-967A2CC81AFA}">
      <text>
        <r>
          <rPr>
            <sz val="8"/>
            <color indexed="81"/>
            <rFont val="Tahoma"/>
            <family val="2"/>
          </rPr>
          <t xml:space="preserve">The Minimum Width is 222mm.
The Maximum Width for Standard PS 
&amp; Privacy Blinds is 3000mm. 
The Maximum Width for Cordless 
&amp; Timber Blinds is 2400mm.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G57" authorId="1" shapeId="0" xr:uid="{1AA3F7BB-5071-4F25-96DB-F73C1B023D73}">
      <text>
        <r>
          <rPr>
            <sz val="8"/>
            <color indexed="81"/>
            <rFont val="Tahoma"/>
            <family val="2"/>
          </rPr>
          <t xml:space="preserve">The Minimum Height/Drop 
is 200mm.
The Maximum Height/Drop for Standard PS 
&amp; Privacy Blinds is 3000mm. 
The Maximum Height/Drop for Cordless 
&amp; Timber Blinds is 2400mm. 
</t>
        </r>
        <r>
          <rPr>
            <i/>
            <sz val="8"/>
            <color indexed="81"/>
            <rFont val="Tahoma"/>
            <family val="2"/>
          </rPr>
          <t>Please note; when Blinds are ordered 
near the maximum size specifications, 
the weight can affect the operation of the Blind.</t>
        </r>
      </text>
    </comment>
    <comment ref="H57" authorId="1" shapeId="0" xr:uid="{434105DE-C4B8-40B0-9566-C7240C81FB55}">
      <text>
        <r>
          <rPr>
            <sz val="8"/>
            <color indexed="81"/>
            <rFont val="Tahoma"/>
            <family val="2"/>
          </rPr>
          <t>When selecting a
Corner or Bay 
Window Type, 
the CMB Corner WS 
or the 
CMB Bay WS 
must be completed please.</t>
        </r>
      </text>
    </comment>
    <comment ref="J57" authorId="1" shapeId="0" xr:uid="{A2077D48-D538-41D0-AB08-1477273E226C}">
      <text>
        <r>
          <rPr>
            <sz val="8"/>
            <color indexed="81"/>
            <rFont val="Tahoma"/>
            <family val="2"/>
          </rPr>
          <t>ACT 
Actual Measurements
You have made the allowances.
NAM
No Allowances Made 
The factory will make the deductions.</t>
        </r>
      </text>
    </comment>
    <comment ref="L57" authorId="1" shapeId="0" xr:uid="{15FBC1B0-5275-4FE6-815D-3FCB8896732E}">
      <text>
        <r>
          <rPr>
            <sz val="8"/>
            <color indexed="81"/>
            <rFont val="Tahoma"/>
            <family val="2"/>
          </rPr>
          <t>The Cord Lock options are;
50mm PS Privacy Blind, 
63mm PS Blind &amp; 
63mm PS Privacy Blind;
Left
Right
50mm PS Blind &amp; 
50mm Timber Blind;
Left
Right
Cordless</t>
        </r>
      </text>
    </comment>
    <comment ref="M57" authorId="1" shapeId="0" xr:uid="{1346B92B-D4C4-4780-9B58-C27CFD80A528}">
      <text>
        <r>
          <rPr>
            <sz val="8"/>
            <color indexed="81"/>
            <rFont val="Tahoma"/>
            <family val="2"/>
          </rPr>
          <t>The Tilt options are;
For Cord Lock Left &amp; Right;
Left
Right
For Cordless;
Cordless Hook Wand Left
Cordless Hook Wand Right</t>
        </r>
      </text>
    </comment>
    <comment ref="O57" authorId="1" shapeId="0" xr:uid="{F886D7A7-7EB8-4FB3-9FA5-F157880B38C3}">
      <text>
        <r>
          <rPr>
            <sz val="8"/>
            <color indexed="81"/>
            <rFont val="Tahoma"/>
            <family val="2"/>
          </rPr>
          <t>Standard is default.
Common Fascia is when the same Fascia 
is used for two Blinds.</t>
        </r>
      </text>
    </comment>
    <comment ref="Q57" authorId="1" shapeId="0" xr:uid="{311BD58D-756B-49E7-AC87-A91A0A5F557E}">
      <text>
        <r>
          <rPr>
            <sz val="8"/>
            <color indexed="81"/>
            <rFont val="Tahoma"/>
            <family val="2"/>
          </rPr>
          <t>When left blank, 
no Cut Out applies.</t>
        </r>
      </text>
    </comment>
    <comment ref="S57" authorId="1" shapeId="0" xr:uid="{6C7B1E06-FA21-4477-9F8D-02A7DD99B862}">
      <text>
        <r>
          <rPr>
            <sz val="8"/>
            <color indexed="81"/>
            <rFont val="Tahoma"/>
            <family val="2"/>
          </rPr>
          <t>Blind Width          Maximum Cut Out Width
For 50mm/63mm PS/PS Privacy
222 - 254mm       50mm
255 - 379mm       75mm
 &gt; 380mm             130mm</t>
        </r>
      </text>
    </comment>
    <comment ref="U57" authorId="1" shapeId="0" xr:uid="{55626869-C9B9-4C29-A22C-70CBD1F71A92}">
      <text>
        <r>
          <rPr>
            <sz val="8"/>
            <color indexed="81"/>
            <rFont val="Tahoma"/>
            <family val="2"/>
          </rPr>
          <t xml:space="preserve">Blind Width          Maximum Cut Out Width
For 50mm/63mm PS/PS Privacy
222 - 254mm       50mm
255 - 379mm       75mm
 &gt; 380mm             130mm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PWD</author>
    <author>Tony Sinke</author>
  </authors>
  <commentList>
    <comment ref="D7" authorId="0" shapeId="0" xr:uid="{A72DE73E-00A6-43D0-A273-2811EBFAC2B5}">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7" authorId="0" shapeId="0" xr:uid="{F11B98E0-6F98-41F8-AA88-3563CB333EC2}">
      <text>
        <r>
          <rPr>
            <sz val="8"/>
            <color indexed="81"/>
            <rFont val="Tahoma"/>
            <family val="2"/>
          </rPr>
          <t>Product options are;
25mm Single Cellular Blind
38mm Single Cellular Blind
45mm Single Cellular Blind
38mm Double Cellular Blind
45mm Single Cellular Cell In A Cell Blind</t>
        </r>
      </text>
    </comment>
    <comment ref="F7" authorId="0" shapeId="0" xr:uid="{FE8BE690-93C1-42AD-B34A-04DCA32CDC73}">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7" authorId="0" shapeId="0" xr:uid="{319A1D88-D058-4333-9410-CF41FB48EED6}">
      <text>
        <r>
          <rPr>
            <sz val="8"/>
            <color indexed="81"/>
            <rFont val="Tahoma"/>
            <family val="2"/>
          </rPr>
          <t>The Colour is dependent on the 
Fabric option selected. 
For a Day Night Blind, 
this Colour is for the 
Top Blind which can be either 
Blockout or Translucent.</t>
        </r>
      </text>
    </comment>
    <comment ref="H7" authorId="0" shapeId="0" xr:uid="{307E92E3-4CE4-48A5-AC0F-45D674BE0F09}">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7" authorId="0" shapeId="0" xr:uid="{3F1E407D-A8B2-4AA5-A727-860D9C309F82}">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7" authorId="0" shapeId="0" xr:uid="{AE54E3FC-1292-4F7E-AC51-E4018DECF83C}">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7" authorId="0" shapeId="0" xr:uid="{8B61E12B-C71F-499D-AED4-3F4B0EF5D3FB}">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7" authorId="0" shapeId="0" xr:uid="{B883E6EF-3EF6-4EA7-A464-DBD11FEB175B}">
      <text>
        <r>
          <rPr>
            <sz val="8"/>
            <color indexed="81"/>
            <rFont val="Tahoma"/>
            <family val="2"/>
          </rPr>
          <t xml:space="preserve">Recess &amp; NAM must be selected 
when ordering Side Channels. 
The factory will take standard deductions. </t>
        </r>
      </text>
    </comment>
    <comment ref="M7" authorId="0" shapeId="0" xr:uid="{D6575E69-623A-4F47-9228-18CC10E8D728}">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7" authorId="0" shapeId="0" xr:uid="{512FDFDC-0926-48B3-BF9F-56943237CE53}">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7" authorId="0" shapeId="0" xr:uid="{F6331D7F-15F9-4019-AEDC-0AE12468F5C2}">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7" authorId="0" shapeId="0" xr:uid="{E6891228-7AB3-4F63-8308-58779BFBEAEF}">
      <text>
        <r>
          <rPr>
            <sz val="8"/>
            <color indexed="81"/>
            <rFont val="Tahoma"/>
            <family val="2"/>
          </rPr>
          <t xml:space="preserve">The Motor Power Side options for 
Motors With Power Adapters are;
Left
Right
The Motor Power Side for USB-C 
Power Adaptors must match 
the side of the Wand. </t>
        </r>
      </text>
    </comment>
    <comment ref="R7" authorId="0" shapeId="0" xr:uid="{4BF5C597-5652-470F-9E3B-296B9906CED8}">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7" authorId="1" shapeId="0" xr:uid="{265591CD-A7EE-4476-8EF9-D911036CFEF8}">
      <text>
        <r>
          <rPr>
            <sz val="9"/>
            <color indexed="81"/>
            <rFont val="Tahoma"/>
            <family val="2"/>
          </rPr>
          <t xml:space="preserve">
The Side Channel Colour 
options are;
Black
Ivory/Classic White
Gray/Earl Gray
White/Snow White</t>
        </r>
      </text>
    </comment>
    <comment ref="T7" authorId="0" shapeId="0" xr:uid="{486FA338-54E9-4E56-A985-9BFDAB449968}">
      <text>
        <r>
          <rPr>
            <sz val="8"/>
            <color indexed="81"/>
            <rFont val="Tahoma"/>
            <family val="2"/>
          </rPr>
          <t>If the Blind m2 is 
oversized, then 
"Check Size" 
will be listed.</t>
        </r>
      </text>
    </comment>
    <comment ref="U7" authorId="0" shapeId="0" xr:uid="{C6CB7215-8CAD-4D26-AA4E-EE827F0237FC}">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7" authorId="0" shapeId="0" xr:uid="{33C115DB-F775-4232-BF30-ABE667E7A716}">
      <text>
        <r>
          <rPr>
            <sz val="8"/>
            <color indexed="81"/>
            <rFont val="Tahoma"/>
            <family val="2"/>
          </rPr>
          <t>Please use this section 
to specify 
any Special Requirements
for the Line/Order.</t>
        </r>
      </text>
    </comment>
    <comment ref="D8" authorId="0" shapeId="0" xr:uid="{395C6EF7-1899-409B-9B1F-03F1473FFBE7}">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8" authorId="0" shapeId="0" xr:uid="{E42F9083-254E-4A7F-BF04-278B32B2F7D3}">
      <text>
        <r>
          <rPr>
            <sz val="8"/>
            <color indexed="81"/>
            <rFont val="Tahoma"/>
            <family val="2"/>
          </rPr>
          <t>Product options are;
25mm Single Cellular Blind
38mm Single Cellular Blind
45mm Single Cellular Blind
38mm Double Cellular Blind
45mm Single Cellular Cell In A Cell Blind</t>
        </r>
      </text>
    </comment>
    <comment ref="F8" authorId="0" shapeId="0" xr:uid="{6CFC7DF3-F08C-42BB-9F86-A1C8BF2A8967}">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8" authorId="0" shapeId="0" xr:uid="{446EAAE3-5901-4D24-ACB0-E339E2AE0943}">
      <text>
        <r>
          <rPr>
            <sz val="8"/>
            <color indexed="81"/>
            <rFont val="Tahoma"/>
            <family val="2"/>
          </rPr>
          <t>The Colour is dependent on the 
Fabric option selected. 
For a Day Night Blind, 
this Colour is for the 
Top Blind which can be either 
Blockout or Translucent.</t>
        </r>
      </text>
    </comment>
    <comment ref="H8" authorId="0" shapeId="0" xr:uid="{5D530517-C501-4B26-8091-BDB8F3A2A526}">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8" authorId="0" shapeId="0" xr:uid="{BCD7CA63-A86F-4FB7-91C5-0CB00B0BAFB9}">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8" authorId="0" shapeId="0" xr:uid="{61267B98-70E1-427B-A716-3C6FCD11F817}">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8" authorId="0" shapeId="0" xr:uid="{1E38EDE5-E9AB-4580-9E93-B1522A916367}">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8" authorId="0" shapeId="0" xr:uid="{6E6CF7B3-1B64-4877-AD77-20FD128F445E}">
      <text>
        <r>
          <rPr>
            <sz val="8"/>
            <color indexed="81"/>
            <rFont val="Tahoma"/>
            <family val="2"/>
          </rPr>
          <t xml:space="preserve">Recess &amp; NAM must be selected 
when ordering Side Channels. 
The factory will take standard deductions. </t>
        </r>
      </text>
    </comment>
    <comment ref="M8" authorId="0" shapeId="0" xr:uid="{BC08FB00-C0F0-499E-AFAF-1BD9A859199F}">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8" authorId="0" shapeId="0" xr:uid="{8D1BDC29-8D9A-4F92-88E1-C470691EADEA}">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8" authorId="0" shapeId="0" xr:uid="{37E7C36B-38C0-46F5-B524-B5858226C595}">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8" authorId="0" shapeId="0" xr:uid="{F1FB9AFF-D9CC-4203-8011-23672B863401}">
      <text>
        <r>
          <rPr>
            <sz val="8"/>
            <color indexed="81"/>
            <rFont val="Tahoma"/>
            <family val="2"/>
          </rPr>
          <t xml:space="preserve">The Motor Power Side options for 
Motors With Power Adapters are;
Left
Right
The Motor Power Side for USB-C 
Power Adaptors must match 
the side of the Wand. </t>
        </r>
      </text>
    </comment>
    <comment ref="R8" authorId="0" shapeId="0" xr:uid="{AD5CF793-E865-4610-B603-E4AB50E42438}">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8" authorId="1" shapeId="0" xr:uid="{E371FF44-108C-4ED1-9724-18A6B9E6D2D2}">
      <text>
        <r>
          <rPr>
            <sz val="9"/>
            <color indexed="81"/>
            <rFont val="Tahoma"/>
            <family val="2"/>
          </rPr>
          <t xml:space="preserve">
The Side Channel Colour 
options are;
Black
Ivory/Classic White
Gray/Earl Gray
White/Snow White</t>
        </r>
      </text>
    </comment>
    <comment ref="T8" authorId="0" shapeId="0" xr:uid="{D33FC26D-55DD-4495-A862-B1897F727C62}">
      <text>
        <r>
          <rPr>
            <sz val="8"/>
            <color indexed="81"/>
            <rFont val="Tahoma"/>
            <family val="2"/>
          </rPr>
          <t>If the Blind m2 is 
oversized, then 
"Check Size" 
will be listed.</t>
        </r>
      </text>
    </comment>
    <comment ref="U8" authorId="0" shapeId="0" xr:uid="{A4B7B993-00AD-481B-ABA4-8DFA6863D0CC}">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8" authorId="0" shapeId="0" xr:uid="{5950046B-9C8C-4CCB-85EA-3C7B141D7BCF}">
      <text>
        <r>
          <rPr>
            <sz val="8"/>
            <color indexed="81"/>
            <rFont val="Tahoma"/>
            <family val="2"/>
          </rPr>
          <t>Please use this section 
to specify 
any Special Requirements
for the Line/Order.</t>
        </r>
      </text>
    </comment>
    <comment ref="D9" authorId="0" shapeId="0" xr:uid="{ABB8A5A9-CE66-4427-B3DA-6CF3493E83E7}">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9" authorId="0" shapeId="0" xr:uid="{6B7B8271-0225-4DBE-A986-E031E1045486}">
      <text>
        <r>
          <rPr>
            <sz val="8"/>
            <color indexed="81"/>
            <rFont val="Tahoma"/>
            <family val="2"/>
          </rPr>
          <t>Product options are;
25mm Single Cellular Blind
38mm Single Cellular Blind
45mm Single Cellular Blind
38mm Double Cellular Blind
45mm Single Cellular Cell In A Cell Blind</t>
        </r>
      </text>
    </comment>
    <comment ref="F9" authorId="0" shapeId="0" xr:uid="{3F6EC033-00CF-485F-B378-77A56D993C6A}">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9" authorId="0" shapeId="0" xr:uid="{52EAEB7F-6B44-4FA1-9774-3D55CD5487D2}">
      <text>
        <r>
          <rPr>
            <sz val="8"/>
            <color indexed="81"/>
            <rFont val="Tahoma"/>
            <family val="2"/>
          </rPr>
          <t>The Colour is dependent on the 
Fabric option selected. 
For a Day Night Blind, 
this Colour is for the 
Top Blind which can be either 
Blockout or Translucent.</t>
        </r>
      </text>
    </comment>
    <comment ref="H9" authorId="0" shapeId="0" xr:uid="{1AF37A06-1D86-4EBF-8B95-EA92B4C5AEEE}">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9" authorId="0" shapeId="0" xr:uid="{7F28B9FA-E9F6-474F-B80B-527CCB0471B8}">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9" authorId="0" shapeId="0" xr:uid="{6F44B2EA-6295-4B42-8CF4-BCF97941B846}">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9" authorId="0" shapeId="0" xr:uid="{01E27A30-BA0C-4A0C-A0AB-45F74BFB0316}">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9" authorId="0" shapeId="0" xr:uid="{38903553-E732-448B-9A27-643AF8C10658}">
      <text>
        <r>
          <rPr>
            <sz val="8"/>
            <color indexed="81"/>
            <rFont val="Tahoma"/>
            <family val="2"/>
          </rPr>
          <t xml:space="preserve">Recess &amp; NAM must be selected 
when ordering Side Channels. 
The factory will take standard deductions. </t>
        </r>
      </text>
    </comment>
    <comment ref="M9" authorId="0" shapeId="0" xr:uid="{D8AC4B2A-3F75-4D89-BAE9-05120CE46CD0}">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9" authorId="0" shapeId="0" xr:uid="{C0FFB4D9-D0A0-484C-9735-471FFB2C246A}">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9" authorId="0" shapeId="0" xr:uid="{5E80561D-948F-45EC-9226-E28FC8CB90E4}">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9" authorId="0" shapeId="0" xr:uid="{B2A5E2CE-D3CB-4FB5-A1C4-620C4FA38EDC}">
      <text>
        <r>
          <rPr>
            <sz val="8"/>
            <color indexed="81"/>
            <rFont val="Tahoma"/>
            <family val="2"/>
          </rPr>
          <t xml:space="preserve">The Motor Power Side options for 
Motors With Power Adapters are;
Left
Right
The Motor Power Side for USB-C 
Power Adaptors must match 
the side of the Wand. </t>
        </r>
      </text>
    </comment>
    <comment ref="R9" authorId="0" shapeId="0" xr:uid="{926FE680-2B81-4945-82BE-087CB2229B3A}">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9" authorId="1" shapeId="0" xr:uid="{27EE6A5C-D12B-476C-91D9-105F113A41B7}">
      <text>
        <r>
          <rPr>
            <sz val="9"/>
            <color indexed="81"/>
            <rFont val="Tahoma"/>
            <family val="2"/>
          </rPr>
          <t xml:space="preserve">
The Side Channel Colour 
options are;
Black
Ivory/Classic White
Gray/Earl Gray
White/Snow White</t>
        </r>
      </text>
    </comment>
    <comment ref="T9" authorId="0" shapeId="0" xr:uid="{3EE768A8-D241-44F8-8446-556E9BBA97B9}">
      <text>
        <r>
          <rPr>
            <sz val="8"/>
            <color indexed="81"/>
            <rFont val="Tahoma"/>
            <family val="2"/>
          </rPr>
          <t>If the Blind m2 is 
oversized, then 
"Check Size" 
will be listed.</t>
        </r>
      </text>
    </comment>
    <comment ref="U9" authorId="0" shapeId="0" xr:uid="{23B9EC5C-C52D-402A-B6D1-CF1CA80379B3}">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9" authorId="0" shapeId="0" xr:uid="{0FA1F97E-F96A-49AB-8094-BD3FE812DAC5}">
      <text>
        <r>
          <rPr>
            <sz val="8"/>
            <color indexed="81"/>
            <rFont val="Tahoma"/>
            <family val="2"/>
          </rPr>
          <t>Please use this section 
to specify 
any Special Requirements
for the Line/Order.</t>
        </r>
      </text>
    </comment>
    <comment ref="D10" authorId="0" shapeId="0" xr:uid="{084987E0-6693-4F99-B6FF-8CD77F765359}">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10" authorId="0" shapeId="0" xr:uid="{70FB3F5C-72F0-402F-83E5-C99819F365EB}">
      <text>
        <r>
          <rPr>
            <sz val="8"/>
            <color indexed="81"/>
            <rFont val="Tahoma"/>
            <family val="2"/>
          </rPr>
          <t>Product options are;
25mm Single Cellular Blind
38mm Single Cellular Blind
45mm Single Cellular Blind
38mm Double Cellular Blind
45mm Single Cellular Cell In A Cell Blind</t>
        </r>
      </text>
    </comment>
    <comment ref="F10" authorId="0" shapeId="0" xr:uid="{9300FAA5-BA46-4922-9FAE-515EE34A79C1}">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10" authorId="0" shapeId="0" xr:uid="{BDE42541-B051-4E8B-B5A7-F4D67095559D}">
      <text>
        <r>
          <rPr>
            <sz val="8"/>
            <color indexed="81"/>
            <rFont val="Tahoma"/>
            <family val="2"/>
          </rPr>
          <t>The Colour is dependent on the 
Fabric option selected. 
For a Day Night Blind, 
this Colour is for the 
Top Blind which can be either 
Blockout or Translucent.</t>
        </r>
      </text>
    </comment>
    <comment ref="H10" authorId="0" shapeId="0" xr:uid="{0D64A12F-D923-4B06-A38C-C25FC149FF24}">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10" authorId="0" shapeId="0" xr:uid="{CB18398E-DB26-4FCD-9D91-9DEA1421A941}">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10" authorId="0" shapeId="0" xr:uid="{5B0B0CCD-C0BB-41E0-9044-52B1E626C7A3}">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10" authorId="0" shapeId="0" xr:uid="{94F11959-EDDC-422B-A0D7-0C378195D1E2}">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10" authorId="0" shapeId="0" xr:uid="{5308D1B9-E36A-4714-BA47-B8DD0F497CE9}">
      <text>
        <r>
          <rPr>
            <sz val="8"/>
            <color indexed="81"/>
            <rFont val="Tahoma"/>
            <family val="2"/>
          </rPr>
          <t xml:space="preserve">Recess &amp; NAM must be selected 
when ordering Side Channels. 
The factory will take standard deductions. </t>
        </r>
      </text>
    </comment>
    <comment ref="M10" authorId="0" shapeId="0" xr:uid="{841727D9-0081-4AB4-BF9C-C0737F53FCFA}">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10" authorId="0" shapeId="0" xr:uid="{1561E56A-BD54-45C2-B6F2-E2FD895378CB}">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10" authorId="0" shapeId="0" xr:uid="{D8348CF7-2EEF-4010-A78C-2F145DF2B87C}">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10" authorId="0" shapeId="0" xr:uid="{260A1D8A-8A38-4361-9E13-BA06D5F261A5}">
      <text>
        <r>
          <rPr>
            <sz val="8"/>
            <color indexed="81"/>
            <rFont val="Tahoma"/>
            <family val="2"/>
          </rPr>
          <t xml:space="preserve">The Motor Power Side options for 
Motors With Power Adapters are;
Left
Right
The Motor Power Side for USB-C 
Power Adaptors must match 
the side of the Wand. </t>
        </r>
      </text>
    </comment>
    <comment ref="R10" authorId="0" shapeId="0" xr:uid="{0A087E89-C68F-4EF4-BEEC-8747610FAAB7}">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10" authorId="1" shapeId="0" xr:uid="{EA116320-0634-4ED5-936E-0FF3EA10934C}">
      <text>
        <r>
          <rPr>
            <sz val="9"/>
            <color indexed="81"/>
            <rFont val="Tahoma"/>
            <family val="2"/>
          </rPr>
          <t xml:space="preserve">
The Side Channel Colour 
options are;
Black
Ivory/Classic White
Gray/Earl Gray
White/Snow White</t>
        </r>
      </text>
    </comment>
    <comment ref="T10" authorId="0" shapeId="0" xr:uid="{FFF7E958-32F0-4318-8619-A6F23278125C}">
      <text>
        <r>
          <rPr>
            <sz val="8"/>
            <color indexed="81"/>
            <rFont val="Tahoma"/>
            <family val="2"/>
          </rPr>
          <t>If the Blind m2 is 
oversized, then 
"Check Size" 
will be listed.</t>
        </r>
      </text>
    </comment>
    <comment ref="U10" authorId="0" shapeId="0" xr:uid="{1879F147-9A7D-4968-A61C-24B2EA25490A}">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10" authorId="0" shapeId="0" xr:uid="{4024D404-0ABE-4095-942E-0073C3DD5018}">
      <text>
        <r>
          <rPr>
            <sz val="8"/>
            <color indexed="81"/>
            <rFont val="Tahoma"/>
            <family val="2"/>
          </rPr>
          <t>Please use this section 
to specify 
any Special Requirements
for the Line/Order.</t>
        </r>
      </text>
    </comment>
    <comment ref="D11" authorId="0" shapeId="0" xr:uid="{DA12751A-B470-46E1-9D5D-83AD9B2AB8D2}">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11" authorId="0" shapeId="0" xr:uid="{9EA224F8-C2B1-4EF7-8E42-BEA4BC44BB40}">
      <text>
        <r>
          <rPr>
            <sz val="8"/>
            <color indexed="81"/>
            <rFont val="Tahoma"/>
            <family val="2"/>
          </rPr>
          <t>Product options are;
25mm Single Cellular Blind
38mm Single Cellular Blind
45mm Single Cellular Blind
38mm Double Cellular Blind
45mm Single Cellular Cell In A Cell Blind</t>
        </r>
      </text>
    </comment>
    <comment ref="F11" authorId="0" shapeId="0" xr:uid="{FF3589E1-F9B2-488C-A4BF-B0F43AF6052E}">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11" authorId="0" shapeId="0" xr:uid="{711044E7-BD9D-4FD3-A0E2-8408F77DFB4A}">
      <text>
        <r>
          <rPr>
            <sz val="8"/>
            <color indexed="81"/>
            <rFont val="Tahoma"/>
            <family val="2"/>
          </rPr>
          <t>The Colour is dependent on the 
Fabric option selected. 
For a Day Night Blind, 
this Colour is for the 
Top Blind which can be either 
Blockout or Translucent.</t>
        </r>
      </text>
    </comment>
    <comment ref="H11" authorId="0" shapeId="0" xr:uid="{DD59E9F9-D578-48B4-BF18-144E01347E01}">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11" authorId="0" shapeId="0" xr:uid="{84B466FE-C423-48D0-8D52-85589ACE6036}">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11" authorId="0" shapeId="0" xr:uid="{B96B209C-83B1-4E61-9E85-172AC655E3A6}">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11" authorId="0" shapeId="0" xr:uid="{61B3F40B-254C-4A6B-9F49-670DA9957235}">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11" authorId="0" shapeId="0" xr:uid="{AFE6FD7D-F34B-4973-8B7D-CF719A3C7517}">
      <text>
        <r>
          <rPr>
            <sz val="8"/>
            <color indexed="81"/>
            <rFont val="Tahoma"/>
            <family val="2"/>
          </rPr>
          <t xml:space="preserve">Recess &amp; NAM must be selected 
when ordering Side Channels. 
The factory will take standard deductions. </t>
        </r>
      </text>
    </comment>
    <comment ref="M11" authorId="0" shapeId="0" xr:uid="{854F4B24-79C0-4391-9C51-94897F77005E}">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11" authorId="0" shapeId="0" xr:uid="{65D4EE20-55B2-4C2A-BEDC-8F0ACD954742}">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11" authorId="0" shapeId="0" xr:uid="{C4965A2F-ED16-492B-AE2A-3C75FB1A61ED}">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11" authorId="0" shapeId="0" xr:uid="{3E78D518-97D4-4A24-A7CB-E2349E439377}">
      <text>
        <r>
          <rPr>
            <sz val="8"/>
            <color indexed="81"/>
            <rFont val="Tahoma"/>
            <family val="2"/>
          </rPr>
          <t xml:space="preserve">The Motor Power Side options for 
Motors With Power Adapters are;
Left
Right
The Motor Power Side for USB-C 
Power Adaptors must match 
the side of the Wand. </t>
        </r>
      </text>
    </comment>
    <comment ref="R11" authorId="0" shapeId="0" xr:uid="{F30B4216-3AB6-4D83-89AC-00B08EE279F4}">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11" authorId="1" shapeId="0" xr:uid="{F43E1902-7CAF-4FF0-BEF4-48F7C5AFE27B}">
      <text>
        <r>
          <rPr>
            <sz val="9"/>
            <color indexed="81"/>
            <rFont val="Tahoma"/>
            <family val="2"/>
          </rPr>
          <t xml:space="preserve">
The Side Channel Colour 
options are;
Black
Ivory/Classic White
Gray/Earl Gray
White/Snow White</t>
        </r>
      </text>
    </comment>
    <comment ref="T11" authorId="0" shapeId="0" xr:uid="{60C7753A-C20E-49EB-B126-13EE57A8F259}">
      <text>
        <r>
          <rPr>
            <sz val="8"/>
            <color indexed="81"/>
            <rFont val="Tahoma"/>
            <family val="2"/>
          </rPr>
          <t>If the Blind m2 is 
oversized, then 
"Check Size" 
will be listed.</t>
        </r>
      </text>
    </comment>
    <comment ref="U11" authorId="0" shapeId="0" xr:uid="{5A4E42A1-9CBF-48C6-8D3F-E8EDFF349665}">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11" authorId="0" shapeId="0" xr:uid="{C4447A9A-D9FE-4652-B9FE-394BF6080B6E}">
      <text>
        <r>
          <rPr>
            <sz val="8"/>
            <color indexed="81"/>
            <rFont val="Tahoma"/>
            <family val="2"/>
          </rPr>
          <t>Please use this section 
to specify 
any Special Requirements
for the Line/Order.</t>
        </r>
      </text>
    </comment>
    <comment ref="D12" authorId="0" shapeId="0" xr:uid="{539659E5-1C43-4E79-9AC3-6A67BCADA6A2}">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12" authorId="0" shapeId="0" xr:uid="{392F4B8D-CEE9-4597-82DF-477475942785}">
      <text>
        <r>
          <rPr>
            <sz val="8"/>
            <color indexed="81"/>
            <rFont val="Tahoma"/>
            <family val="2"/>
          </rPr>
          <t>Product options are;
25mm Single Cellular Blind
38mm Single Cellular Blind
45mm Single Cellular Blind
38mm Double Cellular Blind
45mm Single Cellular Cell In A Cell Blind</t>
        </r>
      </text>
    </comment>
    <comment ref="F12" authorId="0" shapeId="0" xr:uid="{0484E3D9-5B64-4EC4-9EC1-175E12AB9B54}">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12" authorId="0" shapeId="0" xr:uid="{3BF677DA-99DA-4A10-82EB-6770B59A5692}">
      <text>
        <r>
          <rPr>
            <sz val="8"/>
            <color indexed="81"/>
            <rFont val="Tahoma"/>
            <family val="2"/>
          </rPr>
          <t>The Colour is dependent on the 
Fabric option selected. 
For a Day Night Blind, 
this Colour is for the 
Top Blind which can be either 
Blockout or Translucent.</t>
        </r>
      </text>
    </comment>
    <comment ref="H12" authorId="0" shapeId="0" xr:uid="{3A75DB7E-57DE-4851-BCCC-DD261CA7BA3F}">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12" authorId="0" shapeId="0" xr:uid="{1B4957A8-CA19-41FA-8A1D-8BF730B2E418}">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12" authorId="0" shapeId="0" xr:uid="{A6FAF1A8-1E26-4138-A931-0278A71D67CF}">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12" authorId="0" shapeId="0" xr:uid="{5DADACFF-3472-449D-9F0B-39EC19BB4281}">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12" authorId="0" shapeId="0" xr:uid="{5E925348-44DA-487E-8361-20AC7C6447EB}">
      <text>
        <r>
          <rPr>
            <sz val="8"/>
            <color indexed="81"/>
            <rFont val="Tahoma"/>
            <family val="2"/>
          </rPr>
          <t xml:space="preserve">Recess &amp; NAM must be selected 
when ordering Side Channels. 
The factory will take standard deductions. </t>
        </r>
      </text>
    </comment>
    <comment ref="M12" authorId="0" shapeId="0" xr:uid="{098AA46B-2FF3-4430-B0D6-50D9DA22FBB5}">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12" authorId="0" shapeId="0" xr:uid="{1C083360-4753-4516-B76D-E6B4F0E9C7B3}">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12" authorId="0" shapeId="0" xr:uid="{025110ED-F8F2-4DF5-8EC6-10450CBA76A0}">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12" authorId="0" shapeId="0" xr:uid="{8A343D55-3E4F-4693-9D51-BE9893626E40}">
      <text>
        <r>
          <rPr>
            <sz val="8"/>
            <color indexed="81"/>
            <rFont val="Tahoma"/>
            <family val="2"/>
          </rPr>
          <t xml:space="preserve">The Motor Power Side options for 
Motors With Power Adapters are;
Left
Right
The Motor Power Side for USB-C 
Power Adaptors must match 
the side of the Wand. </t>
        </r>
      </text>
    </comment>
    <comment ref="R12" authorId="0" shapeId="0" xr:uid="{28D63464-2D53-4E0E-9A18-7725A70EF3EE}">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12" authorId="1" shapeId="0" xr:uid="{7B5DBE4B-9A66-4D18-B3B0-A64C506D15C8}">
      <text>
        <r>
          <rPr>
            <sz val="9"/>
            <color indexed="81"/>
            <rFont val="Tahoma"/>
            <family val="2"/>
          </rPr>
          <t xml:space="preserve">
The Side Channel Colour 
options are;
Black
Ivory/Classic White
Gray/Earl Gray
White/Snow White</t>
        </r>
      </text>
    </comment>
    <comment ref="T12" authorId="0" shapeId="0" xr:uid="{AE91827B-3564-4B09-A8B7-B701B150103F}">
      <text>
        <r>
          <rPr>
            <sz val="8"/>
            <color indexed="81"/>
            <rFont val="Tahoma"/>
            <family val="2"/>
          </rPr>
          <t>If the Blind m2 is 
oversized, then 
"Check Size" 
will be listed.</t>
        </r>
      </text>
    </comment>
    <comment ref="U12" authorId="0" shapeId="0" xr:uid="{24079C94-A201-4320-8814-1730DA3414B5}">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12" authorId="0" shapeId="0" xr:uid="{26C9992C-FA51-42FA-8DE0-E9A275B83B4D}">
      <text>
        <r>
          <rPr>
            <sz val="8"/>
            <color indexed="81"/>
            <rFont val="Tahoma"/>
            <family val="2"/>
          </rPr>
          <t>Please use this section 
to specify 
any Special Requirements
for the Line/Order.</t>
        </r>
      </text>
    </comment>
    <comment ref="D13" authorId="0" shapeId="0" xr:uid="{82867890-1EFA-4D91-A314-2E574BC51B3E}">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13" authorId="0" shapeId="0" xr:uid="{67326D28-44E8-478A-86FD-DC1AAE85E536}">
      <text>
        <r>
          <rPr>
            <sz val="8"/>
            <color indexed="81"/>
            <rFont val="Tahoma"/>
            <family val="2"/>
          </rPr>
          <t>Product options are;
25mm Single Cellular Blind
38mm Single Cellular Blind
45mm Single Cellular Blind
38mm Double Cellular Blind
45mm Single Cellular Cell In A Cell Blind</t>
        </r>
      </text>
    </comment>
    <comment ref="F13" authorId="0" shapeId="0" xr:uid="{A6362E87-4AE0-43F9-AE0B-1C381472838B}">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13" authorId="0" shapeId="0" xr:uid="{B16E74E6-7C41-4C61-8238-DC29D802D7F9}">
      <text>
        <r>
          <rPr>
            <sz val="8"/>
            <color indexed="81"/>
            <rFont val="Tahoma"/>
            <family val="2"/>
          </rPr>
          <t>The Colour is dependent on the 
Fabric option selected. 
For a Day Night Blind, 
this Colour is for the 
Top Blind which can be either 
Blockout or Translucent.</t>
        </r>
      </text>
    </comment>
    <comment ref="H13" authorId="0" shapeId="0" xr:uid="{AD65F90B-9AC0-47A7-AA18-EFA8491069F0}">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13" authorId="0" shapeId="0" xr:uid="{9339EB00-72A3-44CB-999A-969467DF7199}">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13" authorId="0" shapeId="0" xr:uid="{E8E4706B-FCFD-488F-97FA-3653807BB083}">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13" authorId="0" shapeId="0" xr:uid="{E3EDDB45-441D-426D-971A-7443DB22BE7A}">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13" authorId="0" shapeId="0" xr:uid="{4ECDA3B5-E73B-48EE-943D-3EA945698E25}">
      <text>
        <r>
          <rPr>
            <sz val="8"/>
            <color indexed="81"/>
            <rFont val="Tahoma"/>
            <family val="2"/>
          </rPr>
          <t xml:space="preserve">Recess &amp; NAM must be selected 
when ordering Side Channels. 
The factory will take standard deductions. </t>
        </r>
      </text>
    </comment>
    <comment ref="M13" authorId="0" shapeId="0" xr:uid="{A2632C1C-86DA-497D-AB6F-E611376982B4}">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13" authorId="0" shapeId="0" xr:uid="{0FEBE09A-1CF1-4F90-9603-BD90A6D87CE8}">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13" authorId="0" shapeId="0" xr:uid="{2796AA3F-A101-4648-BAA3-88F5D3349B18}">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13" authorId="0" shapeId="0" xr:uid="{FAFBFA8F-0E32-4EE0-9001-E1DF30620B3A}">
      <text>
        <r>
          <rPr>
            <sz val="8"/>
            <color indexed="81"/>
            <rFont val="Tahoma"/>
            <family val="2"/>
          </rPr>
          <t xml:space="preserve">The Motor Power Side options for 
Motors With Power Adapters are;
Left
Right
The Motor Power Side for USB-C 
Power Adaptors must match 
the side of the Wand. </t>
        </r>
      </text>
    </comment>
    <comment ref="R13" authorId="0" shapeId="0" xr:uid="{9E156347-9BD4-4E09-9727-226CC5E98532}">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13" authorId="1" shapeId="0" xr:uid="{3BBDD9E8-3417-4A4D-829E-6E4603CBE4C5}">
      <text>
        <r>
          <rPr>
            <sz val="9"/>
            <color indexed="81"/>
            <rFont val="Tahoma"/>
            <family val="2"/>
          </rPr>
          <t xml:space="preserve">
The Side Channel Colour 
options are;
Black
Ivory/Classic White
Gray/Earl Gray
White/Snow White</t>
        </r>
      </text>
    </comment>
    <comment ref="T13" authorId="0" shapeId="0" xr:uid="{34AC5CDE-3DF0-4E6C-B5B4-2E9AE725420C}">
      <text>
        <r>
          <rPr>
            <sz val="8"/>
            <color indexed="81"/>
            <rFont val="Tahoma"/>
            <family val="2"/>
          </rPr>
          <t>If the Blind m2 is 
oversized, then 
"Check Size" 
will be listed.</t>
        </r>
      </text>
    </comment>
    <comment ref="U13" authorId="0" shapeId="0" xr:uid="{65B88EF2-2DE9-49A2-A37A-70AB7AE121EE}">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13" authorId="0" shapeId="0" xr:uid="{3E2C8C87-6972-4BDF-BCEF-491A990A2E00}">
      <text>
        <r>
          <rPr>
            <sz val="8"/>
            <color indexed="81"/>
            <rFont val="Tahoma"/>
            <family val="2"/>
          </rPr>
          <t>Please use this section 
to specify 
any Special Requirements
for the Line/Order.</t>
        </r>
      </text>
    </comment>
    <comment ref="D14" authorId="0" shapeId="0" xr:uid="{18CC7183-F7E0-4CFB-9004-12938766A57F}">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14" authorId="0" shapeId="0" xr:uid="{B985F166-8186-43C8-9AED-FE8AEC99C180}">
      <text>
        <r>
          <rPr>
            <sz val="8"/>
            <color indexed="81"/>
            <rFont val="Tahoma"/>
            <family val="2"/>
          </rPr>
          <t>Product options are;
25mm Single Cellular Blind
38mm Single Cellular Blind
45mm Single Cellular Blind
38mm Double Cellular Blind
45mm Single Cellular Cell In A Cell Blind</t>
        </r>
      </text>
    </comment>
    <comment ref="F14" authorId="0" shapeId="0" xr:uid="{5301FF9E-1132-4507-B633-389144D9C22A}">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14" authorId="0" shapeId="0" xr:uid="{C44DD724-DB2F-404A-9B37-392E150753BD}">
      <text>
        <r>
          <rPr>
            <sz val="8"/>
            <color indexed="81"/>
            <rFont val="Tahoma"/>
            <family val="2"/>
          </rPr>
          <t>The Colour is dependent on the 
Fabric option selected. 
For a Day Night Blind, 
this Colour is for the 
Top Blind which can be either 
Blockout or Translucent.</t>
        </r>
      </text>
    </comment>
    <comment ref="H14" authorId="0" shapeId="0" xr:uid="{2F6AF9EB-AC36-4C19-B1FB-90B9806880CB}">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14" authorId="0" shapeId="0" xr:uid="{A41A3DA5-F423-4CAB-8F5B-14901642A6E6}">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14" authorId="0" shapeId="0" xr:uid="{7F810E28-3750-43A6-BF35-3B3D9B285D31}">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14" authorId="0" shapeId="0" xr:uid="{50ECF8F1-F102-485D-A295-C621A2980B2D}">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14" authorId="0" shapeId="0" xr:uid="{CDA7FE5E-82C9-4758-8887-25518E877A6E}">
      <text>
        <r>
          <rPr>
            <sz val="8"/>
            <color indexed="81"/>
            <rFont val="Tahoma"/>
            <family val="2"/>
          </rPr>
          <t xml:space="preserve">Recess &amp; NAM must be selected 
when ordering Side Channels. 
The factory will take standard deductions. </t>
        </r>
      </text>
    </comment>
    <comment ref="M14" authorId="0" shapeId="0" xr:uid="{BE61EF1A-4849-4400-9602-2551494763F2}">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14" authorId="0" shapeId="0" xr:uid="{FB72A7E1-7730-4489-8755-1D33205CFFBF}">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14" authorId="0" shapeId="0" xr:uid="{3BFB5940-6CEE-4FE1-BBDB-6859C65B41E2}">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14" authorId="0" shapeId="0" xr:uid="{879E5B62-238C-4008-9674-C23706423D75}">
      <text>
        <r>
          <rPr>
            <sz val="8"/>
            <color indexed="81"/>
            <rFont val="Tahoma"/>
            <family val="2"/>
          </rPr>
          <t xml:space="preserve">The Motor Power Side options for 
Motors With Power Adapters are;
Left
Right
The Motor Power Side for USB-C 
Power Adaptors must match 
the side of the Wand. </t>
        </r>
      </text>
    </comment>
    <comment ref="R14" authorId="0" shapeId="0" xr:uid="{ECE9A7E7-7F2A-48B1-8719-101C93655672}">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14" authorId="1" shapeId="0" xr:uid="{1B735824-3C00-4DB4-BC42-066C76AA65E1}">
      <text>
        <r>
          <rPr>
            <sz val="9"/>
            <color indexed="81"/>
            <rFont val="Tahoma"/>
            <family val="2"/>
          </rPr>
          <t xml:space="preserve">
The Side Channel Colour 
options are;
Black
Ivory/Classic White
Gray/Earl Gray
White/Snow White</t>
        </r>
      </text>
    </comment>
    <comment ref="T14" authorId="0" shapeId="0" xr:uid="{EB5E3D1C-2A79-429C-8B64-EA43448BCED2}">
      <text>
        <r>
          <rPr>
            <sz val="8"/>
            <color indexed="81"/>
            <rFont val="Tahoma"/>
            <family val="2"/>
          </rPr>
          <t>If the Blind m2 is 
oversized, then 
"Check Size" 
will be listed.</t>
        </r>
      </text>
    </comment>
    <comment ref="U14" authorId="0" shapeId="0" xr:uid="{302AECA9-5B13-4B27-B4D1-62245322B9BE}">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14" authorId="0" shapeId="0" xr:uid="{9FC34CBB-D779-4953-9A4B-A9E509E4B437}">
      <text>
        <r>
          <rPr>
            <sz val="8"/>
            <color indexed="81"/>
            <rFont val="Tahoma"/>
            <family val="2"/>
          </rPr>
          <t>Please use this section 
to specify 
any Special Requirements
for the Line/Order.</t>
        </r>
      </text>
    </comment>
    <comment ref="D15" authorId="0" shapeId="0" xr:uid="{2401A7E1-CDA0-4858-A2F6-9B2992E04611}">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15" authorId="0" shapeId="0" xr:uid="{4F7EF4C6-1E2F-4A63-9F57-A8B1A9DFDCBD}">
      <text>
        <r>
          <rPr>
            <sz val="8"/>
            <color indexed="81"/>
            <rFont val="Tahoma"/>
            <family val="2"/>
          </rPr>
          <t>Product options are;
25mm Single Cellular Blind
38mm Single Cellular Blind
45mm Single Cellular Blind
38mm Double Cellular Blind
45mm Single Cellular Cell In A Cell Blind</t>
        </r>
      </text>
    </comment>
    <comment ref="F15" authorId="0" shapeId="0" xr:uid="{4083234D-DBE4-4EA2-BBCC-AB96789CBFF3}">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15" authorId="0" shapeId="0" xr:uid="{DC52847B-8911-43F2-AB1E-40274342ABDC}">
      <text>
        <r>
          <rPr>
            <sz val="8"/>
            <color indexed="81"/>
            <rFont val="Tahoma"/>
            <family val="2"/>
          </rPr>
          <t>The Colour is dependent on the 
Fabric option selected. 
For a Day Night Blind, 
this Colour is for the 
Top Blind which can be either 
Blockout or Translucent.</t>
        </r>
      </text>
    </comment>
    <comment ref="H15" authorId="0" shapeId="0" xr:uid="{5F99A90D-1BFE-495B-A7D3-70370AFA18BE}">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15" authorId="0" shapeId="0" xr:uid="{716981BD-525E-4A69-9CCD-3830037CF985}">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15" authorId="0" shapeId="0" xr:uid="{16BCB296-0D01-4F81-917E-D25454E2BA2D}">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15" authorId="0" shapeId="0" xr:uid="{0F8D0C52-968F-4574-92D6-9A93C8032C38}">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15" authorId="0" shapeId="0" xr:uid="{00EC56BB-50C6-4284-9FEC-9BBEEFDBA80F}">
      <text>
        <r>
          <rPr>
            <sz val="8"/>
            <color indexed="81"/>
            <rFont val="Tahoma"/>
            <family val="2"/>
          </rPr>
          <t xml:space="preserve">Recess &amp; NAM must be selected 
when ordering Side Channels. 
The factory will take standard deductions. </t>
        </r>
      </text>
    </comment>
    <comment ref="M15" authorId="0" shapeId="0" xr:uid="{25B22D21-3258-4D47-B864-C5D2FDBE12CF}">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15" authorId="0" shapeId="0" xr:uid="{8F7DD792-2AFF-437C-8C39-787E00122BE3}">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15" authorId="0" shapeId="0" xr:uid="{7435FDED-6B29-48DE-B24F-6D1452EBE0D8}">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15" authorId="0" shapeId="0" xr:uid="{1D72C829-C68D-4ABF-86B5-E1D09F7A9DCB}">
      <text>
        <r>
          <rPr>
            <sz val="8"/>
            <color indexed="81"/>
            <rFont val="Tahoma"/>
            <family val="2"/>
          </rPr>
          <t xml:space="preserve">The Motor Power Side options for 
Motors With Power Adapters are;
Left
Right
The Motor Power Side for USB-C 
Power Adaptors must match 
the side of the Wand. </t>
        </r>
      </text>
    </comment>
    <comment ref="R15" authorId="0" shapeId="0" xr:uid="{8481057F-9488-4CA4-A319-729122820CFB}">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15" authorId="1" shapeId="0" xr:uid="{4617BDE8-A577-4434-9C0E-D0611702305F}">
      <text>
        <r>
          <rPr>
            <sz val="9"/>
            <color indexed="81"/>
            <rFont val="Tahoma"/>
            <family val="2"/>
          </rPr>
          <t xml:space="preserve">
The Side Channel Colour 
options are;
Black
Ivory/Classic White
Gray/Earl Gray
White/Snow White</t>
        </r>
      </text>
    </comment>
    <comment ref="T15" authorId="0" shapeId="0" xr:uid="{F1A06D5B-78C6-4DC5-A40D-04B65C9DD95F}">
      <text>
        <r>
          <rPr>
            <sz val="8"/>
            <color indexed="81"/>
            <rFont val="Tahoma"/>
            <family val="2"/>
          </rPr>
          <t>If the Blind m2 is 
oversized, then 
"Check Size" 
will be listed.</t>
        </r>
      </text>
    </comment>
    <comment ref="U15" authorId="0" shapeId="0" xr:uid="{9FF99484-716B-4C31-815F-2DD9B91456CB}">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15" authorId="0" shapeId="0" xr:uid="{786FB6E0-E3C8-46FF-9C98-0FF0CD48FE6A}">
      <text>
        <r>
          <rPr>
            <sz val="8"/>
            <color indexed="81"/>
            <rFont val="Tahoma"/>
            <family val="2"/>
          </rPr>
          <t>Please use this section 
to specify 
any Special Requirements
for the Line/Order.</t>
        </r>
      </text>
    </comment>
    <comment ref="D16" authorId="0" shapeId="0" xr:uid="{4F505592-31F6-4E9A-8907-07DC92B16284}">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16" authorId="0" shapeId="0" xr:uid="{6572414E-7A0F-4F62-9B6F-4B04E861F006}">
      <text>
        <r>
          <rPr>
            <sz val="8"/>
            <color indexed="81"/>
            <rFont val="Tahoma"/>
            <family val="2"/>
          </rPr>
          <t>Product options are;
25mm Single Cellular Blind
38mm Single Cellular Blind
45mm Single Cellular Blind
38mm Double Cellular Blind
45mm Single Cellular Cell In A Cell Blind</t>
        </r>
      </text>
    </comment>
    <comment ref="F16" authorId="0" shapeId="0" xr:uid="{23772FFD-7879-4B20-A15B-E90AFC2BDAC9}">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16" authorId="0" shapeId="0" xr:uid="{80FFC8EE-BD7C-4201-8A0D-E19A06E04A8A}">
      <text>
        <r>
          <rPr>
            <sz val="8"/>
            <color indexed="81"/>
            <rFont val="Tahoma"/>
            <family val="2"/>
          </rPr>
          <t>The Colour is dependent on the 
Fabric option selected. 
For a Day Night Blind, 
this Colour is for the 
Top Blind which can be either 
Blockout or Translucent.</t>
        </r>
      </text>
    </comment>
    <comment ref="H16" authorId="0" shapeId="0" xr:uid="{8A273A04-4D97-4B99-A2B5-2FBCEB6A1312}">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16" authorId="0" shapeId="0" xr:uid="{29CDF4A4-471F-4918-A996-5DC76138060E}">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16" authorId="0" shapeId="0" xr:uid="{C02A0A1A-8C74-4D1B-A545-8523F3F85166}">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16" authorId="0" shapeId="0" xr:uid="{67A033B0-5E73-44B7-B62D-3E0562303101}">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16" authorId="0" shapeId="0" xr:uid="{BD727CC6-2B8B-4429-8F6E-ECF4AA1E2E5D}">
      <text>
        <r>
          <rPr>
            <sz val="8"/>
            <color indexed="81"/>
            <rFont val="Tahoma"/>
            <family val="2"/>
          </rPr>
          <t xml:space="preserve">Recess &amp; NAM must be selected 
when ordering Side Channels. 
The factory will take standard deductions. </t>
        </r>
      </text>
    </comment>
    <comment ref="M16" authorId="0" shapeId="0" xr:uid="{E976FA1B-314C-401E-91FF-D9315F7D6900}">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16" authorId="0" shapeId="0" xr:uid="{61C0591A-2D28-4CAA-AFEC-5E99EFF11551}">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16" authorId="0" shapeId="0" xr:uid="{AD77F997-E041-4A34-9ABD-072CD856DC83}">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16" authorId="0" shapeId="0" xr:uid="{B88ECBC6-28C1-49B0-B023-C5C33FD4DF57}">
      <text>
        <r>
          <rPr>
            <sz val="8"/>
            <color indexed="81"/>
            <rFont val="Tahoma"/>
            <family val="2"/>
          </rPr>
          <t xml:space="preserve">The Motor Power Side options for 
Motors With Power Adapters are;
Left
Right
The Motor Power Side for USB-C 
Power Adaptors must match 
the side of the Wand. </t>
        </r>
      </text>
    </comment>
    <comment ref="R16" authorId="0" shapeId="0" xr:uid="{57B3B046-37D4-4E27-9434-EB7D9865AED5}">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16" authorId="1" shapeId="0" xr:uid="{A83A6170-5EDC-4C2E-BCBD-92946B9E6A58}">
      <text>
        <r>
          <rPr>
            <sz val="9"/>
            <color indexed="81"/>
            <rFont val="Tahoma"/>
            <family val="2"/>
          </rPr>
          <t xml:space="preserve">
The Side Channel Colour 
options are;
Black
Ivory/Classic White
Gray/Earl Gray
White/Snow White</t>
        </r>
      </text>
    </comment>
    <comment ref="T16" authorId="0" shapeId="0" xr:uid="{D0AD06E1-D996-4200-9C56-BF06321DAA6B}">
      <text>
        <r>
          <rPr>
            <sz val="8"/>
            <color indexed="81"/>
            <rFont val="Tahoma"/>
            <family val="2"/>
          </rPr>
          <t>If the Blind m2 is 
oversized, then 
"Check Size" 
will be listed.</t>
        </r>
      </text>
    </comment>
    <comment ref="U16" authorId="0" shapeId="0" xr:uid="{A01B9030-6E8E-4846-A70E-3C1C4D04BD1A}">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16" authorId="0" shapeId="0" xr:uid="{92EA0CAE-9676-430C-B251-7D3031645E92}">
      <text>
        <r>
          <rPr>
            <sz val="8"/>
            <color indexed="81"/>
            <rFont val="Tahoma"/>
            <family val="2"/>
          </rPr>
          <t>Please use this section 
to specify 
any Special Requirements
for the Line/Order.</t>
        </r>
      </text>
    </comment>
    <comment ref="D17" authorId="0" shapeId="0" xr:uid="{51991931-97AB-49FF-8D1E-6A8D57E1ADCA}">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17" authorId="0" shapeId="0" xr:uid="{C59A82B9-E163-4164-BD1E-1C54F19FE982}">
      <text>
        <r>
          <rPr>
            <sz val="8"/>
            <color indexed="81"/>
            <rFont val="Tahoma"/>
            <family val="2"/>
          </rPr>
          <t>Product options are;
25mm Single Cellular Blind
38mm Single Cellular Blind
45mm Single Cellular Blind
38mm Double Cellular Blind
45mm Single Cellular Cell In A Cell Blind</t>
        </r>
      </text>
    </comment>
    <comment ref="F17" authorId="0" shapeId="0" xr:uid="{F872290E-5665-4144-AAF4-35222EBBAE0D}">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17" authorId="0" shapeId="0" xr:uid="{E5433901-2EFE-4845-95FB-442E4789192A}">
      <text>
        <r>
          <rPr>
            <sz val="8"/>
            <color indexed="81"/>
            <rFont val="Tahoma"/>
            <family val="2"/>
          </rPr>
          <t>The Colour is dependent on the 
Fabric option selected. 
For a Day Night Blind, 
this Colour is for the 
Top Blind which can be either 
Blockout or Translucent.</t>
        </r>
      </text>
    </comment>
    <comment ref="H17" authorId="0" shapeId="0" xr:uid="{8D18AE0D-AAEC-4095-8703-28D156BC8BFB}">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17" authorId="0" shapeId="0" xr:uid="{D73E765E-11D6-4253-BB9C-E66DA79C1F4F}">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17" authorId="0" shapeId="0" xr:uid="{C1242392-2D16-4354-B8BE-9F76FC1EE239}">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17" authorId="0" shapeId="0" xr:uid="{07490313-3FF2-43D3-A218-46B78BFDF89F}">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17" authorId="0" shapeId="0" xr:uid="{F20B8E38-A57A-40DA-93E1-D70B2C88BFEA}">
      <text>
        <r>
          <rPr>
            <sz val="8"/>
            <color indexed="81"/>
            <rFont val="Tahoma"/>
            <family val="2"/>
          </rPr>
          <t xml:space="preserve">Recess &amp; NAM must be selected 
when ordering Side Channels. 
The factory will take standard deductions. </t>
        </r>
      </text>
    </comment>
    <comment ref="M17" authorId="0" shapeId="0" xr:uid="{A7DC76DD-0457-450C-99F6-3035A1AB5368}">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17" authorId="0" shapeId="0" xr:uid="{FC46B177-C8BA-48CD-AA67-70FECED384EB}">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17" authorId="0" shapeId="0" xr:uid="{DCD0260F-340D-4692-B886-A3CEBA2FA7BB}">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17" authorId="0" shapeId="0" xr:uid="{FA69F5AB-66DE-4020-A794-49090A93B908}">
      <text>
        <r>
          <rPr>
            <sz val="8"/>
            <color indexed="81"/>
            <rFont val="Tahoma"/>
            <family val="2"/>
          </rPr>
          <t xml:space="preserve">The Motor Power Side options for 
Motors With Power Adapters are;
Left
Right
The Motor Power Side for USB-C 
Power Adaptors must match 
the side of the Wand. </t>
        </r>
      </text>
    </comment>
    <comment ref="R17" authorId="0" shapeId="0" xr:uid="{58C19768-F250-4005-A793-13D1D48E4950}">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17" authorId="1" shapeId="0" xr:uid="{668C1296-4C3E-42A1-A594-7AFEC4EF2D57}">
      <text>
        <r>
          <rPr>
            <sz val="9"/>
            <color indexed="81"/>
            <rFont val="Tahoma"/>
            <family val="2"/>
          </rPr>
          <t xml:space="preserve">
The Side Channel Colour 
options are;
Black
Ivory/Classic White
Gray/Earl Gray
White/Snow White</t>
        </r>
      </text>
    </comment>
    <comment ref="T17" authorId="0" shapeId="0" xr:uid="{F54692C0-E920-4F8D-8A5B-01BE9602D28C}">
      <text>
        <r>
          <rPr>
            <sz val="8"/>
            <color indexed="81"/>
            <rFont val="Tahoma"/>
            <family val="2"/>
          </rPr>
          <t>If the Blind m2 is 
oversized, then 
"Check Size" 
will be listed.</t>
        </r>
      </text>
    </comment>
    <comment ref="U17" authorId="0" shapeId="0" xr:uid="{D3AC2590-BC38-4EF0-8A42-F0B8E514EB29}">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17" authorId="0" shapeId="0" xr:uid="{77984F05-EB49-4191-9494-2D0772EDE267}">
      <text>
        <r>
          <rPr>
            <sz val="8"/>
            <color indexed="81"/>
            <rFont val="Tahoma"/>
            <family val="2"/>
          </rPr>
          <t>Please use this section 
to specify 
any Special Requirements
for the Line/Order.</t>
        </r>
      </text>
    </comment>
    <comment ref="D18" authorId="0" shapeId="0" xr:uid="{D766A1BE-B66D-4D24-B079-304E32D37447}">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18" authorId="0" shapeId="0" xr:uid="{CF138BDE-9CFF-4DB5-BAC9-E9207928895E}">
      <text>
        <r>
          <rPr>
            <sz val="8"/>
            <color indexed="81"/>
            <rFont val="Tahoma"/>
            <family val="2"/>
          </rPr>
          <t>Product options are;
25mm Single Cellular Blind
38mm Single Cellular Blind
45mm Single Cellular Blind
38mm Double Cellular Blind
45mm Single Cellular Cell In A Cell Blind</t>
        </r>
      </text>
    </comment>
    <comment ref="F18" authorId="0" shapeId="0" xr:uid="{F4403BE6-FA8D-440E-B22E-DE4246215FC1}">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18" authorId="0" shapeId="0" xr:uid="{4C44C8D4-D237-463A-80FF-DDCAC973649B}">
      <text>
        <r>
          <rPr>
            <sz val="8"/>
            <color indexed="81"/>
            <rFont val="Tahoma"/>
            <family val="2"/>
          </rPr>
          <t>The Colour is dependent on the 
Fabric option selected. 
For a Day Night Blind, 
this Colour is for the 
Top Blind which can be either 
Blockout or Translucent.</t>
        </r>
      </text>
    </comment>
    <comment ref="H18" authorId="0" shapeId="0" xr:uid="{3D6435D1-0219-41E8-AE56-CA8092B10BD5}">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18" authorId="0" shapeId="0" xr:uid="{1EE76A0C-0630-441A-A012-975A8C98A022}">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18" authorId="0" shapeId="0" xr:uid="{A51B16BE-D567-4BDF-94E3-4AD4DA6D3A85}">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18" authorId="0" shapeId="0" xr:uid="{4EA70584-3603-4F47-9AF9-17B299E3A198}">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18" authorId="0" shapeId="0" xr:uid="{25CCA538-6058-4B37-9D69-49366AD28E0B}">
      <text>
        <r>
          <rPr>
            <sz val="8"/>
            <color indexed="81"/>
            <rFont val="Tahoma"/>
            <family val="2"/>
          </rPr>
          <t xml:space="preserve">Recess &amp; NAM must be selected 
when ordering Side Channels. 
The factory will take standard deductions. </t>
        </r>
      </text>
    </comment>
    <comment ref="M18" authorId="0" shapeId="0" xr:uid="{736E3C59-B721-4DAC-A719-313BDB5C12F7}">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18" authorId="0" shapeId="0" xr:uid="{4967E7A1-3962-4245-AEFF-C698D7FD08E4}">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18" authorId="0" shapeId="0" xr:uid="{A8E3DBC1-884B-4E8D-8DA1-87FD0DC297F5}">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18" authorId="0" shapeId="0" xr:uid="{3C0AB159-E5E1-4C99-A6F8-2E24058896FF}">
      <text>
        <r>
          <rPr>
            <sz val="8"/>
            <color indexed="81"/>
            <rFont val="Tahoma"/>
            <family val="2"/>
          </rPr>
          <t xml:space="preserve">The Motor Power Side options for 
Motors With Power Adapters are;
Left
Right
The Motor Power Side for USB-C 
Power Adaptors must match 
the side of the Wand. </t>
        </r>
      </text>
    </comment>
    <comment ref="R18" authorId="0" shapeId="0" xr:uid="{538ADE2F-40B9-4A19-AF50-E6795068652A}">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18" authorId="1" shapeId="0" xr:uid="{3D4DC876-595C-4863-B4E6-BBE3D220DB2A}">
      <text>
        <r>
          <rPr>
            <sz val="9"/>
            <color indexed="81"/>
            <rFont val="Tahoma"/>
            <family val="2"/>
          </rPr>
          <t xml:space="preserve">
The Side Channel Colour 
options are;
Black
Ivory/Classic White
Gray/Earl Gray
White/Snow White</t>
        </r>
      </text>
    </comment>
    <comment ref="T18" authorId="0" shapeId="0" xr:uid="{5C815378-5DD5-49B2-88FB-466FDE522277}">
      <text>
        <r>
          <rPr>
            <sz val="8"/>
            <color indexed="81"/>
            <rFont val="Tahoma"/>
            <family val="2"/>
          </rPr>
          <t>If the Blind m2 is 
oversized, then 
"Check Size" 
will be listed.</t>
        </r>
      </text>
    </comment>
    <comment ref="U18" authorId="0" shapeId="0" xr:uid="{9F13FE49-A042-456C-A199-047563B0EAC8}">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18" authorId="0" shapeId="0" xr:uid="{5609B030-2AD8-479A-9062-EB47A57DD57A}">
      <text>
        <r>
          <rPr>
            <sz val="8"/>
            <color indexed="81"/>
            <rFont val="Tahoma"/>
            <family val="2"/>
          </rPr>
          <t>Please use this section 
to specify 
any Special Requirements
for the Line/Order.</t>
        </r>
      </text>
    </comment>
    <comment ref="D19" authorId="0" shapeId="0" xr:uid="{7F3503AD-E0CD-49CB-8532-6316C1195A14}">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19" authorId="0" shapeId="0" xr:uid="{11EC151D-DDAA-4E96-BE62-1A5B127E0403}">
      <text>
        <r>
          <rPr>
            <sz val="8"/>
            <color indexed="81"/>
            <rFont val="Tahoma"/>
            <family val="2"/>
          </rPr>
          <t>Product options are;
25mm Single Cellular Blind
38mm Single Cellular Blind
45mm Single Cellular Blind
38mm Double Cellular Blind
45mm Single Cellular Cell In A Cell Blind</t>
        </r>
      </text>
    </comment>
    <comment ref="F19" authorId="0" shapeId="0" xr:uid="{C66FC091-3EB3-43CF-8BC2-4421F2DF3BB4}">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19" authorId="0" shapeId="0" xr:uid="{0F91AEBF-16E9-4882-8CD9-1AE6EDAE598F}">
      <text>
        <r>
          <rPr>
            <sz val="8"/>
            <color indexed="81"/>
            <rFont val="Tahoma"/>
            <family val="2"/>
          </rPr>
          <t>The Colour is dependent on the 
Fabric option selected. 
For a Day Night Blind, 
this Colour is for the 
Top Blind which can be either 
Blockout or Translucent.</t>
        </r>
      </text>
    </comment>
    <comment ref="H19" authorId="0" shapeId="0" xr:uid="{6A7C2C43-DB5B-4E1D-9671-8D6405070DC1}">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19" authorId="0" shapeId="0" xr:uid="{DADAA02D-30BC-49D4-8802-6FD23B3EEEF9}">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19" authorId="0" shapeId="0" xr:uid="{CC52A03B-ED8C-4029-BDB9-746BBE51FBBC}">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19" authorId="0" shapeId="0" xr:uid="{84988C14-92E1-4CA8-B89F-E5E9E79B0A38}">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19" authorId="0" shapeId="0" xr:uid="{67B29D9D-39C9-4D51-B5E1-97C38329331B}">
      <text>
        <r>
          <rPr>
            <sz val="8"/>
            <color indexed="81"/>
            <rFont val="Tahoma"/>
            <family val="2"/>
          </rPr>
          <t xml:space="preserve">Recess &amp; NAM must be selected 
when ordering Side Channels. 
The factory will take standard deductions. </t>
        </r>
      </text>
    </comment>
    <comment ref="M19" authorId="0" shapeId="0" xr:uid="{6752E2E3-0860-4D7F-984E-F9A6AB7089E7}">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19" authorId="0" shapeId="0" xr:uid="{8FACB6C6-898E-47D9-9A21-FAB2D9B8F507}">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19" authorId="0" shapeId="0" xr:uid="{63A95DF2-C23F-4080-BD7A-F60DC574370F}">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19" authorId="0" shapeId="0" xr:uid="{9CB5E7EC-5794-46C4-A3EE-79DC6E65249B}">
      <text>
        <r>
          <rPr>
            <sz val="8"/>
            <color indexed="81"/>
            <rFont val="Tahoma"/>
            <family val="2"/>
          </rPr>
          <t xml:space="preserve">The Motor Power Side options for 
Motors With Power Adapters are;
Left
Right
The Motor Power Side for USB-C 
Power Adaptors must match 
the side of the Wand. </t>
        </r>
      </text>
    </comment>
    <comment ref="R19" authorId="0" shapeId="0" xr:uid="{E45EE806-D938-4C39-A26B-20815BDC2DD6}">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19" authorId="1" shapeId="0" xr:uid="{2572E3AD-E1B4-4CE2-8A90-638A874F2023}">
      <text>
        <r>
          <rPr>
            <sz val="9"/>
            <color indexed="81"/>
            <rFont val="Tahoma"/>
            <family val="2"/>
          </rPr>
          <t xml:space="preserve">
The Side Channel Colour 
options are;
Black
Ivory/Classic White
Gray/Earl Gray
White/Snow White</t>
        </r>
      </text>
    </comment>
    <comment ref="T19" authorId="0" shapeId="0" xr:uid="{C982B465-8DDD-4DAA-8668-552C1070E155}">
      <text>
        <r>
          <rPr>
            <sz val="8"/>
            <color indexed="81"/>
            <rFont val="Tahoma"/>
            <family val="2"/>
          </rPr>
          <t>If the Blind m2 is 
oversized, then 
"Check Size" 
will be listed.</t>
        </r>
      </text>
    </comment>
    <comment ref="U19" authorId="0" shapeId="0" xr:uid="{E224B31E-C524-4CD5-A279-3ED57FD92C43}">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19" authorId="0" shapeId="0" xr:uid="{64F6FF6E-03E5-496F-A504-F6DB7A7D585B}">
      <text>
        <r>
          <rPr>
            <sz val="8"/>
            <color indexed="81"/>
            <rFont val="Tahoma"/>
            <family val="2"/>
          </rPr>
          <t>Please use this section 
to specify 
any Special Requirements
for the Line/Order.</t>
        </r>
      </text>
    </comment>
    <comment ref="D20" authorId="0" shapeId="0" xr:uid="{BCFCD267-3398-4C56-B127-0B75B41CF4A8}">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20" authorId="0" shapeId="0" xr:uid="{186936D2-0AD2-407D-99F2-78DDCCC7DB18}">
      <text>
        <r>
          <rPr>
            <sz val="8"/>
            <color indexed="81"/>
            <rFont val="Tahoma"/>
            <family val="2"/>
          </rPr>
          <t>Product options are;
25mm Single Cellular Blind
38mm Single Cellular Blind
45mm Single Cellular Blind
38mm Double Cellular Blind
45mm Single Cellular Cell In A Cell Blind</t>
        </r>
      </text>
    </comment>
    <comment ref="F20" authorId="0" shapeId="0" xr:uid="{86058B07-8EDA-438D-A493-7D4459765056}">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20" authorId="0" shapeId="0" xr:uid="{DFC002CA-28AE-474A-9C7C-D55EA6A2E077}">
      <text>
        <r>
          <rPr>
            <sz val="8"/>
            <color indexed="81"/>
            <rFont val="Tahoma"/>
            <family val="2"/>
          </rPr>
          <t>The Colour is dependent on the 
Fabric option selected. 
For a Day Night Blind, 
this Colour is for the 
Top Blind which can be either 
Blockout or Translucent.</t>
        </r>
      </text>
    </comment>
    <comment ref="H20" authorId="0" shapeId="0" xr:uid="{B72DE73F-9C0F-49BA-8D02-71060FFCB453}">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20" authorId="0" shapeId="0" xr:uid="{2ED68527-D253-4DD9-83BC-777C5B35A573}">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20" authorId="0" shapeId="0" xr:uid="{12F2CBB9-4C6A-4D7D-8C59-B58BAEFFFFD7}">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20" authorId="0" shapeId="0" xr:uid="{C83A7984-A4D6-4ABF-AC3A-8BB472F85F00}">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20" authorId="0" shapeId="0" xr:uid="{3BFDD551-8B3F-41F2-8103-5B2CDF8CAB40}">
      <text>
        <r>
          <rPr>
            <sz val="8"/>
            <color indexed="81"/>
            <rFont val="Tahoma"/>
            <family val="2"/>
          </rPr>
          <t xml:space="preserve">Recess &amp; NAM must be selected 
when ordering Side Channels. 
The factory will take standard deductions. </t>
        </r>
      </text>
    </comment>
    <comment ref="M20" authorId="0" shapeId="0" xr:uid="{031EDB63-99F6-4BAA-A078-C62F753E7B0B}">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20" authorId="0" shapeId="0" xr:uid="{0C602A58-4727-43E1-9111-9AD47D22C666}">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20" authorId="0" shapeId="0" xr:uid="{A1715E8D-DC95-46AB-9D97-9DAA44F161D1}">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20" authorId="0" shapeId="0" xr:uid="{A24A6093-C3E2-4D99-9151-B75CB9E677BE}">
      <text>
        <r>
          <rPr>
            <sz val="8"/>
            <color indexed="81"/>
            <rFont val="Tahoma"/>
            <family val="2"/>
          </rPr>
          <t xml:space="preserve">The Motor Power Side options for 
Motors With Power Adapters are;
Left
Right
The Motor Power Side for USB-C 
Power Adaptors must match 
the side of the Wand. </t>
        </r>
      </text>
    </comment>
    <comment ref="R20" authorId="0" shapeId="0" xr:uid="{503EAB32-D226-4B67-9825-7304B3AE965A}">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20" authorId="1" shapeId="0" xr:uid="{F14CE98B-EF49-4FB8-9CD0-5160AD380BBB}">
      <text>
        <r>
          <rPr>
            <sz val="9"/>
            <color indexed="81"/>
            <rFont val="Tahoma"/>
            <family val="2"/>
          </rPr>
          <t xml:space="preserve">
The Side Channel Colour 
options are;
Black
Ivory/Classic White
Gray/Earl Gray
White/Snow White</t>
        </r>
      </text>
    </comment>
    <comment ref="T20" authorId="0" shapeId="0" xr:uid="{0C58E128-DD01-42D1-8A94-33D707C1BF96}">
      <text>
        <r>
          <rPr>
            <sz val="8"/>
            <color indexed="81"/>
            <rFont val="Tahoma"/>
            <family val="2"/>
          </rPr>
          <t>If the Blind m2 is 
oversized, then 
"Check Size" 
will be listed.</t>
        </r>
      </text>
    </comment>
    <comment ref="U20" authorId="0" shapeId="0" xr:uid="{5C7AE26A-9753-43A7-8A2A-9AAA97128CF4}">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20" authorId="0" shapeId="0" xr:uid="{F1FFF6E2-D6D3-4DDE-890D-F4DE4B11834F}">
      <text>
        <r>
          <rPr>
            <sz val="8"/>
            <color indexed="81"/>
            <rFont val="Tahoma"/>
            <family val="2"/>
          </rPr>
          <t>Please use this section 
to specify 
any Special Requirements
for the Line/Order.</t>
        </r>
      </text>
    </comment>
    <comment ref="D21" authorId="0" shapeId="0" xr:uid="{27E005E3-6C00-4EA5-B0ED-59843D317E45}">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21" authorId="0" shapeId="0" xr:uid="{79C91DDA-E1B7-422F-AE07-7F470599891C}">
      <text>
        <r>
          <rPr>
            <sz val="8"/>
            <color indexed="81"/>
            <rFont val="Tahoma"/>
            <family val="2"/>
          </rPr>
          <t>Product options are;
25mm Single Cellular Blind
38mm Single Cellular Blind
45mm Single Cellular Blind
38mm Double Cellular Blind
45mm Single Cellular Cell In A Cell Blind</t>
        </r>
      </text>
    </comment>
    <comment ref="F21" authorId="0" shapeId="0" xr:uid="{3491CBF4-B517-470E-9438-8606CBF29DC9}">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21" authorId="0" shapeId="0" xr:uid="{2FB4E41F-8FCB-4390-AD46-06194820CF3B}">
      <text>
        <r>
          <rPr>
            <sz val="8"/>
            <color indexed="81"/>
            <rFont val="Tahoma"/>
            <family val="2"/>
          </rPr>
          <t>The Colour is dependent on the 
Fabric option selected. 
For a Day Night Blind, 
this Colour is for the 
Top Blind which can be either 
Blockout or Translucent.</t>
        </r>
      </text>
    </comment>
    <comment ref="H21" authorId="0" shapeId="0" xr:uid="{996E343E-1A34-4B31-9A9E-BBDB8263282A}">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21" authorId="0" shapeId="0" xr:uid="{97691D35-CC5B-46EB-983F-516BFBA477D1}">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21" authorId="0" shapeId="0" xr:uid="{54E777C1-BECF-4342-8971-EDB45AC106DA}">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21" authorId="0" shapeId="0" xr:uid="{1EE9972B-43ED-4FF4-9523-C166FBE623EC}">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21" authorId="0" shapeId="0" xr:uid="{F36098B8-376A-4709-A95E-CC5D4F5B2812}">
      <text>
        <r>
          <rPr>
            <sz val="8"/>
            <color indexed="81"/>
            <rFont val="Tahoma"/>
            <family val="2"/>
          </rPr>
          <t xml:space="preserve">Recess &amp; NAM must be selected 
when ordering Side Channels. 
The factory will take standard deductions. </t>
        </r>
      </text>
    </comment>
    <comment ref="M21" authorId="0" shapeId="0" xr:uid="{66C1A2DB-2D9E-4529-945F-6F6BBEBBDDB6}">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21" authorId="0" shapeId="0" xr:uid="{270D1354-1889-4712-8BED-C8C766F93104}">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21" authorId="0" shapeId="0" xr:uid="{1F0E04BD-F342-4D3E-AE09-F36880D705DF}">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21" authorId="0" shapeId="0" xr:uid="{807A92F6-B9E5-4450-BA81-779D3BDEDC48}">
      <text>
        <r>
          <rPr>
            <sz val="8"/>
            <color indexed="81"/>
            <rFont val="Tahoma"/>
            <family val="2"/>
          </rPr>
          <t xml:space="preserve">The Motor Power Side options for 
Motors With Power Adapters are;
Left
Right
The Motor Power Side for USB-C 
Power Adaptors must match 
the side of the Wand. </t>
        </r>
      </text>
    </comment>
    <comment ref="R21" authorId="0" shapeId="0" xr:uid="{6FDA83AF-F979-4F7A-9423-8E91C90E8BD9}">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21" authorId="1" shapeId="0" xr:uid="{595F7893-794F-4D72-9058-C99CD592D17B}">
      <text>
        <r>
          <rPr>
            <sz val="9"/>
            <color indexed="81"/>
            <rFont val="Tahoma"/>
            <family val="2"/>
          </rPr>
          <t xml:space="preserve">
The Side Channel Colour 
options are;
Black
Ivory/Classic White
Gray/Earl Gray
White/Snow White</t>
        </r>
      </text>
    </comment>
    <comment ref="T21" authorId="0" shapeId="0" xr:uid="{80E032AC-2055-4D72-8427-2DE7B4CAB5B7}">
      <text>
        <r>
          <rPr>
            <sz val="8"/>
            <color indexed="81"/>
            <rFont val="Tahoma"/>
            <family val="2"/>
          </rPr>
          <t>If the Blind m2 is 
oversized, then 
"Check Size" 
will be listed.</t>
        </r>
      </text>
    </comment>
    <comment ref="U21" authorId="0" shapeId="0" xr:uid="{3F200030-5BF0-464A-B9A0-B142777B8634}">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21" authorId="0" shapeId="0" xr:uid="{BF9AF739-14E6-41CA-AE40-9167087904DE}">
      <text>
        <r>
          <rPr>
            <sz val="8"/>
            <color indexed="81"/>
            <rFont val="Tahoma"/>
            <family val="2"/>
          </rPr>
          <t>Please use this section 
to specify 
any Special Requirements
for the Line/Order.</t>
        </r>
      </text>
    </comment>
    <comment ref="D22" authorId="0" shapeId="0" xr:uid="{538EF2AD-CDE4-48C8-A6AA-9DCEAFED9A6E}">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22" authorId="0" shapeId="0" xr:uid="{0623FEF9-4D1D-41CF-A63E-345A63753476}">
      <text>
        <r>
          <rPr>
            <sz val="8"/>
            <color indexed="81"/>
            <rFont val="Tahoma"/>
            <family val="2"/>
          </rPr>
          <t>Product options are;
25mm Single Cellular Blind
38mm Single Cellular Blind
45mm Single Cellular Blind
38mm Double Cellular Blind
45mm Single Cellular Cell In A Cell Blind</t>
        </r>
      </text>
    </comment>
    <comment ref="F22" authorId="0" shapeId="0" xr:uid="{47A4FC6C-802E-428B-AC37-1E2B6E9CE403}">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22" authorId="0" shapeId="0" xr:uid="{38791D8F-1D72-4361-9052-815ED2084A97}">
      <text>
        <r>
          <rPr>
            <sz val="8"/>
            <color indexed="81"/>
            <rFont val="Tahoma"/>
            <family val="2"/>
          </rPr>
          <t>The Colour is dependent on the 
Fabric option selected. 
For a Day Night Blind, 
this Colour is for the 
Top Blind which can be either 
Blockout or Translucent.</t>
        </r>
      </text>
    </comment>
    <comment ref="H22" authorId="0" shapeId="0" xr:uid="{A5C79AF7-99F5-4AEA-B281-416CF0E8850B}">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22" authorId="0" shapeId="0" xr:uid="{649238E5-D6E1-4841-A3A4-A2475A50D0CA}">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22" authorId="0" shapeId="0" xr:uid="{A9C5FDF7-9852-4C77-8DDE-F44AE76601B5}">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22" authorId="0" shapeId="0" xr:uid="{4246F426-8F8D-4BD5-B6B3-70D251554848}">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22" authorId="0" shapeId="0" xr:uid="{E17983B7-06E1-433A-9026-766990A9550B}">
      <text>
        <r>
          <rPr>
            <sz val="8"/>
            <color indexed="81"/>
            <rFont val="Tahoma"/>
            <family val="2"/>
          </rPr>
          <t xml:space="preserve">Recess &amp; NAM must be selected 
when ordering Side Channels. 
The factory will take standard deductions. </t>
        </r>
      </text>
    </comment>
    <comment ref="M22" authorId="0" shapeId="0" xr:uid="{0B1A4A64-CDC0-48C9-A622-AFF89E29FB51}">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22" authorId="0" shapeId="0" xr:uid="{42113070-8177-4A0A-ADAF-809B300B1B01}">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22" authorId="0" shapeId="0" xr:uid="{6EECF61A-CAB2-4A1A-B67E-6B18012F7D8E}">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22" authorId="0" shapeId="0" xr:uid="{4D892FA6-8557-4FC7-8B67-2D2DB7ECA084}">
      <text>
        <r>
          <rPr>
            <sz val="8"/>
            <color indexed="81"/>
            <rFont val="Tahoma"/>
            <family val="2"/>
          </rPr>
          <t xml:space="preserve">The Motor Power Side options for 
Motors With Power Adapters are;
Left
Right
The Motor Power Side for USB-C 
Power Adaptors must match 
the side of the Wand. </t>
        </r>
      </text>
    </comment>
    <comment ref="R22" authorId="0" shapeId="0" xr:uid="{9611C3DC-C847-4BC7-A4D0-46CC328CDC3D}">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22" authorId="1" shapeId="0" xr:uid="{20DF2A2B-A05F-474E-B2FA-3BCE7334B1C2}">
      <text>
        <r>
          <rPr>
            <sz val="9"/>
            <color indexed="81"/>
            <rFont val="Tahoma"/>
            <family val="2"/>
          </rPr>
          <t xml:space="preserve">
The Side Channel Colour 
options are;
Black
Ivory/Classic White
Gray/Earl Gray
White/Snow White</t>
        </r>
      </text>
    </comment>
    <comment ref="T22" authorId="0" shapeId="0" xr:uid="{EF529ED0-7B59-4047-90C8-6DCDD7C941B4}">
      <text>
        <r>
          <rPr>
            <sz val="8"/>
            <color indexed="81"/>
            <rFont val="Tahoma"/>
            <family val="2"/>
          </rPr>
          <t>If the Blind m2 is 
oversized, then 
"Check Size" 
will be listed.</t>
        </r>
      </text>
    </comment>
    <comment ref="U22" authorId="0" shapeId="0" xr:uid="{DAC90A7C-3B8D-483F-A293-6B3EB710BB32}">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22" authorId="0" shapeId="0" xr:uid="{EEF5553A-B54A-4B52-AE79-7FF4B8F8C3DD}">
      <text>
        <r>
          <rPr>
            <sz val="8"/>
            <color indexed="81"/>
            <rFont val="Tahoma"/>
            <family val="2"/>
          </rPr>
          <t>Please use this section 
to specify 
any Special Requirements
for the Line/Order.</t>
        </r>
      </text>
    </comment>
    <comment ref="D23" authorId="0" shapeId="0" xr:uid="{3A5DAA4B-D8BE-4D0F-881F-61E5D581DF8E}">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23" authorId="0" shapeId="0" xr:uid="{ABDF9EC7-728B-403A-9336-C3C9ED23FB32}">
      <text>
        <r>
          <rPr>
            <sz val="8"/>
            <color indexed="81"/>
            <rFont val="Tahoma"/>
            <family val="2"/>
          </rPr>
          <t>Product options are;
25mm Single Cellular Blind
38mm Single Cellular Blind
45mm Single Cellular Blind
38mm Double Cellular Blind
45mm Single Cellular Cell In A Cell Blind</t>
        </r>
      </text>
    </comment>
    <comment ref="F23" authorId="0" shapeId="0" xr:uid="{CEF0AE85-DAEF-4FF7-89A8-2AD9D117CF16}">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23" authorId="0" shapeId="0" xr:uid="{420FAB02-1512-401E-826E-38C907788BFD}">
      <text>
        <r>
          <rPr>
            <sz val="8"/>
            <color indexed="81"/>
            <rFont val="Tahoma"/>
            <family val="2"/>
          </rPr>
          <t>The Colour is dependent on the 
Fabric option selected. 
For a Day Night Blind, 
this Colour is for the 
Top Blind which can be either 
Blockout or Translucent.</t>
        </r>
      </text>
    </comment>
    <comment ref="H23" authorId="0" shapeId="0" xr:uid="{5CF28C0B-373F-4EBA-BB69-D92D21883AD3}">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23" authorId="0" shapeId="0" xr:uid="{0E7F4B27-930E-4C11-9A6A-820D991A8479}">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23" authorId="0" shapeId="0" xr:uid="{0B2DCBF3-AC31-4C28-8787-15D75CF7E1F5}">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23" authorId="0" shapeId="0" xr:uid="{9088CD3F-D5A3-4557-A730-F0B95FD10011}">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23" authorId="0" shapeId="0" xr:uid="{61D24EDF-2AB4-4041-AE40-D574575C7118}">
      <text>
        <r>
          <rPr>
            <sz val="8"/>
            <color indexed="81"/>
            <rFont val="Tahoma"/>
            <family val="2"/>
          </rPr>
          <t xml:space="preserve">Recess &amp; NAM must be selected 
when ordering Side Channels. 
The factory will take standard deductions. </t>
        </r>
      </text>
    </comment>
    <comment ref="M23" authorId="0" shapeId="0" xr:uid="{701101C0-6445-4D7E-AEC2-02C4FC6E4B63}">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23" authorId="0" shapeId="0" xr:uid="{BA0DBF7D-FF73-4C56-A1E1-5A3BAF6F6562}">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23" authorId="0" shapeId="0" xr:uid="{3A69A6CA-484C-46BD-9D7E-4F68C0A48E36}">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23" authorId="0" shapeId="0" xr:uid="{18D8785D-01F6-4FBE-B9FF-B74E9435FF00}">
      <text>
        <r>
          <rPr>
            <sz val="8"/>
            <color indexed="81"/>
            <rFont val="Tahoma"/>
            <family val="2"/>
          </rPr>
          <t xml:space="preserve">The Motor Power Side options for 
Motors With Power Adapters are;
Left
Right
The Motor Power Side for USB-C 
Power Adaptors must match 
the side of the Wand. </t>
        </r>
      </text>
    </comment>
    <comment ref="R23" authorId="0" shapeId="0" xr:uid="{6C8AD035-AC63-49A3-83DA-AB21E94DD560}">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23" authorId="1" shapeId="0" xr:uid="{0AE974E7-0152-4B1E-AD03-D2D1F4E745B9}">
      <text>
        <r>
          <rPr>
            <sz val="9"/>
            <color indexed="81"/>
            <rFont val="Tahoma"/>
            <family val="2"/>
          </rPr>
          <t xml:space="preserve">
The Side Channel Colour 
options are;
Black
Ivory/Classic White
Gray/Earl Gray
White/Snow White</t>
        </r>
      </text>
    </comment>
    <comment ref="T23" authorId="0" shapeId="0" xr:uid="{5BEBD62F-2A10-407D-82D4-6387B05653A2}">
      <text>
        <r>
          <rPr>
            <sz val="8"/>
            <color indexed="81"/>
            <rFont val="Tahoma"/>
            <family val="2"/>
          </rPr>
          <t>If the Blind m2 is 
oversized, then 
"Check Size" 
will be listed.</t>
        </r>
      </text>
    </comment>
    <comment ref="U23" authorId="0" shapeId="0" xr:uid="{349F0273-348D-4E20-A2B3-F2B721C1B580}">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23" authorId="0" shapeId="0" xr:uid="{220841F0-414F-4AC1-8C39-56B0F0F1423D}">
      <text>
        <r>
          <rPr>
            <sz val="8"/>
            <color indexed="81"/>
            <rFont val="Tahoma"/>
            <family val="2"/>
          </rPr>
          <t>Please use this section 
to specify 
any Special Requirements
for the Line/Order.</t>
        </r>
      </text>
    </comment>
    <comment ref="D24" authorId="0" shapeId="0" xr:uid="{757205EE-076D-4499-BD45-F1530D1B4301}">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24" authorId="0" shapeId="0" xr:uid="{779FBE0B-6FE4-4AAB-8DD5-9C8355A728B2}">
      <text>
        <r>
          <rPr>
            <sz val="8"/>
            <color indexed="81"/>
            <rFont val="Tahoma"/>
            <family val="2"/>
          </rPr>
          <t>Product options are;
25mm Single Cellular Blind
38mm Single Cellular Blind
45mm Single Cellular Blind
38mm Double Cellular Blind
45mm Single Cellular Cell In A Cell Blind</t>
        </r>
      </text>
    </comment>
    <comment ref="F24" authorId="0" shapeId="0" xr:uid="{C9D6B665-950D-4016-8463-2CD75D756AB1}">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24" authorId="0" shapeId="0" xr:uid="{E65F872C-F791-4FF1-9903-8E615701DE4B}">
      <text>
        <r>
          <rPr>
            <sz val="8"/>
            <color indexed="81"/>
            <rFont val="Tahoma"/>
            <family val="2"/>
          </rPr>
          <t>The Colour is dependent on the 
Fabric option selected. 
For a Day Night Blind, 
this Colour is for the 
Top Blind which can be either 
Blockout or Translucent.</t>
        </r>
      </text>
    </comment>
    <comment ref="H24" authorId="0" shapeId="0" xr:uid="{79D25DEB-AA7E-4A7E-AFAA-AD4680D48635}">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24" authorId="0" shapeId="0" xr:uid="{E5261586-09C3-4618-9069-0EBC878272CA}">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24" authorId="0" shapeId="0" xr:uid="{A5E000D3-58D3-4D28-812C-E8BFAF3845A1}">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24" authorId="0" shapeId="0" xr:uid="{41288CA6-27BF-4A59-9618-2CFF0E7E6FB2}">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24" authorId="0" shapeId="0" xr:uid="{0B465618-BEB4-4773-95C9-5051D1FD04E2}">
      <text>
        <r>
          <rPr>
            <sz val="8"/>
            <color indexed="81"/>
            <rFont val="Tahoma"/>
            <family val="2"/>
          </rPr>
          <t xml:space="preserve">Recess &amp; NAM must be selected 
when ordering Side Channels. 
The factory will take standard deductions. </t>
        </r>
      </text>
    </comment>
    <comment ref="M24" authorId="0" shapeId="0" xr:uid="{63390969-E10D-4211-8B8F-DAB3FE1555EE}">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24" authorId="0" shapeId="0" xr:uid="{23FC81DB-B795-4EF0-9488-4F6A82CC911E}">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24" authorId="0" shapeId="0" xr:uid="{36687205-38B3-4AAB-AC51-E99BDB40FC67}">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24" authorId="0" shapeId="0" xr:uid="{B39101EE-B4C7-4022-B89B-20827A521DDD}">
      <text>
        <r>
          <rPr>
            <sz val="8"/>
            <color indexed="81"/>
            <rFont val="Tahoma"/>
            <family val="2"/>
          </rPr>
          <t xml:space="preserve">The Motor Power Side options for 
Motors With Power Adapters are;
Left
Right
The Motor Power Side for USB-C 
Power Adaptors must match 
the side of the Wand. </t>
        </r>
      </text>
    </comment>
    <comment ref="R24" authorId="0" shapeId="0" xr:uid="{C610FCCF-3FC0-446C-866D-E16B72CF97B2}">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24" authorId="1" shapeId="0" xr:uid="{A6BF98EB-CD90-4473-A9AF-ED1C06EA2F84}">
      <text>
        <r>
          <rPr>
            <sz val="9"/>
            <color indexed="81"/>
            <rFont val="Tahoma"/>
            <family val="2"/>
          </rPr>
          <t xml:space="preserve">
The Side Channel Colour 
options are;
Black
Ivory/Classic White
Gray/Earl Gray
White/Snow White</t>
        </r>
      </text>
    </comment>
    <comment ref="T24" authorId="0" shapeId="0" xr:uid="{DE56786D-152E-4CB5-920D-4BEF2AF0D1FB}">
      <text>
        <r>
          <rPr>
            <sz val="8"/>
            <color indexed="81"/>
            <rFont val="Tahoma"/>
            <family val="2"/>
          </rPr>
          <t>If the Blind m2 is 
oversized, then 
"Check Size" 
will be listed.</t>
        </r>
      </text>
    </comment>
    <comment ref="U24" authorId="0" shapeId="0" xr:uid="{3B756C45-A84A-4E86-90A1-D419D73D1A75}">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24" authorId="0" shapeId="0" xr:uid="{019603B0-7C25-4B21-B809-F20BB9CBBCFA}">
      <text>
        <r>
          <rPr>
            <sz val="8"/>
            <color indexed="81"/>
            <rFont val="Tahoma"/>
            <family val="2"/>
          </rPr>
          <t>Please use this section 
to specify 
any Special Requirements
for the Line/Order.</t>
        </r>
      </text>
    </comment>
    <comment ref="D25" authorId="0" shapeId="0" xr:uid="{ACD69257-41D5-468E-A5A6-77F62D55044A}">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25" authorId="0" shapeId="0" xr:uid="{86F669C6-3D1D-49C3-90FE-6E2C1D010262}">
      <text>
        <r>
          <rPr>
            <sz val="8"/>
            <color indexed="81"/>
            <rFont val="Tahoma"/>
            <family val="2"/>
          </rPr>
          <t>Product options are;
25mm Single Cellular Blind
38mm Single Cellular Blind
45mm Single Cellular Blind
38mm Double Cellular Blind
45mm Single Cellular Cell In A Cell Blind</t>
        </r>
      </text>
    </comment>
    <comment ref="F25" authorId="0" shapeId="0" xr:uid="{26CD082F-0B77-4BEC-AFCD-F7F4A0343C8B}">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25" authorId="0" shapeId="0" xr:uid="{0A6FD27F-8106-4D55-B05E-0B5FD0BB77D1}">
      <text>
        <r>
          <rPr>
            <sz val="8"/>
            <color indexed="81"/>
            <rFont val="Tahoma"/>
            <family val="2"/>
          </rPr>
          <t>The Colour is dependent on the 
Fabric option selected. 
For a Day Night Blind, 
this Colour is for the 
Top Blind which can be either 
Blockout or Translucent.</t>
        </r>
      </text>
    </comment>
    <comment ref="H25" authorId="0" shapeId="0" xr:uid="{D96C2CA6-4755-423C-931B-4CD2A6AE4C8D}">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25" authorId="0" shapeId="0" xr:uid="{8B0EF322-708D-4979-84F0-F7D320066CEE}">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25" authorId="0" shapeId="0" xr:uid="{4A45A416-806D-4707-85F3-97769B861EBC}">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25" authorId="0" shapeId="0" xr:uid="{DE623148-860B-41B3-9208-4A6444B9FE12}">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25" authorId="0" shapeId="0" xr:uid="{F81796BE-2F3E-4887-952F-4FAEEACCFB9B}">
      <text>
        <r>
          <rPr>
            <sz val="8"/>
            <color indexed="81"/>
            <rFont val="Tahoma"/>
            <family val="2"/>
          </rPr>
          <t xml:space="preserve">Recess &amp; NAM must be selected 
when ordering Side Channels. 
The factory will take standard deductions. </t>
        </r>
      </text>
    </comment>
    <comment ref="M25" authorId="0" shapeId="0" xr:uid="{8FC8C072-ADCD-4EFB-A66A-7DD727AAED06}">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25" authorId="0" shapeId="0" xr:uid="{F2DF1402-818F-4C6F-A4A6-BC2A985ECA9D}">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25" authorId="0" shapeId="0" xr:uid="{67A2B2F1-EE30-4B33-9F3D-9BA16A131669}">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25" authorId="0" shapeId="0" xr:uid="{B4590555-4230-4618-AFB1-D8AADB931EAA}">
      <text>
        <r>
          <rPr>
            <sz val="8"/>
            <color indexed="81"/>
            <rFont val="Tahoma"/>
            <family val="2"/>
          </rPr>
          <t xml:space="preserve">The Motor Power Side options for 
Motors With Power Adapters are;
Left
Right
The Motor Power Side for USB-C 
Power Adaptors must match 
the side of the Wand. </t>
        </r>
      </text>
    </comment>
    <comment ref="R25" authorId="0" shapeId="0" xr:uid="{2E1FE142-7B64-45CF-9DA5-CEFD9FDED7EC}">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25" authorId="1" shapeId="0" xr:uid="{DD705C61-7A76-4EC1-BD0D-9A44C6621D32}">
      <text>
        <r>
          <rPr>
            <sz val="9"/>
            <color indexed="81"/>
            <rFont val="Tahoma"/>
            <family val="2"/>
          </rPr>
          <t xml:space="preserve">
The Side Channel Colour 
options are;
Black
Ivory/Classic White
Gray/Earl Gray
White/Snow White</t>
        </r>
      </text>
    </comment>
    <comment ref="T25" authorId="0" shapeId="0" xr:uid="{257C0AF7-1572-409E-BBC8-C1DEF2616061}">
      <text>
        <r>
          <rPr>
            <sz val="8"/>
            <color indexed="81"/>
            <rFont val="Tahoma"/>
            <family val="2"/>
          </rPr>
          <t>If the Blind m2 is 
oversized, then 
"Check Size" 
will be listed.</t>
        </r>
      </text>
    </comment>
    <comment ref="U25" authorId="0" shapeId="0" xr:uid="{C5EF0DAB-0B20-4015-92C5-7A1B0540E6A4}">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25" authorId="0" shapeId="0" xr:uid="{58090488-C53A-4B67-BEE7-8D6D14E2B131}">
      <text>
        <r>
          <rPr>
            <sz val="8"/>
            <color indexed="81"/>
            <rFont val="Tahoma"/>
            <family val="2"/>
          </rPr>
          <t>Please use this section 
to specify 
any Special Requirements
for the Line/Order.</t>
        </r>
      </text>
    </comment>
    <comment ref="D26" authorId="0" shapeId="0" xr:uid="{B7E8EC1D-1DA8-49FA-A5FB-9488439ED3D3}">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26" authorId="0" shapeId="0" xr:uid="{8BC593A8-12EB-48E0-90FE-0B4FEA06CF06}">
      <text>
        <r>
          <rPr>
            <sz val="8"/>
            <color indexed="81"/>
            <rFont val="Tahoma"/>
            <family val="2"/>
          </rPr>
          <t>Product options are;
25mm Single Cellular Blind
38mm Single Cellular Blind
45mm Single Cellular Blind
38mm Double Cellular Blind
45mm Single Cellular Cell In A Cell Blind</t>
        </r>
      </text>
    </comment>
    <comment ref="F26" authorId="0" shapeId="0" xr:uid="{7297D521-F201-4D5B-8DCD-8C03A986498D}">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26" authorId="0" shapeId="0" xr:uid="{0FB1B165-3D7E-43CA-BBD6-8FCEE174F971}">
      <text>
        <r>
          <rPr>
            <sz val="8"/>
            <color indexed="81"/>
            <rFont val="Tahoma"/>
            <family val="2"/>
          </rPr>
          <t>The Colour is dependent on the 
Fabric option selected. 
For a Day Night Blind, 
this Colour is for the 
Top Blind which can be either 
Blockout or Translucent.</t>
        </r>
      </text>
    </comment>
    <comment ref="H26" authorId="0" shapeId="0" xr:uid="{9E05495C-FF89-4051-9A16-04B1AD43A3E2}">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26" authorId="0" shapeId="0" xr:uid="{B0A2E2D7-FEF8-41E6-A40F-32BA8F229427}">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26" authorId="0" shapeId="0" xr:uid="{3E491C71-8FF6-44DC-B538-30EE4BFEDD65}">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26" authorId="0" shapeId="0" xr:uid="{DFFB6BDD-B702-4E73-8115-1030AA69CD3E}">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26" authorId="0" shapeId="0" xr:uid="{0AB3BC83-8E58-48DC-942A-DF926E97E18F}">
      <text>
        <r>
          <rPr>
            <sz val="8"/>
            <color indexed="81"/>
            <rFont val="Tahoma"/>
            <family val="2"/>
          </rPr>
          <t xml:space="preserve">Recess &amp; NAM must be selected 
when ordering Side Channels. 
The factory will take standard deductions. </t>
        </r>
      </text>
    </comment>
    <comment ref="M26" authorId="0" shapeId="0" xr:uid="{AB7545B1-5208-47D5-B19D-398DA5AA19CC}">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26" authorId="0" shapeId="0" xr:uid="{35035BAE-96CF-439A-8AF0-AD2739451F08}">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26" authorId="0" shapeId="0" xr:uid="{28F9C4A4-62BB-4B19-BEB4-501A6BF1201E}">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26" authorId="0" shapeId="0" xr:uid="{E0771860-7D52-4D7E-9CBE-BDEA314E6BAC}">
      <text>
        <r>
          <rPr>
            <sz val="8"/>
            <color indexed="81"/>
            <rFont val="Tahoma"/>
            <family val="2"/>
          </rPr>
          <t xml:space="preserve">The Motor Power Side options for 
Motors With Power Adapters are;
Left
Right
The Motor Power Side for USB-C 
Power Adaptors must match 
the side of the Wand. </t>
        </r>
      </text>
    </comment>
    <comment ref="R26" authorId="0" shapeId="0" xr:uid="{A965E032-8FEA-4A91-9980-B837CD60DA0F}">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26" authorId="1" shapeId="0" xr:uid="{B23D14F1-8FC3-4DD6-BA8A-793423521923}">
      <text>
        <r>
          <rPr>
            <sz val="9"/>
            <color indexed="81"/>
            <rFont val="Tahoma"/>
            <family val="2"/>
          </rPr>
          <t xml:space="preserve">
The Side Channel Colour 
options are;
Black
Ivory/Classic White
Gray/Earl Gray
White/Snow White</t>
        </r>
      </text>
    </comment>
    <comment ref="T26" authorId="0" shapeId="0" xr:uid="{84231AAF-1638-43E5-9FF5-6C5C615BF29B}">
      <text>
        <r>
          <rPr>
            <sz val="8"/>
            <color indexed="81"/>
            <rFont val="Tahoma"/>
            <family val="2"/>
          </rPr>
          <t>If the Blind m2 is 
oversized, then 
"Check Size" 
will be listed.</t>
        </r>
      </text>
    </comment>
    <comment ref="U26" authorId="0" shapeId="0" xr:uid="{445327AA-3A7B-4C4F-9E94-8AC97E3E7DF7}">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26" authorId="0" shapeId="0" xr:uid="{D89443F6-85E5-48D2-A90D-14B93EC44468}">
      <text>
        <r>
          <rPr>
            <sz val="8"/>
            <color indexed="81"/>
            <rFont val="Tahoma"/>
            <family val="2"/>
          </rPr>
          <t>Please use this section 
to specify 
any Special Requirements
for the Line/Order.</t>
        </r>
      </text>
    </comment>
    <comment ref="D27" authorId="0" shapeId="0" xr:uid="{9D96458F-20F1-4503-9245-E04885D3CBDE}">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27" authorId="0" shapeId="0" xr:uid="{CFAB7E8C-5E57-4D33-AFC6-B402D8EC43B8}">
      <text>
        <r>
          <rPr>
            <sz val="8"/>
            <color indexed="81"/>
            <rFont val="Tahoma"/>
            <family val="2"/>
          </rPr>
          <t>Product options are;
25mm Single Cellular Blind
38mm Single Cellular Blind
45mm Single Cellular Blind
38mm Double Cellular Blind
45mm Single Cellular Cell In A Cell Blind</t>
        </r>
      </text>
    </comment>
    <comment ref="F27" authorId="0" shapeId="0" xr:uid="{B531E5AE-6CF0-4047-877A-659F25380C9D}">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27" authorId="0" shapeId="0" xr:uid="{529435D7-4406-41C6-A311-5AB285CC6544}">
      <text>
        <r>
          <rPr>
            <sz val="8"/>
            <color indexed="81"/>
            <rFont val="Tahoma"/>
            <family val="2"/>
          </rPr>
          <t>The Colour is dependent on the 
Fabric option selected. 
For a Day Night Blind, 
this Colour is for the 
Top Blind which can be either 
Blockout or Translucent.</t>
        </r>
      </text>
    </comment>
    <comment ref="H27" authorId="0" shapeId="0" xr:uid="{2FD7BBA1-5E7F-4415-8D3F-CBA2ABDB92DB}">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27" authorId="0" shapeId="0" xr:uid="{A527E7E5-67DF-4DCB-B043-64F559BF2A38}">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27" authorId="0" shapeId="0" xr:uid="{7E3BCC95-12BE-4F29-B765-CE74727574EB}">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27" authorId="0" shapeId="0" xr:uid="{01E74BB5-4E59-41C3-A90B-C9EBAE3FE359}">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27" authorId="0" shapeId="0" xr:uid="{04959739-A708-41CA-934E-05C725872D84}">
      <text>
        <r>
          <rPr>
            <sz val="8"/>
            <color indexed="81"/>
            <rFont val="Tahoma"/>
            <family val="2"/>
          </rPr>
          <t xml:space="preserve">Recess &amp; NAM must be selected 
when ordering Side Channels. 
The factory will take standard deductions. </t>
        </r>
      </text>
    </comment>
    <comment ref="M27" authorId="0" shapeId="0" xr:uid="{23B9891D-3CE7-4683-9590-67D8B1922617}">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27" authorId="0" shapeId="0" xr:uid="{1C47FD49-DEFC-4618-B9CB-E53F8E38645E}">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27" authorId="0" shapeId="0" xr:uid="{15107BCC-FE5D-40BE-B6D3-35F8B6CF2D44}">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27" authorId="0" shapeId="0" xr:uid="{4E4C463A-EF1D-4751-9AB0-33ABDFAE7A39}">
      <text>
        <r>
          <rPr>
            <sz val="8"/>
            <color indexed="81"/>
            <rFont val="Tahoma"/>
            <family val="2"/>
          </rPr>
          <t xml:space="preserve">The Motor Power Side options for 
Motors With Power Adapters are;
Left
Right
The Motor Power Side for USB-C 
Power Adaptors must match 
the side of the Wand. </t>
        </r>
      </text>
    </comment>
    <comment ref="R27" authorId="0" shapeId="0" xr:uid="{A5A614BE-8519-4C23-A310-4F374317AE8E}">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27" authorId="1" shapeId="0" xr:uid="{A1AF8E60-A58D-4BDE-8DB3-19DC4E005D5D}">
      <text>
        <r>
          <rPr>
            <sz val="9"/>
            <color indexed="81"/>
            <rFont val="Tahoma"/>
            <family val="2"/>
          </rPr>
          <t xml:space="preserve">
The Side Channel Colour 
options are;
Black
Ivory/Classic White
Gray/Earl Gray
White/Snow White</t>
        </r>
      </text>
    </comment>
    <comment ref="T27" authorId="0" shapeId="0" xr:uid="{A4C0A4BD-29B4-4FD4-B159-9FFB0FCC33DD}">
      <text>
        <r>
          <rPr>
            <sz val="8"/>
            <color indexed="81"/>
            <rFont val="Tahoma"/>
            <family val="2"/>
          </rPr>
          <t>If the Blind m2 is 
oversized, then 
"Check Size" 
will be listed.</t>
        </r>
      </text>
    </comment>
    <comment ref="U27" authorId="0" shapeId="0" xr:uid="{08CA29FB-D4EE-436E-B95A-6CE1E286F1F3}">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27" authorId="0" shapeId="0" xr:uid="{B38E237D-F77B-43E2-8D38-5A6A70C47AB8}">
      <text>
        <r>
          <rPr>
            <sz val="8"/>
            <color indexed="81"/>
            <rFont val="Tahoma"/>
            <family val="2"/>
          </rPr>
          <t>Please use this section 
to specify 
any Special Requirements
for the Line/Order.</t>
        </r>
      </text>
    </comment>
    <comment ref="D28" authorId="0" shapeId="0" xr:uid="{DC882070-9706-4B41-B791-6DD7872E35E7}">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28" authorId="0" shapeId="0" xr:uid="{D0D17E1B-4CD3-437F-ACD5-4C71405AF682}">
      <text>
        <r>
          <rPr>
            <sz val="8"/>
            <color indexed="81"/>
            <rFont val="Tahoma"/>
            <family val="2"/>
          </rPr>
          <t>Product options are;
25mm Single Cellular Blind
38mm Single Cellular Blind
45mm Single Cellular Blind
38mm Double Cellular Blind
45mm Single Cellular Cell In A Cell Blind</t>
        </r>
      </text>
    </comment>
    <comment ref="F28" authorId="0" shapeId="0" xr:uid="{4E480E65-FA41-4F89-84E4-3A66AA395FB5}">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28" authorId="0" shapeId="0" xr:uid="{859EEC27-C3AC-4C2B-AF5F-A9D7BA55F0B7}">
      <text>
        <r>
          <rPr>
            <sz val="8"/>
            <color indexed="81"/>
            <rFont val="Tahoma"/>
            <family val="2"/>
          </rPr>
          <t>The Colour is dependent on the 
Fabric option selected. 
For a Day Night Blind, 
this Colour is for the 
Top Blind which can be either 
Blockout or Translucent.</t>
        </r>
      </text>
    </comment>
    <comment ref="H28" authorId="0" shapeId="0" xr:uid="{D9C0D37A-9C8C-4CAB-9169-01B79E51C2A1}">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28" authorId="0" shapeId="0" xr:uid="{DC9246E7-0686-4971-AF47-A6F83447B10D}">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28" authorId="0" shapeId="0" xr:uid="{C0B2FD72-3C81-419F-9634-5714EF0CE536}">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28" authorId="0" shapeId="0" xr:uid="{846A53A6-F1C7-4DBA-A184-EA77CD3E74AA}">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28" authorId="0" shapeId="0" xr:uid="{ACD41C01-8147-40E5-9568-CBABFCA0AA7B}">
      <text>
        <r>
          <rPr>
            <sz val="8"/>
            <color indexed="81"/>
            <rFont val="Tahoma"/>
            <family val="2"/>
          </rPr>
          <t xml:space="preserve">Recess &amp; NAM must be selected 
when ordering Side Channels. 
The factory will take standard deductions. </t>
        </r>
      </text>
    </comment>
    <comment ref="M28" authorId="0" shapeId="0" xr:uid="{2719B058-9C67-465C-A112-AD09BFE78676}">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28" authorId="0" shapeId="0" xr:uid="{D25BDF3B-EBE8-48DF-AA3C-514A645A4A00}">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28" authorId="0" shapeId="0" xr:uid="{72838711-31D1-4FC7-BEA1-09229AA33FE2}">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28" authorId="0" shapeId="0" xr:uid="{AB2D1C0F-B54F-42C8-B837-4DA8B8408590}">
      <text>
        <r>
          <rPr>
            <sz val="8"/>
            <color indexed="81"/>
            <rFont val="Tahoma"/>
            <family val="2"/>
          </rPr>
          <t xml:space="preserve">The Motor Power Side options for 
Motors With Power Adapters are;
Left
Right
The Motor Power Side for USB-C 
Power Adaptors must match 
the side of the Wand. </t>
        </r>
      </text>
    </comment>
    <comment ref="R28" authorId="0" shapeId="0" xr:uid="{C7281E18-84E5-4F17-ACF3-0695DE817B79}">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28" authorId="1" shapeId="0" xr:uid="{A25D72D1-7C8C-41ED-BACF-11947D7767B5}">
      <text>
        <r>
          <rPr>
            <sz val="9"/>
            <color indexed="81"/>
            <rFont val="Tahoma"/>
            <family val="2"/>
          </rPr>
          <t xml:space="preserve">
The Side Channel Colour 
options are;
Black
Ivory/Classic White
Gray/Earl Gray
White/Snow White</t>
        </r>
      </text>
    </comment>
    <comment ref="T28" authorId="0" shapeId="0" xr:uid="{61901529-8C26-4879-B4D4-4BA5FA1E1759}">
      <text>
        <r>
          <rPr>
            <sz val="8"/>
            <color indexed="81"/>
            <rFont val="Tahoma"/>
            <family val="2"/>
          </rPr>
          <t>If the Blind m2 is 
oversized, then 
"Check Size" 
will be listed.</t>
        </r>
      </text>
    </comment>
    <comment ref="U28" authorId="0" shapeId="0" xr:uid="{2FAEDC67-2F9A-4F41-A7B1-ABB9219A6F11}">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28" authorId="0" shapeId="0" xr:uid="{43CA583C-85C5-47A5-BAB0-6F05B36DF8F2}">
      <text>
        <r>
          <rPr>
            <sz val="8"/>
            <color indexed="81"/>
            <rFont val="Tahoma"/>
            <family val="2"/>
          </rPr>
          <t>Please use this section 
to specify 
any Special Requirements
for the Line/Order.</t>
        </r>
      </text>
    </comment>
    <comment ref="D29" authorId="0" shapeId="0" xr:uid="{DF666A4F-C57F-4C1C-87A4-FEB3FC4EAE31}">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29" authorId="0" shapeId="0" xr:uid="{67A1C6B8-35F8-4FD9-9559-B5E43CA0F754}">
      <text>
        <r>
          <rPr>
            <sz val="8"/>
            <color indexed="81"/>
            <rFont val="Tahoma"/>
            <family val="2"/>
          </rPr>
          <t>Product options are;
25mm Single Cellular Blind
38mm Single Cellular Blind
45mm Single Cellular Blind
38mm Double Cellular Blind
45mm Single Cellular Cell In A Cell Blind</t>
        </r>
      </text>
    </comment>
    <comment ref="F29" authorId="0" shapeId="0" xr:uid="{030D29CF-364B-4841-8B5B-A24E36ACA1FA}">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29" authorId="0" shapeId="0" xr:uid="{ACA99525-6DD8-41A1-B680-FEFA4E5DB210}">
      <text>
        <r>
          <rPr>
            <sz val="8"/>
            <color indexed="81"/>
            <rFont val="Tahoma"/>
            <family val="2"/>
          </rPr>
          <t>The Colour is dependent on the 
Fabric option selected. 
For a Day Night Blind, 
this Colour is for the 
Top Blind which can be either 
Blockout or Translucent.</t>
        </r>
      </text>
    </comment>
    <comment ref="H29" authorId="0" shapeId="0" xr:uid="{0101F6B6-10A6-434D-B2AC-BA98FF46683F}">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29" authorId="0" shapeId="0" xr:uid="{5A8D3E3C-7DEF-4E28-94D3-E4C7A005C0EF}">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29" authorId="0" shapeId="0" xr:uid="{463797A6-B2A5-4E34-8703-33B5FD72B8AA}">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29" authorId="0" shapeId="0" xr:uid="{9B06188B-8E79-42AD-9D4D-83E260449C36}">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29" authorId="0" shapeId="0" xr:uid="{0BF93112-7874-40E9-BCA7-CC585D653EA9}">
      <text>
        <r>
          <rPr>
            <sz val="8"/>
            <color indexed="81"/>
            <rFont val="Tahoma"/>
            <family val="2"/>
          </rPr>
          <t xml:space="preserve">Recess &amp; NAM must be selected 
when ordering Side Channels. 
The factory will take standard deductions. </t>
        </r>
      </text>
    </comment>
    <comment ref="M29" authorId="0" shapeId="0" xr:uid="{B0D80D0D-5F99-4510-8F1E-59516FDEDC34}">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29" authorId="0" shapeId="0" xr:uid="{FC5FD31D-8142-462E-B7D5-0625A59C99A1}">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29" authorId="0" shapeId="0" xr:uid="{1BD88F20-EDCD-4811-95F9-AAB4D3BA86B1}">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29" authorId="0" shapeId="0" xr:uid="{D5F06EE5-F514-4E1F-AE93-15C4662F30E9}">
      <text>
        <r>
          <rPr>
            <sz val="8"/>
            <color indexed="81"/>
            <rFont val="Tahoma"/>
            <family val="2"/>
          </rPr>
          <t xml:space="preserve">The Motor Power Side options for 
Motors With Power Adapters are;
Left
Right
The Motor Power Side for USB-C 
Power Adaptors must match 
the side of the Wand. </t>
        </r>
      </text>
    </comment>
    <comment ref="R29" authorId="0" shapeId="0" xr:uid="{9C1DE757-FD44-4258-BF34-9F0DE7F96F18}">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29" authorId="1" shapeId="0" xr:uid="{393AA7FE-9A02-466C-8012-5B6348653616}">
      <text>
        <r>
          <rPr>
            <sz val="9"/>
            <color indexed="81"/>
            <rFont val="Tahoma"/>
            <family val="2"/>
          </rPr>
          <t xml:space="preserve">
The Side Channel Colour 
options are;
Black
Ivory/Classic White
Gray/Earl Gray
White/Snow White</t>
        </r>
      </text>
    </comment>
    <comment ref="T29" authorId="0" shapeId="0" xr:uid="{9C48D005-CCEC-4D3D-AD91-07836B9E1FBE}">
      <text>
        <r>
          <rPr>
            <sz val="8"/>
            <color indexed="81"/>
            <rFont val="Tahoma"/>
            <family val="2"/>
          </rPr>
          <t>If the Blind m2 is 
oversized, then 
"Check Size" 
will be listed.</t>
        </r>
      </text>
    </comment>
    <comment ref="U29" authorId="0" shapeId="0" xr:uid="{A584F330-5030-48DD-B9FA-2B9FB88DB760}">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29" authorId="0" shapeId="0" xr:uid="{EA796BE3-8C86-48D3-A8AA-C4FED68848E5}">
      <text>
        <r>
          <rPr>
            <sz val="8"/>
            <color indexed="81"/>
            <rFont val="Tahoma"/>
            <family val="2"/>
          </rPr>
          <t>Please use this section 
to specify 
any Special Requirements
for the Line/Order.</t>
        </r>
      </text>
    </comment>
    <comment ref="D30" authorId="0" shapeId="0" xr:uid="{1D94E5C9-2A71-4936-A87B-09CFB31A4A5C}">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30" authorId="0" shapeId="0" xr:uid="{B29A4CA8-ED61-470F-8FE9-2906C8EEFC0E}">
      <text>
        <r>
          <rPr>
            <sz val="8"/>
            <color indexed="81"/>
            <rFont val="Tahoma"/>
            <family val="2"/>
          </rPr>
          <t>Product options are;
25mm Single Cellular Blind
38mm Single Cellular Blind
45mm Single Cellular Blind
38mm Double Cellular Blind
45mm Single Cellular Cell In A Cell Blind</t>
        </r>
      </text>
    </comment>
    <comment ref="F30" authorId="0" shapeId="0" xr:uid="{2B31D7BF-F44D-4A2E-9929-7EC0C87DD148}">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30" authorId="0" shapeId="0" xr:uid="{E9EAC3DE-EAF7-4A4A-81D3-1350FB824E1E}">
      <text>
        <r>
          <rPr>
            <sz val="8"/>
            <color indexed="81"/>
            <rFont val="Tahoma"/>
            <family val="2"/>
          </rPr>
          <t>The Colour is dependent on the 
Fabric option selected. 
For a Day Night Blind, 
this Colour is for the 
Top Blind which can be either 
Blockout or Translucent.</t>
        </r>
      </text>
    </comment>
    <comment ref="H30" authorId="0" shapeId="0" xr:uid="{5F371497-E273-4EF4-B97D-092678217F76}">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30" authorId="0" shapeId="0" xr:uid="{4BAC4610-E63F-49E5-9102-068CB1CAFDAB}">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30" authorId="0" shapeId="0" xr:uid="{71817124-ACB9-4898-9170-83BC87669EA5}">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30" authorId="0" shapeId="0" xr:uid="{EFE930C3-A2E8-475C-84A0-108FEDDBE06B}">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30" authorId="0" shapeId="0" xr:uid="{2E2A2EAE-929F-4222-A508-BDD9F8927677}">
      <text>
        <r>
          <rPr>
            <sz val="8"/>
            <color indexed="81"/>
            <rFont val="Tahoma"/>
            <family val="2"/>
          </rPr>
          <t xml:space="preserve">Recess &amp; NAM must be selected 
when ordering Side Channels. 
The factory will take standard deductions. </t>
        </r>
      </text>
    </comment>
    <comment ref="M30" authorId="0" shapeId="0" xr:uid="{28383CE9-8C65-4D1E-ACB8-98EF01B9C248}">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30" authorId="0" shapeId="0" xr:uid="{2D839EAF-632E-4D2E-852C-E4CAAA7B0C52}">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30" authorId="0" shapeId="0" xr:uid="{E8338580-8B70-48CF-9C2D-EE15C344D142}">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30" authorId="0" shapeId="0" xr:uid="{33469B0E-417F-491B-8288-83FC65E90A2B}">
      <text>
        <r>
          <rPr>
            <sz val="8"/>
            <color indexed="81"/>
            <rFont val="Tahoma"/>
            <family val="2"/>
          </rPr>
          <t xml:space="preserve">The Motor Power Side options for 
Motors With Power Adapters are;
Left
Right
The Motor Power Side for USB-C 
Power Adaptors must match 
the side of the Wand. </t>
        </r>
      </text>
    </comment>
    <comment ref="R30" authorId="0" shapeId="0" xr:uid="{1A8B8F43-D798-416F-830B-E8CFC43BAF11}">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30" authorId="1" shapeId="0" xr:uid="{30B73081-798B-4280-82B3-631245BBDFC4}">
      <text>
        <r>
          <rPr>
            <sz val="9"/>
            <color indexed="81"/>
            <rFont val="Tahoma"/>
            <family val="2"/>
          </rPr>
          <t xml:space="preserve">
The Side Channel Colour 
options are;
Black
Ivory/Classic White
Gray/Earl Gray
White/Snow White</t>
        </r>
      </text>
    </comment>
    <comment ref="T30" authorId="0" shapeId="0" xr:uid="{B5F1A029-F835-426A-8805-3DB907FB7448}">
      <text>
        <r>
          <rPr>
            <sz val="8"/>
            <color indexed="81"/>
            <rFont val="Tahoma"/>
            <family val="2"/>
          </rPr>
          <t>If the Blind m2 is 
oversized, then 
"Check Size" 
will be listed.</t>
        </r>
      </text>
    </comment>
    <comment ref="U30" authorId="0" shapeId="0" xr:uid="{57E3ED60-7F75-4592-91DB-A8239BEC089E}">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30" authorId="0" shapeId="0" xr:uid="{6F2E8360-5406-4E95-8B9A-A882CB8DF46D}">
      <text>
        <r>
          <rPr>
            <sz val="8"/>
            <color indexed="81"/>
            <rFont val="Tahoma"/>
            <family val="2"/>
          </rPr>
          <t>Please use this section 
to specify 
any Special Requirements
for the Line/Order.</t>
        </r>
      </text>
    </comment>
    <comment ref="D31" authorId="0" shapeId="0" xr:uid="{180089B5-48C5-4B50-AAB8-6FED7876C0A8}">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31" authorId="0" shapeId="0" xr:uid="{3112FC2C-0A39-4DC8-B604-AAB644218FD6}">
      <text>
        <r>
          <rPr>
            <sz val="8"/>
            <color indexed="81"/>
            <rFont val="Tahoma"/>
            <family val="2"/>
          </rPr>
          <t>Product options are;
25mm Single Cellular Blind
38mm Single Cellular Blind
45mm Single Cellular Blind
38mm Double Cellular Blind
45mm Single Cellular Cell In A Cell Blind</t>
        </r>
      </text>
    </comment>
    <comment ref="F31" authorId="0" shapeId="0" xr:uid="{293781AB-07C7-4DBB-8F5D-3304EC221398}">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31" authorId="0" shapeId="0" xr:uid="{D0CEDE21-285A-483F-9DED-38BD4F4BCD1F}">
      <text>
        <r>
          <rPr>
            <sz val="8"/>
            <color indexed="81"/>
            <rFont val="Tahoma"/>
            <family val="2"/>
          </rPr>
          <t>The Colour is dependent on the 
Fabric option selected. 
For a Day Night Blind, 
this Colour is for the 
Top Blind which can be either 
Blockout or Translucent.</t>
        </r>
      </text>
    </comment>
    <comment ref="H31" authorId="0" shapeId="0" xr:uid="{89E301CA-9A7D-481A-B677-968980BFC429}">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31" authorId="0" shapeId="0" xr:uid="{0EB7957C-551E-4472-8EBB-623F551B11BD}">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31" authorId="0" shapeId="0" xr:uid="{1DBAE1D2-17C6-44B8-BF2A-23727BCAFDD7}">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31" authorId="0" shapeId="0" xr:uid="{C4338758-CB5A-45D2-8ECC-E36FAA8815A0}">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31" authorId="0" shapeId="0" xr:uid="{D82E5548-B083-4173-BDBF-CD46185A18E0}">
      <text>
        <r>
          <rPr>
            <sz val="8"/>
            <color indexed="81"/>
            <rFont val="Tahoma"/>
            <family val="2"/>
          </rPr>
          <t xml:space="preserve">Recess &amp; NAM must be selected 
when ordering Side Channels. 
The factory will take standard deductions. </t>
        </r>
      </text>
    </comment>
    <comment ref="M31" authorId="0" shapeId="0" xr:uid="{1F3C9335-A854-49EA-9C15-3712A41536F8}">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31" authorId="0" shapeId="0" xr:uid="{3EF278D8-6DEE-49EB-ABBF-DE1D77A9B340}">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31" authorId="0" shapeId="0" xr:uid="{D280C449-D698-4728-926D-908DA6CC571F}">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31" authorId="0" shapeId="0" xr:uid="{2E24C256-B22E-4020-8275-C7D3BAEA0025}">
      <text>
        <r>
          <rPr>
            <sz val="8"/>
            <color indexed="81"/>
            <rFont val="Tahoma"/>
            <family val="2"/>
          </rPr>
          <t xml:space="preserve">The Motor Power Side options for 
Motors With Power Adapters are;
Left
Right
The Motor Power Side for USB-C 
Power Adaptors must match 
the side of the Wand. </t>
        </r>
      </text>
    </comment>
    <comment ref="R31" authorId="0" shapeId="0" xr:uid="{4446DA6B-10E1-4E79-A5D2-0A2E75A860D7}">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31" authorId="1" shapeId="0" xr:uid="{B1E3D226-899A-4B6D-B0EC-5A0135E36A1F}">
      <text>
        <r>
          <rPr>
            <sz val="9"/>
            <color indexed="81"/>
            <rFont val="Tahoma"/>
            <family val="2"/>
          </rPr>
          <t xml:space="preserve">
The Side Channel Colour 
options are;
Black
Ivory/Classic White
Gray/Earl Gray
White/Snow White</t>
        </r>
      </text>
    </comment>
    <comment ref="T31" authorId="0" shapeId="0" xr:uid="{2C529679-3D63-4703-8476-F0DC5F433781}">
      <text>
        <r>
          <rPr>
            <sz val="8"/>
            <color indexed="81"/>
            <rFont val="Tahoma"/>
            <family val="2"/>
          </rPr>
          <t>If the Blind m2 is 
oversized, then 
"Check Size" 
will be listed.</t>
        </r>
      </text>
    </comment>
    <comment ref="U31" authorId="0" shapeId="0" xr:uid="{F8666DC2-56BD-4451-AE41-85D8DE92C9AC}">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31" authorId="0" shapeId="0" xr:uid="{3E67C6BC-7610-4E5E-9D24-4DCEEF393098}">
      <text>
        <r>
          <rPr>
            <sz val="8"/>
            <color indexed="81"/>
            <rFont val="Tahoma"/>
            <family val="2"/>
          </rPr>
          <t>Please use this section 
to specify 
any Special Requirements
for the Line/Order.</t>
        </r>
      </text>
    </comment>
    <comment ref="D32" authorId="0" shapeId="0" xr:uid="{40214705-66EA-45C5-AA1F-3309010B1CFA}">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32" authorId="0" shapeId="0" xr:uid="{AC615253-680F-448A-A9F4-3E8C3A9DBDFD}">
      <text>
        <r>
          <rPr>
            <sz val="8"/>
            <color indexed="81"/>
            <rFont val="Tahoma"/>
            <family val="2"/>
          </rPr>
          <t>Product options are;
25mm Single Cellular Blind
38mm Single Cellular Blind
45mm Single Cellular Blind
38mm Double Cellular Blind
45mm Single Cellular Cell In A Cell Blind</t>
        </r>
      </text>
    </comment>
    <comment ref="F32" authorId="0" shapeId="0" xr:uid="{CF8D1F93-BD01-45B4-BA42-B0433C6C6ED3}">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32" authorId="0" shapeId="0" xr:uid="{470BD527-8F46-4CC2-8AD0-1784283D1659}">
      <text>
        <r>
          <rPr>
            <sz val="8"/>
            <color indexed="81"/>
            <rFont val="Tahoma"/>
            <family val="2"/>
          </rPr>
          <t>The Colour is dependent on the 
Fabric option selected. 
For a Day Night Blind, 
this Colour is for the 
Top Blind which can be either 
Blockout or Translucent.</t>
        </r>
      </text>
    </comment>
    <comment ref="H32" authorId="0" shapeId="0" xr:uid="{A3F99352-B70A-4D8A-AD8A-36BA22584A66}">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32" authorId="0" shapeId="0" xr:uid="{A5A86B3D-D4AB-4199-8BF5-7A0F0E127DA1}">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32" authorId="0" shapeId="0" xr:uid="{789A60F4-66C4-4D18-8523-71073A58BABC}">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32" authorId="0" shapeId="0" xr:uid="{CD63F8EF-A7F9-4BFB-9657-431A7DA31127}">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32" authorId="0" shapeId="0" xr:uid="{ECE5FC81-5C78-4F01-B2E0-091DB4C3E4C9}">
      <text>
        <r>
          <rPr>
            <sz val="8"/>
            <color indexed="81"/>
            <rFont val="Tahoma"/>
            <family val="2"/>
          </rPr>
          <t xml:space="preserve">Recess &amp; NAM must be selected 
when ordering Side Channels. 
The factory will take standard deductions. </t>
        </r>
      </text>
    </comment>
    <comment ref="M32" authorId="0" shapeId="0" xr:uid="{D6B54601-8DC1-4A61-A86C-D83FAE9492C7}">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32" authorId="0" shapeId="0" xr:uid="{7ADA7B0A-9E7A-43FD-9417-2E04EE490E8E}">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32" authorId="0" shapeId="0" xr:uid="{1D06DFF9-CC46-4F58-A560-45842D385B3C}">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32" authorId="0" shapeId="0" xr:uid="{7A166A60-BA24-4EA1-8893-3841E5FA7776}">
      <text>
        <r>
          <rPr>
            <sz val="8"/>
            <color indexed="81"/>
            <rFont val="Tahoma"/>
            <family val="2"/>
          </rPr>
          <t xml:space="preserve">The Motor Power Side options for 
Motors With Power Adapters are;
Left
Right
The Motor Power Side for USB-C 
Power Adaptors must match 
the side of the Wand. </t>
        </r>
      </text>
    </comment>
    <comment ref="R32" authorId="0" shapeId="0" xr:uid="{06AB1405-F521-4C49-80C2-795982D70341}">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32" authorId="1" shapeId="0" xr:uid="{0301585E-3CD2-475A-A320-B6B396140AF9}">
      <text>
        <r>
          <rPr>
            <sz val="9"/>
            <color indexed="81"/>
            <rFont val="Tahoma"/>
            <family val="2"/>
          </rPr>
          <t xml:space="preserve">
The Side Channel Colour 
options are;
Black
Ivory/Classic White
Gray/Earl Gray
White/Snow White</t>
        </r>
      </text>
    </comment>
    <comment ref="T32" authorId="0" shapeId="0" xr:uid="{A2760CED-DBF6-4A09-A92C-2743EF37ED01}">
      <text>
        <r>
          <rPr>
            <sz val="8"/>
            <color indexed="81"/>
            <rFont val="Tahoma"/>
            <family val="2"/>
          </rPr>
          <t>If the Blind m2 is 
oversized, then 
"Check Size" 
will be listed.</t>
        </r>
      </text>
    </comment>
    <comment ref="U32" authorId="0" shapeId="0" xr:uid="{A59BFB2E-79B8-4CD3-87D5-70C0922D0280}">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32" authorId="0" shapeId="0" xr:uid="{55EC89E8-8FA2-47F2-B973-8642D2A45C57}">
      <text>
        <r>
          <rPr>
            <sz val="8"/>
            <color indexed="81"/>
            <rFont val="Tahoma"/>
            <family val="2"/>
          </rPr>
          <t>Please use this section 
to specify 
any Special Requirements
for the Line/Order.</t>
        </r>
      </text>
    </comment>
    <comment ref="D33" authorId="0" shapeId="0" xr:uid="{31E8F47D-5024-40BF-98E4-62F3A3EAA268}">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33" authorId="0" shapeId="0" xr:uid="{02C80A60-C846-4FDF-B390-DB3C0695A1B7}">
      <text>
        <r>
          <rPr>
            <sz val="8"/>
            <color indexed="81"/>
            <rFont val="Tahoma"/>
            <family val="2"/>
          </rPr>
          <t>Product options are;
25mm Single Cellular Blind
38mm Single Cellular Blind
45mm Single Cellular Blind
38mm Double Cellular Blind
45mm Single Cellular Cell In A Cell Blind</t>
        </r>
      </text>
    </comment>
    <comment ref="F33" authorId="0" shapeId="0" xr:uid="{3C7D0EFB-5C07-46F9-8D11-A12C66068D16}">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33" authorId="0" shapeId="0" xr:uid="{1A08287C-4523-4B13-BD16-C9FC60E25F62}">
      <text>
        <r>
          <rPr>
            <sz val="8"/>
            <color indexed="81"/>
            <rFont val="Tahoma"/>
            <family val="2"/>
          </rPr>
          <t>The Colour is dependent on the 
Fabric option selected. 
For a Day Night Blind, 
this Colour is for the 
Top Blind which can be either 
Blockout or Translucent.</t>
        </r>
      </text>
    </comment>
    <comment ref="H33" authorId="0" shapeId="0" xr:uid="{5DCBA1A3-7412-4C7A-94C8-DE3868F06D0B}">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33" authorId="0" shapeId="0" xr:uid="{BD6B3723-7CA8-4F06-864E-96F6F4158115}">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33" authorId="0" shapeId="0" xr:uid="{6D4370E4-37D9-469B-A59C-A7D9334E2321}">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33" authorId="0" shapeId="0" xr:uid="{E6E3D2D9-32EE-493A-A535-E02C7AE733DF}">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33" authorId="0" shapeId="0" xr:uid="{E3AD76D5-FCF9-475A-A6CA-E865539600DA}">
      <text>
        <r>
          <rPr>
            <sz val="8"/>
            <color indexed="81"/>
            <rFont val="Tahoma"/>
            <family val="2"/>
          </rPr>
          <t xml:space="preserve">Recess &amp; NAM must be selected 
when ordering Side Channels. 
The factory will take standard deductions. </t>
        </r>
      </text>
    </comment>
    <comment ref="M33" authorId="0" shapeId="0" xr:uid="{CF43C74D-0CFA-4496-BD4F-75C796097C8B}">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33" authorId="0" shapeId="0" xr:uid="{79AB1E01-8F5E-48E5-85F7-DE077E464E21}">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33" authorId="0" shapeId="0" xr:uid="{69484C56-C480-42C5-9FC2-108671C97FEF}">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33" authorId="0" shapeId="0" xr:uid="{5D2EF2E7-CEAC-425A-BED0-3C2599C74168}">
      <text>
        <r>
          <rPr>
            <sz val="8"/>
            <color indexed="81"/>
            <rFont val="Tahoma"/>
            <family val="2"/>
          </rPr>
          <t xml:space="preserve">The Motor Power Side options for 
Motors With Power Adapters are;
Left
Right
The Motor Power Side for USB-C 
Power Adaptors must match 
the side of the Wand. </t>
        </r>
      </text>
    </comment>
    <comment ref="R33" authorId="0" shapeId="0" xr:uid="{0AC08343-7CA4-44B5-9D78-2FE52040752E}">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33" authorId="1" shapeId="0" xr:uid="{5F2473D8-C629-4385-8FCD-EA320831285D}">
      <text>
        <r>
          <rPr>
            <sz val="9"/>
            <color indexed="81"/>
            <rFont val="Tahoma"/>
            <family val="2"/>
          </rPr>
          <t xml:space="preserve">
The Side Channel Colour 
options are;
Black
Ivory/Classic White
Gray/Earl Gray
White/Snow White</t>
        </r>
      </text>
    </comment>
    <comment ref="T33" authorId="0" shapeId="0" xr:uid="{15B268FF-77BF-4DA3-9B5B-EA7838000C63}">
      <text>
        <r>
          <rPr>
            <sz val="8"/>
            <color indexed="81"/>
            <rFont val="Tahoma"/>
            <family val="2"/>
          </rPr>
          <t>If the Blind m2 is 
oversized, then 
"Check Size" 
will be listed.</t>
        </r>
      </text>
    </comment>
    <comment ref="U33" authorId="0" shapeId="0" xr:uid="{4EDAECEC-1D58-448B-AA92-56AF4E6F0C57}">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33" authorId="0" shapeId="0" xr:uid="{0DA6FF8C-CCEF-4431-BCDD-DB2D50406FE8}">
      <text>
        <r>
          <rPr>
            <sz val="8"/>
            <color indexed="81"/>
            <rFont val="Tahoma"/>
            <family val="2"/>
          </rPr>
          <t>Please use this section 
to specify 
any Special Requirements
for the Line/Order.</t>
        </r>
      </text>
    </comment>
    <comment ref="D34" authorId="0" shapeId="0" xr:uid="{DA8D52F8-D8F0-461F-A2F0-E68AA7117BB7}">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34" authorId="0" shapeId="0" xr:uid="{F4CF3485-AC25-4E33-8C02-41E5B510A268}">
      <text>
        <r>
          <rPr>
            <sz val="8"/>
            <color indexed="81"/>
            <rFont val="Tahoma"/>
            <family val="2"/>
          </rPr>
          <t>Product options are;
25mm Single Cellular Blind
38mm Single Cellular Blind
45mm Single Cellular Blind
38mm Double Cellular Blind
45mm Single Cellular Cell In A Cell Blind</t>
        </r>
      </text>
    </comment>
    <comment ref="F34" authorId="0" shapeId="0" xr:uid="{E098BB5B-F612-45AF-9F37-07F7F6633FA6}">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34" authorId="0" shapeId="0" xr:uid="{E5362BAA-5A36-4E5E-915E-FF137D624B0E}">
      <text>
        <r>
          <rPr>
            <sz val="8"/>
            <color indexed="81"/>
            <rFont val="Tahoma"/>
            <family val="2"/>
          </rPr>
          <t>The Colour is dependent on the 
Fabric option selected. 
For a Day Night Blind, 
this Colour is for the 
Top Blind which can be either 
Blockout or Translucent.</t>
        </r>
      </text>
    </comment>
    <comment ref="H34" authorId="0" shapeId="0" xr:uid="{C70D162F-0A1D-4EBF-8F15-FCB3ED98C2DC}">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34" authorId="0" shapeId="0" xr:uid="{5D0F1F7E-7AC4-4A3B-997D-D855F0DD68ED}">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34" authorId="0" shapeId="0" xr:uid="{E71D77F4-A38C-40CE-9429-19138831FB74}">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34" authorId="0" shapeId="0" xr:uid="{981184A5-6C87-4871-A192-FB4ECC65BD45}">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34" authorId="0" shapeId="0" xr:uid="{6C1263D3-138F-45F5-801C-655096290172}">
      <text>
        <r>
          <rPr>
            <sz val="8"/>
            <color indexed="81"/>
            <rFont val="Tahoma"/>
            <family val="2"/>
          </rPr>
          <t xml:space="preserve">Recess &amp; NAM must be selected 
when ordering Side Channels. 
The factory will take standard deductions. </t>
        </r>
      </text>
    </comment>
    <comment ref="M34" authorId="0" shapeId="0" xr:uid="{19F02CC0-521A-4786-B940-55ABB1A4A640}">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34" authorId="0" shapeId="0" xr:uid="{CEFA1F09-6E99-4B56-9F44-45B8B8ECBEA2}">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34" authorId="0" shapeId="0" xr:uid="{70F259B4-8D70-447A-B551-5DEB6137D0CD}">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34" authorId="0" shapeId="0" xr:uid="{DBCB65CD-3795-4F96-84E2-815A7BDDCB65}">
      <text>
        <r>
          <rPr>
            <sz val="8"/>
            <color indexed="81"/>
            <rFont val="Tahoma"/>
            <family val="2"/>
          </rPr>
          <t xml:space="preserve">The Motor Power Side options for 
Motors With Power Adapters are;
Left
Right
The Motor Power Side for USB-C 
Power Adaptors must match 
the side of the Wand. </t>
        </r>
      </text>
    </comment>
    <comment ref="R34" authorId="0" shapeId="0" xr:uid="{7B41CE7A-291E-4091-A740-E39C967429B0}">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34" authorId="1" shapeId="0" xr:uid="{FB9D7369-A1E4-4688-8A0D-3734FAF726AF}">
      <text>
        <r>
          <rPr>
            <sz val="9"/>
            <color indexed="81"/>
            <rFont val="Tahoma"/>
            <family val="2"/>
          </rPr>
          <t xml:space="preserve">
The Side Channel Colour 
options are;
Black
Ivory/Classic White
Gray/Earl Gray
White/Snow White</t>
        </r>
      </text>
    </comment>
    <comment ref="T34" authorId="0" shapeId="0" xr:uid="{AA60066E-C870-4D6F-A62A-5E716EE5D3AD}">
      <text>
        <r>
          <rPr>
            <sz val="8"/>
            <color indexed="81"/>
            <rFont val="Tahoma"/>
            <family val="2"/>
          </rPr>
          <t>If the Blind m2 is 
oversized, then 
"Check Size" 
will be listed.</t>
        </r>
      </text>
    </comment>
    <comment ref="U34" authorId="0" shapeId="0" xr:uid="{6FD0D521-E11E-4543-B9AE-D9528F855BB8}">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34" authorId="0" shapeId="0" xr:uid="{0A28104B-7F98-44BA-BCA9-2FD65F0C3085}">
      <text>
        <r>
          <rPr>
            <sz val="8"/>
            <color indexed="81"/>
            <rFont val="Tahoma"/>
            <family val="2"/>
          </rPr>
          <t>Please use this section 
to specify 
any Special Requirements
for the Line/Order.</t>
        </r>
      </text>
    </comment>
    <comment ref="D35" authorId="0" shapeId="0" xr:uid="{2C67C30E-338B-447B-90E8-13A531F839C8}">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35" authorId="0" shapeId="0" xr:uid="{AAC684F0-7086-469A-BE1D-BE03533FB56C}">
      <text>
        <r>
          <rPr>
            <sz val="8"/>
            <color indexed="81"/>
            <rFont val="Tahoma"/>
            <family val="2"/>
          </rPr>
          <t>Product options are;
25mm Single Cellular Blind
38mm Single Cellular Blind
45mm Single Cellular Blind
38mm Double Cellular Blind
45mm Single Cellular Cell In A Cell Blind</t>
        </r>
      </text>
    </comment>
    <comment ref="F35" authorId="0" shapeId="0" xr:uid="{B7155BF0-EC03-4EC9-9797-5D49F875E265}">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35" authorId="0" shapeId="0" xr:uid="{7A76B69F-AFCD-4818-83FC-FC3DF60C8CA3}">
      <text>
        <r>
          <rPr>
            <sz val="8"/>
            <color indexed="81"/>
            <rFont val="Tahoma"/>
            <family val="2"/>
          </rPr>
          <t>The Colour is dependent on the 
Fabric option selected. 
For a Day Night Blind, 
this Colour is for the 
Top Blind which can be either 
Blockout or Translucent.</t>
        </r>
      </text>
    </comment>
    <comment ref="H35" authorId="0" shapeId="0" xr:uid="{168CCAD4-5B9F-454D-99B2-F8DDBE82D540}">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35" authorId="0" shapeId="0" xr:uid="{EE431FCC-17EC-417B-80BD-F2FC4834D1F8}">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35" authorId="0" shapeId="0" xr:uid="{22064060-8D7C-4433-AC96-1F99442CDDD6}">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35" authorId="0" shapeId="0" xr:uid="{0BB50578-163B-4A45-9102-B22AAA710ED8}">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35" authorId="0" shapeId="0" xr:uid="{48F0B017-BBC9-4AB3-B1F4-F76A3D9B8EE8}">
      <text>
        <r>
          <rPr>
            <sz val="8"/>
            <color indexed="81"/>
            <rFont val="Tahoma"/>
            <family val="2"/>
          </rPr>
          <t xml:space="preserve">Recess &amp; NAM must be selected 
when ordering Side Channels. 
The factory will take standard deductions. </t>
        </r>
      </text>
    </comment>
    <comment ref="M35" authorId="0" shapeId="0" xr:uid="{D09113F9-D4D7-4AEE-9500-4D4B0F27F6C4}">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35" authorId="0" shapeId="0" xr:uid="{44EA8FDA-7354-4883-B045-851813D253A3}">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35" authorId="0" shapeId="0" xr:uid="{39723959-0CC0-4680-B7B3-E839CA5EB56A}">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35" authorId="0" shapeId="0" xr:uid="{8A1E1174-AAC7-4062-854F-38508F585AD6}">
      <text>
        <r>
          <rPr>
            <sz val="8"/>
            <color indexed="81"/>
            <rFont val="Tahoma"/>
            <family val="2"/>
          </rPr>
          <t xml:space="preserve">The Motor Power Side options for 
Motors With Power Adapters are;
Left
Right
The Motor Power Side for USB-C 
Power Adaptors must match 
the side of the Wand. </t>
        </r>
      </text>
    </comment>
    <comment ref="R35" authorId="0" shapeId="0" xr:uid="{72718255-E1EA-4484-9D52-5AB7788444A4}">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35" authorId="1" shapeId="0" xr:uid="{AB90BA28-8826-4141-BF06-AFF24F24F8E9}">
      <text>
        <r>
          <rPr>
            <sz val="9"/>
            <color indexed="81"/>
            <rFont val="Tahoma"/>
            <family val="2"/>
          </rPr>
          <t xml:space="preserve">
The Side Channel Colour 
options are;
Black
Ivory/Classic White
Gray/Earl Gray
White/Snow White</t>
        </r>
      </text>
    </comment>
    <comment ref="T35" authorId="0" shapeId="0" xr:uid="{8E10B39C-7B31-497E-B42B-BBF8202DE31A}">
      <text>
        <r>
          <rPr>
            <sz val="8"/>
            <color indexed="81"/>
            <rFont val="Tahoma"/>
            <family val="2"/>
          </rPr>
          <t>If the Blind m2 is 
oversized, then 
"Check Size" 
will be listed.</t>
        </r>
      </text>
    </comment>
    <comment ref="U35" authorId="0" shapeId="0" xr:uid="{CAE7FCB0-75C6-41A2-97B0-1944C357F23C}">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35" authorId="0" shapeId="0" xr:uid="{6A1795B3-7F23-4EFB-B388-31382DAD6C23}">
      <text>
        <r>
          <rPr>
            <sz val="8"/>
            <color indexed="81"/>
            <rFont val="Tahoma"/>
            <family val="2"/>
          </rPr>
          <t>Please use this section 
to specify 
any Special Requirements
for the Line/Order.</t>
        </r>
      </text>
    </comment>
    <comment ref="D36" authorId="0" shapeId="0" xr:uid="{906E81AE-8D7C-46C1-862E-C55A2D6CAE20}">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36" authorId="0" shapeId="0" xr:uid="{170FC152-51D2-42EA-9E17-A36E9F7857C6}">
      <text>
        <r>
          <rPr>
            <sz val="8"/>
            <color indexed="81"/>
            <rFont val="Tahoma"/>
            <family val="2"/>
          </rPr>
          <t>Product options are;
25mm Single Cellular Blind
38mm Single Cellular Blind
45mm Single Cellular Blind
38mm Double Cellular Blind
45mm Single Cellular Cell In A Cell Blind</t>
        </r>
      </text>
    </comment>
    <comment ref="F36" authorId="0" shapeId="0" xr:uid="{F7A1DC05-5D0A-4732-B7C7-AC4D326F471E}">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36" authorId="0" shapeId="0" xr:uid="{DD9B7547-5F89-4740-9B4B-CB507223F3E1}">
      <text>
        <r>
          <rPr>
            <sz val="8"/>
            <color indexed="81"/>
            <rFont val="Tahoma"/>
            <family val="2"/>
          </rPr>
          <t>The Colour is dependent on the 
Fabric option selected. 
For a Day Night Blind, 
this Colour is for the 
Top Blind which can be either 
Blockout or Translucent.</t>
        </r>
      </text>
    </comment>
    <comment ref="H36" authorId="0" shapeId="0" xr:uid="{F7F09EFF-B743-402B-8EA4-99D1BC5BCB61}">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36" authorId="0" shapeId="0" xr:uid="{F3772102-BED3-4DFE-8C93-42E066117CA9}">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36" authorId="0" shapeId="0" xr:uid="{27C2A357-84D8-4577-B9E4-C062CC625AD8}">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36" authorId="0" shapeId="0" xr:uid="{599E1AAE-7F6B-400B-8C57-6E5000B6389D}">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36" authorId="0" shapeId="0" xr:uid="{36E5D219-087A-46A7-93EB-0440A6A86517}">
      <text>
        <r>
          <rPr>
            <sz val="8"/>
            <color indexed="81"/>
            <rFont val="Tahoma"/>
            <family val="2"/>
          </rPr>
          <t xml:space="preserve">Recess &amp; NAM must be selected 
when ordering Side Channels. 
The factory will take standard deductions. </t>
        </r>
      </text>
    </comment>
    <comment ref="M36" authorId="0" shapeId="0" xr:uid="{91B44D92-FAFC-4D9A-863A-A9613F1E34E1}">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36" authorId="0" shapeId="0" xr:uid="{135D2AAC-2044-4830-B812-6F5D1B1D34F3}">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36" authorId="0" shapeId="0" xr:uid="{55B1D863-949E-41A3-9D41-98197F753D28}">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36" authorId="0" shapeId="0" xr:uid="{000C0E22-AE0C-4B39-8514-95068E3F1CFC}">
      <text>
        <r>
          <rPr>
            <sz val="8"/>
            <color indexed="81"/>
            <rFont val="Tahoma"/>
            <family val="2"/>
          </rPr>
          <t xml:space="preserve">The Motor Power Side options for 
Motors With Power Adapters are;
Left
Right
The Motor Power Side for USB-C 
Power Adaptors must match 
the side of the Wand. </t>
        </r>
      </text>
    </comment>
    <comment ref="R36" authorId="0" shapeId="0" xr:uid="{14C931D1-D3F8-4961-9479-0FB50D40D91A}">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36" authorId="1" shapeId="0" xr:uid="{21E2C766-E9F4-4954-8A01-D133564655AB}">
      <text>
        <r>
          <rPr>
            <sz val="9"/>
            <color indexed="81"/>
            <rFont val="Tahoma"/>
            <family val="2"/>
          </rPr>
          <t xml:space="preserve">
The Side Channel Colour 
options are;
Black
Ivory/Classic White
Gray/Earl Gray
White/Snow White</t>
        </r>
      </text>
    </comment>
    <comment ref="T36" authorId="0" shapeId="0" xr:uid="{83A979AC-E8FD-4913-AFE9-2CDE167F6FB6}">
      <text>
        <r>
          <rPr>
            <sz val="8"/>
            <color indexed="81"/>
            <rFont val="Tahoma"/>
            <family val="2"/>
          </rPr>
          <t>If the Blind m2 is 
oversized, then 
"Check Size" 
will be listed.</t>
        </r>
      </text>
    </comment>
    <comment ref="U36" authorId="0" shapeId="0" xr:uid="{791B9775-CCB7-4822-94AB-1E7BAF972271}">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36" authorId="0" shapeId="0" xr:uid="{8EBF24FF-7408-40EA-9854-EFC9303870DB}">
      <text>
        <r>
          <rPr>
            <sz val="8"/>
            <color indexed="81"/>
            <rFont val="Tahoma"/>
            <family val="2"/>
          </rPr>
          <t>Please use this section 
to specify 
any Special Requirements
for the Line/Order.</t>
        </r>
      </text>
    </comment>
    <comment ref="D37" authorId="0" shapeId="0" xr:uid="{DF068C3A-60D0-4BE8-B616-2E08C5725B17}">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37" authorId="0" shapeId="0" xr:uid="{963889DD-ED17-43FF-862F-C27E8E95F27C}">
      <text>
        <r>
          <rPr>
            <sz val="8"/>
            <color indexed="81"/>
            <rFont val="Tahoma"/>
            <family val="2"/>
          </rPr>
          <t>Product options are;
25mm Single Cellular Blind
38mm Single Cellular Blind
45mm Single Cellular Blind
38mm Double Cellular Blind
45mm Single Cellular Cell In A Cell Blind</t>
        </r>
      </text>
    </comment>
    <comment ref="F37" authorId="0" shapeId="0" xr:uid="{AFBAEBA7-343D-4038-B9F8-17E47F4065A9}">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37" authorId="0" shapeId="0" xr:uid="{65F82297-859C-4B23-8763-BF533D47EABB}">
      <text>
        <r>
          <rPr>
            <sz val="8"/>
            <color indexed="81"/>
            <rFont val="Tahoma"/>
            <family val="2"/>
          </rPr>
          <t>The Colour is dependent on the 
Fabric option selected. 
For a Day Night Blind, 
this Colour is for the 
Top Blind which can be either 
Blockout or Translucent.</t>
        </r>
      </text>
    </comment>
    <comment ref="H37" authorId="0" shapeId="0" xr:uid="{B53C5D09-5F38-447B-8445-7FF13D04D276}">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37" authorId="0" shapeId="0" xr:uid="{198729C8-38E1-4ADC-9DDD-F532DFA9EEA6}">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37" authorId="0" shapeId="0" xr:uid="{30A040D9-2E48-4A8A-9050-E7A01B64BD0C}">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37" authorId="0" shapeId="0" xr:uid="{09478DEF-F7A9-4E9C-A307-3D14E2B57C9B}">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37" authorId="0" shapeId="0" xr:uid="{A6E1ACB4-5CDA-4064-A6FA-59621426AAB2}">
      <text>
        <r>
          <rPr>
            <sz val="8"/>
            <color indexed="81"/>
            <rFont val="Tahoma"/>
            <family val="2"/>
          </rPr>
          <t xml:space="preserve">Recess &amp; NAM must be selected 
when ordering Side Channels. 
The factory will take standard deductions. </t>
        </r>
      </text>
    </comment>
    <comment ref="M37" authorId="0" shapeId="0" xr:uid="{3C2A75D1-9DE6-4374-8557-8983BF12756D}">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37" authorId="0" shapeId="0" xr:uid="{9C84BE7C-8021-4636-B4CA-6F1727C8CE15}">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37" authorId="0" shapeId="0" xr:uid="{5EFD5537-A1F1-4BB9-A572-3EA7DD49B8BC}">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37" authorId="0" shapeId="0" xr:uid="{36BA38A6-DCD1-4C2E-BCE0-7E510262070C}">
      <text>
        <r>
          <rPr>
            <sz val="8"/>
            <color indexed="81"/>
            <rFont val="Tahoma"/>
            <family val="2"/>
          </rPr>
          <t xml:space="preserve">The Motor Power Side options for 
Motors With Power Adapters are;
Left
Right
The Motor Power Side for USB-C 
Power Adaptors must match 
the side of the Wand. </t>
        </r>
      </text>
    </comment>
    <comment ref="R37" authorId="0" shapeId="0" xr:uid="{36A08F08-1583-4133-9EBE-0E00A5E6DCB5}">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37" authorId="1" shapeId="0" xr:uid="{FF12635A-402C-4506-9124-1E21CD6D91E0}">
      <text>
        <r>
          <rPr>
            <sz val="9"/>
            <color indexed="81"/>
            <rFont val="Tahoma"/>
            <family val="2"/>
          </rPr>
          <t xml:space="preserve">
The Side Channel Colour 
options are;
Black
Ivory/Classic White
Gray/Earl Gray
White/Snow White</t>
        </r>
      </text>
    </comment>
    <comment ref="T37" authorId="0" shapeId="0" xr:uid="{3CCBCF65-6CDF-47CB-8C97-22A8A2ADD425}">
      <text>
        <r>
          <rPr>
            <sz val="8"/>
            <color indexed="81"/>
            <rFont val="Tahoma"/>
            <family val="2"/>
          </rPr>
          <t>If the Blind m2 is 
oversized, then 
"Check Size" 
will be listed.</t>
        </r>
      </text>
    </comment>
    <comment ref="U37" authorId="0" shapeId="0" xr:uid="{D7832C15-05A7-4AA6-9F9F-3158B640954B}">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37" authorId="0" shapeId="0" xr:uid="{EC82F077-9623-4665-B8AC-D084BAF8342C}">
      <text>
        <r>
          <rPr>
            <sz val="8"/>
            <color indexed="81"/>
            <rFont val="Tahoma"/>
            <family val="2"/>
          </rPr>
          <t>Please use this section 
to specify 
any Special Requirements
for the Line/Order.</t>
        </r>
      </text>
    </comment>
    <comment ref="D38" authorId="0" shapeId="0" xr:uid="{845FACDB-8430-4352-9B5F-BF05EF43B1D9}">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38" authorId="0" shapeId="0" xr:uid="{EDB6FEE4-3C54-4814-A8E0-78E3A32374B1}">
      <text>
        <r>
          <rPr>
            <sz val="8"/>
            <color indexed="81"/>
            <rFont val="Tahoma"/>
            <family val="2"/>
          </rPr>
          <t>Product options are;
25mm Single Cellular Blind
38mm Single Cellular Blind
45mm Single Cellular Blind
38mm Double Cellular Blind
45mm Single Cellular Cell In A Cell Blind</t>
        </r>
      </text>
    </comment>
    <comment ref="F38" authorId="0" shapeId="0" xr:uid="{CFDB7026-5D40-42C9-9847-838F5E1AF945}">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38" authorId="0" shapeId="0" xr:uid="{E2D6852E-1C2B-43FD-8C94-26E5F0820AFD}">
      <text>
        <r>
          <rPr>
            <sz val="8"/>
            <color indexed="81"/>
            <rFont val="Tahoma"/>
            <family val="2"/>
          </rPr>
          <t>The Colour is dependent on the 
Fabric option selected. 
For a Day Night Blind, 
this Colour is for the 
Top Blind which can be either 
Blockout or Translucent.</t>
        </r>
      </text>
    </comment>
    <comment ref="H38" authorId="0" shapeId="0" xr:uid="{6D479BA9-79A1-43E2-BF13-5371D799E96D}">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38" authorId="0" shapeId="0" xr:uid="{CC69D900-5FA6-43D7-90D2-2119AAEE59FA}">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38" authorId="0" shapeId="0" xr:uid="{7CC046A5-E543-47F2-A3EA-95226AF5403E}">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38" authorId="0" shapeId="0" xr:uid="{E437FFCB-546C-40ED-B5BD-BD8F8B436545}">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38" authorId="0" shapeId="0" xr:uid="{3643C749-C6DE-4084-8677-FD809D73D363}">
      <text>
        <r>
          <rPr>
            <sz val="8"/>
            <color indexed="81"/>
            <rFont val="Tahoma"/>
            <family val="2"/>
          </rPr>
          <t xml:space="preserve">Recess &amp; NAM must be selected 
when ordering Side Channels. 
The factory will take standard deductions. </t>
        </r>
      </text>
    </comment>
    <comment ref="M38" authorId="0" shapeId="0" xr:uid="{1BA61A59-D3ED-4579-BAF8-0A7BCBDBB46E}">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38" authorId="0" shapeId="0" xr:uid="{8359B30D-F9F9-4FE5-8C47-222700FD96BB}">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38" authorId="0" shapeId="0" xr:uid="{9CA558CB-CE05-49C8-A9AD-AB1764C3CA7B}">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38" authorId="0" shapeId="0" xr:uid="{3C8BE544-6262-45D5-B4FD-6CB64B617BEE}">
      <text>
        <r>
          <rPr>
            <sz val="8"/>
            <color indexed="81"/>
            <rFont val="Tahoma"/>
            <family val="2"/>
          </rPr>
          <t xml:space="preserve">The Motor Power Side options for 
Motors With Power Adapters are;
Left
Right
The Motor Power Side for USB-C 
Power Adaptors must match 
the side of the Wand. </t>
        </r>
      </text>
    </comment>
    <comment ref="R38" authorId="0" shapeId="0" xr:uid="{F7E5E187-96B9-416C-BB81-0A0B3E60EC62}">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38" authorId="1" shapeId="0" xr:uid="{E8A17B5E-2CC8-41E6-B10A-284D53F57CEE}">
      <text>
        <r>
          <rPr>
            <sz val="9"/>
            <color indexed="81"/>
            <rFont val="Tahoma"/>
            <family val="2"/>
          </rPr>
          <t xml:space="preserve">
The Side Channel Colour 
options are;
Black
Ivory/Classic White
Gray/Earl Gray
White/Snow White</t>
        </r>
      </text>
    </comment>
    <comment ref="T38" authorId="0" shapeId="0" xr:uid="{A0B36B6D-EA6E-4192-BDA3-654AEED72922}">
      <text>
        <r>
          <rPr>
            <sz val="8"/>
            <color indexed="81"/>
            <rFont val="Tahoma"/>
            <family val="2"/>
          </rPr>
          <t>If the Blind m2 is 
oversized, then 
"Check Size" 
will be listed.</t>
        </r>
      </text>
    </comment>
    <comment ref="U38" authorId="0" shapeId="0" xr:uid="{6AF63766-EF30-4B26-98A7-1AEAF9B408D9}">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38" authorId="0" shapeId="0" xr:uid="{F7CB03B4-5B7A-45F8-B404-7655C4066629}">
      <text>
        <r>
          <rPr>
            <sz val="8"/>
            <color indexed="81"/>
            <rFont val="Tahoma"/>
            <family val="2"/>
          </rPr>
          <t>Please use this section 
to specify 
any Special Requirements
for the Line/Order.</t>
        </r>
      </text>
    </comment>
    <comment ref="D39" authorId="0" shapeId="0" xr:uid="{E0683E7F-11BC-408C-B6AA-FC45F21AE98F}">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39" authorId="0" shapeId="0" xr:uid="{2D1F197B-F44F-4A37-8177-EA5906E9E56B}">
      <text>
        <r>
          <rPr>
            <sz val="8"/>
            <color indexed="81"/>
            <rFont val="Tahoma"/>
            <family val="2"/>
          </rPr>
          <t>Product options are;
25mm Single Cellular Blind
38mm Single Cellular Blind
45mm Single Cellular Blind
38mm Double Cellular Blind
45mm Single Cellular Cell In A Cell Blind</t>
        </r>
      </text>
    </comment>
    <comment ref="F39" authorId="0" shapeId="0" xr:uid="{3A628968-3A73-442C-92E3-9A104B5936D5}">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39" authorId="0" shapeId="0" xr:uid="{0D737DB9-0ED0-4EDF-ADB1-D89448BC345B}">
      <text>
        <r>
          <rPr>
            <sz val="8"/>
            <color indexed="81"/>
            <rFont val="Tahoma"/>
            <family val="2"/>
          </rPr>
          <t>The Colour is dependent on the 
Fabric option selected. 
For a Day Night Blind, 
this Colour is for the 
Top Blind which can be either 
Blockout or Translucent.</t>
        </r>
      </text>
    </comment>
    <comment ref="H39" authorId="0" shapeId="0" xr:uid="{E8498EA5-3581-4E25-A81F-34A3918EB2AF}">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39" authorId="0" shapeId="0" xr:uid="{B5B5FF66-35D9-47C0-A139-2C27717FAFD8}">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39" authorId="0" shapeId="0" xr:uid="{6D3129EC-4BE3-4FA6-959D-EE8663DF2CB9}">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39" authorId="0" shapeId="0" xr:uid="{67E99744-94A1-4171-B2C0-876237EB13E3}">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39" authorId="0" shapeId="0" xr:uid="{22B0CD0C-397F-4E19-86FD-9CC00FBCB13A}">
      <text>
        <r>
          <rPr>
            <sz val="8"/>
            <color indexed="81"/>
            <rFont val="Tahoma"/>
            <family val="2"/>
          </rPr>
          <t xml:space="preserve">Recess &amp; NAM must be selected 
when ordering Side Channels. 
The factory will take standard deductions. </t>
        </r>
      </text>
    </comment>
    <comment ref="M39" authorId="0" shapeId="0" xr:uid="{4D6B6BD7-33AE-4F11-8762-C3210FBC069C}">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39" authorId="0" shapeId="0" xr:uid="{1E2B9E3D-9DE6-4FDA-A3DB-C0C863AE72A4}">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39" authorId="0" shapeId="0" xr:uid="{0AC4300E-8572-4383-9089-3EA29D9BCBD8}">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39" authorId="0" shapeId="0" xr:uid="{B2976E82-0750-4B6D-86C7-DF68C3478BC9}">
      <text>
        <r>
          <rPr>
            <sz val="8"/>
            <color indexed="81"/>
            <rFont val="Tahoma"/>
            <family val="2"/>
          </rPr>
          <t xml:space="preserve">The Motor Power Side options for 
Motors With Power Adapters are;
Left
Right
The Motor Power Side for USB-C 
Power Adaptors must match 
the side of the Wand. </t>
        </r>
      </text>
    </comment>
    <comment ref="R39" authorId="0" shapeId="0" xr:uid="{0D730597-972C-4344-90AA-C4C55238BB52}">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39" authorId="1" shapeId="0" xr:uid="{F0216DEF-DFBF-48D1-A140-B4997C778D5A}">
      <text>
        <r>
          <rPr>
            <sz val="9"/>
            <color indexed="81"/>
            <rFont val="Tahoma"/>
            <family val="2"/>
          </rPr>
          <t xml:space="preserve">
The Side Channel Colour 
options are;
Black
Ivory/Classic White
Gray/Earl Gray
White/Snow White</t>
        </r>
      </text>
    </comment>
    <comment ref="T39" authorId="0" shapeId="0" xr:uid="{4BF45B2F-F100-4FF3-BBC6-4CB590E2B8F1}">
      <text>
        <r>
          <rPr>
            <sz val="8"/>
            <color indexed="81"/>
            <rFont val="Tahoma"/>
            <family val="2"/>
          </rPr>
          <t>If the Blind m2 is 
oversized, then 
"Check Size" 
will be listed.</t>
        </r>
      </text>
    </comment>
    <comment ref="U39" authorId="0" shapeId="0" xr:uid="{E36149AF-953F-472B-B5EE-614D166B0F22}">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39" authorId="0" shapeId="0" xr:uid="{94680A08-E48B-4ABC-98FD-AC53D369FE2D}">
      <text>
        <r>
          <rPr>
            <sz val="8"/>
            <color indexed="81"/>
            <rFont val="Tahoma"/>
            <family val="2"/>
          </rPr>
          <t>Please use this section 
to specify 
any Special Requirements
for the Line/Order.</t>
        </r>
      </text>
    </comment>
    <comment ref="D40" authorId="0" shapeId="0" xr:uid="{596255E9-98E6-4D71-BB15-EF552A606114}">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40" authorId="0" shapeId="0" xr:uid="{95BE760F-F369-48B1-9A5E-8890691A6AA8}">
      <text>
        <r>
          <rPr>
            <sz val="8"/>
            <color indexed="81"/>
            <rFont val="Tahoma"/>
            <family val="2"/>
          </rPr>
          <t>Product options are;
25mm Single Cellular Blind
38mm Single Cellular Blind
45mm Single Cellular Blind
38mm Double Cellular Blind
45mm Single Cellular Cell In A Cell Blind</t>
        </r>
      </text>
    </comment>
    <comment ref="F40" authorId="0" shapeId="0" xr:uid="{2E582A43-510B-4A9A-9CA0-F6C43842F153}">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40" authorId="0" shapeId="0" xr:uid="{6ECD6143-4AB5-4C50-A423-07748AA0DA0E}">
      <text>
        <r>
          <rPr>
            <sz val="8"/>
            <color indexed="81"/>
            <rFont val="Tahoma"/>
            <family val="2"/>
          </rPr>
          <t>The Colour is dependent on the 
Fabric option selected. 
For a Day Night Blind, 
this Colour is for the 
Top Blind which can be either 
Blockout or Translucent.</t>
        </r>
      </text>
    </comment>
    <comment ref="H40" authorId="0" shapeId="0" xr:uid="{E8B83CDB-8E59-4481-8C18-7C09FD2F1448}">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40" authorId="0" shapeId="0" xr:uid="{650AD68F-B616-434E-B644-AE31B2F4FEA6}">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40" authorId="0" shapeId="0" xr:uid="{FD88D43D-FECF-4D08-A8D3-4AF663D48FDB}">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40" authorId="0" shapeId="0" xr:uid="{DED84E21-738D-468D-B6DA-9DFC265BA415}">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40" authorId="0" shapeId="0" xr:uid="{0D916A64-CA2C-4E73-9A27-27A869956AB1}">
      <text>
        <r>
          <rPr>
            <sz val="8"/>
            <color indexed="81"/>
            <rFont val="Tahoma"/>
            <family val="2"/>
          </rPr>
          <t xml:space="preserve">Recess &amp; NAM must be selected 
when ordering Side Channels. 
The factory will take standard deductions. </t>
        </r>
      </text>
    </comment>
    <comment ref="M40" authorId="0" shapeId="0" xr:uid="{63E08EFB-E93C-4DB5-A159-9EDB13521C77}">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40" authorId="0" shapeId="0" xr:uid="{0DF4C492-5C2C-4F84-AB1A-781F9F58A92C}">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40" authorId="0" shapeId="0" xr:uid="{3250D1DB-DC06-4283-ABE4-641E7C533D14}">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40" authorId="0" shapeId="0" xr:uid="{116FA72B-0848-4012-9681-EE6C5DFA9FB5}">
      <text>
        <r>
          <rPr>
            <sz val="8"/>
            <color indexed="81"/>
            <rFont val="Tahoma"/>
            <family val="2"/>
          </rPr>
          <t xml:space="preserve">The Motor Power Side options for 
Motors With Power Adapters are;
Left
Right
The Motor Power Side for USB-C 
Power Adaptors must match 
the side of the Wand. </t>
        </r>
      </text>
    </comment>
    <comment ref="R40" authorId="0" shapeId="0" xr:uid="{E7E8BE0D-A8E1-47A0-9EFC-7035E79207E8}">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40" authorId="1" shapeId="0" xr:uid="{0EE6BA38-0D9D-4820-A4C5-2651BE895879}">
      <text>
        <r>
          <rPr>
            <sz val="9"/>
            <color indexed="81"/>
            <rFont val="Tahoma"/>
            <family val="2"/>
          </rPr>
          <t xml:space="preserve">
The Side Channel Colour 
options are;
Black
Ivory/Classic White
Gray/Earl Gray
White/Snow White</t>
        </r>
      </text>
    </comment>
    <comment ref="T40" authorId="0" shapeId="0" xr:uid="{847DC838-9D15-4DE1-BCD7-45D961CDF8A4}">
      <text>
        <r>
          <rPr>
            <sz val="8"/>
            <color indexed="81"/>
            <rFont val="Tahoma"/>
            <family val="2"/>
          </rPr>
          <t>If the Blind m2 is 
oversized, then 
"Check Size" 
will be listed.</t>
        </r>
      </text>
    </comment>
    <comment ref="U40" authorId="0" shapeId="0" xr:uid="{1BF1936F-07BA-4F3D-AB2C-41C5D8697ABE}">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40" authorId="0" shapeId="0" xr:uid="{7BA3D425-1915-42B7-9EC4-D9E3A9817EE1}">
      <text>
        <r>
          <rPr>
            <sz val="8"/>
            <color indexed="81"/>
            <rFont val="Tahoma"/>
            <family val="2"/>
          </rPr>
          <t>Please use this section 
to specify 
any Special Requirements
for the Line/Order.</t>
        </r>
      </text>
    </comment>
    <comment ref="D41" authorId="0" shapeId="0" xr:uid="{6C86FE2F-7190-4009-9912-68498590B93A}">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41" authorId="0" shapeId="0" xr:uid="{A6C9DCE6-5B21-42F0-BF14-BDD2F5283B0E}">
      <text>
        <r>
          <rPr>
            <sz val="8"/>
            <color indexed="81"/>
            <rFont val="Tahoma"/>
            <family val="2"/>
          </rPr>
          <t>Product options are;
25mm Single Cellular Blind
38mm Single Cellular Blind
45mm Single Cellular Blind
38mm Double Cellular Blind
45mm Single Cellular Cell In A Cell Blind</t>
        </r>
      </text>
    </comment>
    <comment ref="F41" authorId="0" shapeId="0" xr:uid="{841EC118-8233-4E22-9701-43F02F110EF7}">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41" authorId="0" shapeId="0" xr:uid="{24AAB02E-0891-438C-9F15-D8A0D5446F2E}">
      <text>
        <r>
          <rPr>
            <sz val="8"/>
            <color indexed="81"/>
            <rFont val="Tahoma"/>
            <family val="2"/>
          </rPr>
          <t>The Colour is dependent on the 
Fabric option selected. 
For a Day Night Blind, 
this Colour is for the 
Top Blind which can be either 
Blockout or Translucent.</t>
        </r>
      </text>
    </comment>
    <comment ref="H41" authorId="0" shapeId="0" xr:uid="{CFFFC46F-CDAE-4E66-9D52-64F3D7740521}">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41" authorId="0" shapeId="0" xr:uid="{15619D99-E85B-4103-B431-DB4F15E9FF58}">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41" authorId="0" shapeId="0" xr:uid="{B6C52BB4-E7A1-4ADC-9B1E-1CF68589D49A}">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41" authorId="0" shapeId="0" xr:uid="{1AC48B44-44CD-47AC-AA1C-797ECE2A313E}">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41" authorId="0" shapeId="0" xr:uid="{21B210A0-0A05-4418-ABAE-B50C07F2EE7B}">
      <text>
        <r>
          <rPr>
            <sz val="8"/>
            <color indexed="81"/>
            <rFont val="Tahoma"/>
            <family val="2"/>
          </rPr>
          <t xml:space="preserve">Recess &amp; NAM must be selected 
when ordering Side Channels. 
The factory will take standard deductions. </t>
        </r>
      </text>
    </comment>
    <comment ref="M41" authorId="0" shapeId="0" xr:uid="{2A8EDAC0-3BC8-475C-88B4-B50DB1BA2508}">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41" authorId="0" shapeId="0" xr:uid="{09439B07-10F9-43B6-82B6-74AFEFB9BCA9}">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41" authorId="0" shapeId="0" xr:uid="{E01839C4-A666-4A07-8A09-64D9AE540825}">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41" authorId="0" shapeId="0" xr:uid="{FFAE3428-8517-43D0-A6E2-A4C12DB20DE6}">
      <text>
        <r>
          <rPr>
            <sz val="8"/>
            <color indexed="81"/>
            <rFont val="Tahoma"/>
            <family val="2"/>
          </rPr>
          <t xml:space="preserve">The Motor Power Side options for 
Motors With Power Adapters are;
Left
Right
The Motor Power Side for USB-C 
Power Adaptors must match 
the side of the Wand. </t>
        </r>
      </text>
    </comment>
    <comment ref="R41" authorId="0" shapeId="0" xr:uid="{CFFB9199-0412-4A68-B89B-5C738358B5C5}">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41" authorId="1" shapeId="0" xr:uid="{B6D53CA0-3D0C-4ED7-8853-090DEADD7ED1}">
      <text>
        <r>
          <rPr>
            <sz val="9"/>
            <color indexed="81"/>
            <rFont val="Tahoma"/>
            <family val="2"/>
          </rPr>
          <t xml:space="preserve">
The Side Channel Colour 
options are;
Black
Ivory/Classic White
Gray/Earl Gray
White/Snow White</t>
        </r>
      </text>
    </comment>
    <comment ref="T41" authorId="0" shapeId="0" xr:uid="{9B2D9462-3628-4CEC-8D2F-E1BDF111595C}">
      <text>
        <r>
          <rPr>
            <sz val="8"/>
            <color indexed="81"/>
            <rFont val="Tahoma"/>
            <family val="2"/>
          </rPr>
          <t>If the Blind m2 is 
oversized, then 
"Check Size" 
will be listed.</t>
        </r>
      </text>
    </comment>
    <comment ref="U41" authorId="0" shapeId="0" xr:uid="{04134B29-8B2C-48AE-8FC8-A4D07485570C}">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41" authorId="0" shapeId="0" xr:uid="{0C397C3B-BFD6-4B50-8F0B-45050A0A3545}">
      <text>
        <r>
          <rPr>
            <sz val="8"/>
            <color indexed="81"/>
            <rFont val="Tahoma"/>
            <family val="2"/>
          </rPr>
          <t>Please use this section 
to specify 
any Special Requirements
for the Line/Order.</t>
        </r>
      </text>
    </comment>
    <comment ref="D42" authorId="0" shapeId="0" xr:uid="{00B3220F-D602-4E05-8014-41984D6A9BFC}">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42" authorId="0" shapeId="0" xr:uid="{1EA7668E-3D20-4393-8B57-336727B51D3B}">
      <text>
        <r>
          <rPr>
            <sz val="8"/>
            <color indexed="81"/>
            <rFont val="Tahoma"/>
            <family val="2"/>
          </rPr>
          <t>Product options are;
25mm Single Cellular Blind
38mm Single Cellular Blind
45mm Single Cellular Blind
38mm Double Cellular Blind
45mm Single Cellular Cell In A Cell Blind</t>
        </r>
      </text>
    </comment>
    <comment ref="F42" authorId="0" shapeId="0" xr:uid="{CCE4BC92-CCBA-4A73-BD3A-E84A9B6AF13F}">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42" authorId="0" shapeId="0" xr:uid="{8E05D140-2EE6-478A-8C0F-780B6717FEBF}">
      <text>
        <r>
          <rPr>
            <sz val="8"/>
            <color indexed="81"/>
            <rFont val="Tahoma"/>
            <family val="2"/>
          </rPr>
          <t>The Colour is dependent on the 
Fabric option selected. 
For a Day Night Blind, 
this Colour is for the 
Top Blind which can be either 
Blockout or Translucent.</t>
        </r>
      </text>
    </comment>
    <comment ref="H42" authorId="0" shapeId="0" xr:uid="{3002EFA1-ED4E-44F2-A23D-2EC0B471C0AA}">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42" authorId="0" shapeId="0" xr:uid="{3FBFAC2D-19EA-4F71-8A2C-7CD2214B7EB8}">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42" authorId="0" shapeId="0" xr:uid="{5BC4FF57-9E19-4981-9979-AB4373489EBC}">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42" authorId="0" shapeId="0" xr:uid="{2904AD4F-9C30-4E3B-BC7F-84E40222DFD6}">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42" authorId="0" shapeId="0" xr:uid="{AE66633E-898D-41C6-9577-429851C1C89B}">
      <text>
        <r>
          <rPr>
            <sz val="8"/>
            <color indexed="81"/>
            <rFont val="Tahoma"/>
            <family val="2"/>
          </rPr>
          <t xml:space="preserve">Recess &amp; NAM must be selected 
when ordering Side Channels. 
The factory will take standard deductions. </t>
        </r>
      </text>
    </comment>
    <comment ref="M42" authorId="0" shapeId="0" xr:uid="{208B3502-E448-4636-B920-C7075B4D7224}">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42" authorId="0" shapeId="0" xr:uid="{AAE5D650-A636-4B42-9EF0-76CBE41521E9}">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42" authorId="0" shapeId="0" xr:uid="{A4358CFB-5F1F-4F51-8F4A-29257C3E378E}">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42" authorId="0" shapeId="0" xr:uid="{76969051-A806-4B02-B9D9-C40FF2082D28}">
      <text>
        <r>
          <rPr>
            <sz val="8"/>
            <color indexed="81"/>
            <rFont val="Tahoma"/>
            <family val="2"/>
          </rPr>
          <t xml:space="preserve">The Motor Power Side options for 
Motors With Power Adapters are;
Left
Right
The Motor Power Side for USB-C 
Power Adaptors must match 
the side of the Wand. </t>
        </r>
      </text>
    </comment>
    <comment ref="R42" authorId="0" shapeId="0" xr:uid="{F4C284D0-D63E-4449-9ECF-97837155096C}">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42" authorId="1" shapeId="0" xr:uid="{767F7E3F-7A6A-4A58-927F-D38CB370E7FF}">
      <text>
        <r>
          <rPr>
            <sz val="9"/>
            <color indexed="81"/>
            <rFont val="Tahoma"/>
            <family val="2"/>
          </rPr>
          <t xml:space="preserve">
The Side Channel Colour 
options are;
Black
Ivory/Classic White
Gray/Earl Gray
White/Snow White</t>
        </r>
      </text>
    </comment>
    <comment ref="T42" authorId="0" shapeId="0" xr:uid="{B7F90611-25D4-4D53-BA0C-61777C79A1A9}">
      <text>
        <r>
          <rPr>
            <sz val="8"/>
            <color indexed="81"/>
            <rFont val="Tahoma"/>
            <family val="2"/>
          </rPr>
          <t>If the Blind m2 is 
oversized, then 
"Check Size" 
will be listed.</t>
        </r>
      </text>
    </comment>
    <comment ref="U42" authorId="0" shapeId="0" xr:uid="{03DC87F9-FAA1-42A1-A33F-50A8480945B4}">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42" authorId="0" shapeId="0" xr:uid="{E169EFBA-AA35-4DB9-9D96-D486C47B8E41}">
      <text>
        <r>
          <rPr>
            <sz val="8"/>
            <color indexed="81"/>
            <rFont val="Tahoma"/>
            <family val="2"/>
          </rPr>
          <t>Please use this section 
to specify 
any Special Requirements
for the Line/Order.</t>
        </r>
      </text>
    </comment>
    <comment ref="D43" authorId="0" shapeId="0" xr:uid="{FE52FA4C-2122-411F-A940-3CCCAF627AFE}">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43" authorId="0" shapeId="0" xr:uid="{5A7EB2BB-CB7C-4ACF-9727-453BC754E11F}">
      <text>
        <r>
          <rPr>
            <sz val="8"/>
            <color indexed="81"/>
            <rFont val="Tahoma"/>
            <family val="2"/>
          </rPr>
          <t>Product options are;
25mm Single Cellular Blind
38mm Single Cellular Blind
45mm Single Cellular Blind
38mm Double Cellular Blind
45mm Single Cellular Cell In A Cell Blind</t>
        </r>
      </text>
    </comment>
    <comment ref="F43" authorId="0" shapeId="0" xr:uid="{019EB367-242D-4FDB-88F2-D325EC08A91E}">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43" authorId="0" shapeId="0" xr:uid="{E2F700E0-CBA0-4ACD-B893-35C60AA2BA02}">
      <text>
        <r>
          <rPr>
            <sz val="8"/>
            <color indexed="81"/>
            <rFont val="Tahoma"/>
            <family val="2"/>
          </rPr>
          <t>The Colour is dependent on the 
Fabric option selected. 
For a Day Night Blind, 
this Colour is for the 
Top Blind which can be either 
Blockout or Translucent.</t>
        </r>
      </text>
    </comment>
    <comment ref="H43" authorId="0" shapeId="0" xr:uid="{58B15E9B-0AB1-4E48-B6B3-8231E5F77604}">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43" authorId="0" shapeId="0" xr:uid="{3ED40ADD-E075-4E75-AF9F-2FC990A8BFB9}">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43" authorId="0" shapeId="0" xr:uid="{385794F0-28E3-4BD6-9C79-24A2F21BA314}">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43" authorId="0" shapeId="0" xr:uid="{47285C82-5930-4A1B-B498-B6C86ADC33AB}">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43" authorId="0" shapeId="0" xr:uid="{3E89E2F4-9C02-4D53-83D7-DE041ECD45F9}">
      <text>
        <r>
          <rPr>
            <sz val="8"/>
            <color indexed="81"/>
            <rFont val="Tahoma"/>
            <family val="2"/>
          </rPr>
          <t xml:space="preserve">Recess &amp; NAM must be selected 
when ordering Side Channels. 
The factory will take standard deductions. </t>
        </r>
      </text>
    </comment>
    <comment ref="M43" authorId="0" shapeId="0" xr:uid="{0BF2AB3C-0AB6-4E06-98C8-38CA1EDE1DF7}">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43" authorId="0" shapeId="0" xr:uid="{3693FA75-0CCB-4A43-882D-9A0771C34722}">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43" authorId="0" shapeId="0" xr:uid="{37A1A024-7A7D-4224-90A3-55EAB5BAD778}">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43" authorId="0" shapeId="0" xr:uid="{1693E6E7-6AC2-4361-B5F3-50C007ABE97C}">
      <text>
        <r>
          <rPr>
            <sz val="8"/>
            <color indexed="81"/>
            <rFont val="Tahoma"/>
            <family val="2"/>
          </rPr>
          <t xml:space="preserve">The Motor Power Side options for 
Motors With Power Adapters are;
Left
Right
The Motor Power Side for USB-C 
Power Adaptors must match 
the side of the Wand. </t>
        </r>
      </text>
    </comment>
    <comment ref="R43" authorId="0" shapeId="0" xr:uid="{06A659A4-765F-4C21-877E-8B08BBCCDFE5}">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43" authorId="1" shapeId="0" xr:uid="{C6657478-C4D5-469D-A7CC-5C89C8616E8C}">
      <text>
        <r>
          <rPr>
            <sz val="9"/>
            <color indexed="81"/>
            <rFont val="Tahoma"/>
            <family val="2"/>
          </rPr>
          <t xml:space="preserve">
The Side Channel Colour 
options are;
Black
Ivory/Classic White
Gray/Earl Gray
White/Snow White</t>
        </r>
      </text>
    </comment>
    <comment ref="T43" authorId="0" shapeId="0" xr:uid="{7136D65B-7D60-48B6-A180-69B10C76E5DD}">
      <text>
        <r>
          <rPr>
            <sz val="8"/>
            <color indexed="81"/>
            <rFont val="Tahoma"/>
            <family val="2"/>
          </rPr>
          <t>If the Blind m2 is 
oversized, then 
"Check Size" 
will be listed.</t>
        </r>
      </text>
    </comment>
    <comment ref="U43" authorId="0" shapeId="0" xr:uid="{67DECF7E-E03F-47E7-A08A-11DA43C0B495}">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43" authorId="0" shapeId="0" xr:uid="{8F200415-CB7C-4D21-AB61-8F3BB4543086}">
      <text>
        <r>
          <rPr>
            <sz val="8"/>
            <color indexed="81"/>
            <rFont val="Tahoma"/>
            <family val="2"/>
          </rPr>
          <t>Please use this section 
to specify 
any Special Requirements
for the Line/Order.</t>
        </r>
      </text>
    </comment>
    <comment ref="D44" authorId="0" shapeId="0" xr:uid="{22DA90F4-AFD2-4543-812D-0E82703D418B}">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44" authorId="0" shapeId="0" xr:uid="{2C28BC39-306B-4355-B8A3-C7D9F02C8059}">
      <text>
        <r>
          <rPr>
            <sz val="8"/>
            <color indexed="81"/>
            <rFont val="Tahoma"/>
            <family val="2"/>
          </rPr>
          <t>Product options are;
25mm Single Cellular Blind
38mm Single Cellular Blind
45mm Single Cellular Blind
38mm Double Cellular Blind
45mm Single Cellular Cell In A Cell Blind</t>
        </r>
      </text>
    </comment>
    <comment ref="F44" authorId="0" shapeId="0" xr:uid="{4B6E1C29-7611-4FF9-920D-5B249B0C9803}">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44" authorId="0" shapeId="0" xr:uid="{8A9DA222-03AF-4022-9BD8-F8DCB25696AD}">
      <text>
        <r>
          <rPr>
            <sz val="8"/>
            <color indexed="81"/>
            <rFont val="Tahoma"/>
            <family val="2"/>
          </rPr>
          <t>The Colour is dependent on the 
Fabric option selected. 
For a Day Night Blind, 
this Colour is for the 
Top Blind which can be either 
Blockout or Translucent.</t>
        </r>
      </text>
    </comment>
    <comment ref="H44" authorId="0" shapeId="0" xr:uid="{D92754CD-FC64-4F79-9019-8143C0C4EFD7}">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44" authorId="0" shapeId="0" xr:uid="{F096B8F8-25E1-41BE-A64F-43AAE10ED107}">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44" authorId="0" shapeId="0" xr:uid="{CFB0D9B5-167E-4FEE-9C8D-A227B706921E}">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44" authorId="0" shapeId="0" xr:uid="{B1FA0E9D-A5DE-4556-B7A0-1BD32CA2BE73}">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44" authorId="0" shapeId="0" xr:uid="{C896796A-56DE-4AD7-97ED-2771321F2749}">
      <text>
        <r>
          <rPr>
            <sz val="8"/>
            <color indexed="81"/>
            <rFont val="Tahoma"/>
            <family val="2"/>
          </rPr>
          <t xml:space="preserve">Recess &amp; NAM must be selected 
when ordering Side Channels. 
The factory will take standard deductions. </t>
        </r>
      </text>
    </comment>
    <comment ref="M44" authorId="0" shapeId="0" xr:uid="{7C84AAB6-E9E2-4AD5-BADC-F8E450414DE6}">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44" authorId="0" shapeId="0" xr:uid="{979DAF81-3C2A-47B3-8B4B-56ACAF11C211}">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44" authorId="0" shapeId="0" xr:uid="{3A2DA18A-F0AF-42FA-825A-75D63A5FA08D}">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44" authorId="0" shapeId="0" xr:uid="{BB8BF0C8-2289-4C2A-B6EB-23580421F6B1}">
      <text>
        <r>
          <rPr>
            <sz val="8"/>
            <color indexed="81"/>
            <rFont val="Tahoma"/>
            <family val="2"/>
          </rPr>
          <t xml:space="preserve">The Motor Power Side options for 
Motors With Power Adapters are;
Left
Right
The Motor Power Side for USB-C 
Power Adaptors must match 
the side of the Wand. </t>
        </r>
      </text>
    </comment>
    <comment ref="R44" authorId="0" shapeId="0" xr:uid="{5746269C-A555-42B4-A658-DA823B73A9B5}">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44" authorId="1" shapeId="0" xr:uid="{37E442AE-20B4-4727-9042-86D8B6614BCC}">
      <text>
        <r>
          <rPr>
            <sz val="9"/>
            <color indexed="81"/>
            <rFont val="Tahoma"/>
            <family val="2"/>
          </rPr>
          <t xml:space="preserve">
The Side Channel Colour 
options are;
Black
Ivory/Classic White
Gray/Earl Gray
White/Snow White</t>
        </r>
      </text>
    </comment>
    <comment ref="T44" authorId="0" shapeId="0" xr:uid="{C8A029D2-A70B-489E-A9BB-4F3F1335794A}">
      <text>
        <r>
          <rPr>
            <sz val="8"/>
            <color indexed="81"/>
            <rFont val="Tahoma"/>
            <family val="2"/>
          </rPr>
          <t>If the Blind m2 is 
oversized, then 
"Check Size" 
will be listed.</t>
        </r>
      </text>
    </comment>
    <comment ref="U44" authorId="0" shapeId="0" xr:uid="{9EA02427-D83E-4AA5-958A-6D72945E8E50}">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44" authorId="0" shapeId="0" xr:uid="{618E489A-2056-4C12-B3CC-D21E0F719C6A}">
      <text>
        <r>
          <rPr>
            <sz val="8"/>
            <color indexed="81"/>
            <rFont val="Tahoma"/>
            <family val="2"/>
          </rPr>
          <t>Please use this section 
to specify 
any Special Requirements
for the Line/Order.</t>
        </r>
      </text>
    </comment>
    <comment ref="D45" authorId="0" shapeId="0" xr:uid="{12B36DC1-8789-4242-A832-0068EA75C8E9}">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45" authorId="0" shapeId="0" xr:uid="{17EDEAA6-7664-4C2E-B7CD-99EC688A0936}">
      <text>
        <r>
          <rPr>
            <sz val="8"/>
            <color indexed="81"/>
            <rFont val="Tahoma"/>
            <family val="2"/>
          </rPr>
          <t>Product options are;
25mm Single Cellular Blind
38mm Single Cellular Blind
45mm Single Cellular Blind
38mm Double Cellular Blind
45mm Single Cellular Cell In A Cell Blind</t>
        </r>
      </text>
    </comment>
    <comment ref="F45" authorId="0" shapeId="0" xr:uid="{44AE7937-967C-435D-9555-B89639324620}">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45" authorId="0" shapeId="0" xr:uid="{9CABE7B7-2378-4784-AFA0-A74944ECD49B}">
      <text>
        <r>
          <rPr>
            <sz val="8"/>
            <color indexed="81"/>
            <rFont val="Tahoma"/>
            <family val="2"/>
          </rPr>
          <t>The Colour is dependent on the 
Fabric option selected. 
For a Day Night Blind, 
this Colour is for the 
Top Blind which can be either 
Blockout or Translucent.</t>
        </r>
      </text>
    </comment>
    <comment ref="H45" authorId="0" shapeId="0" xr:uid="{8F1F9C04-4414-4E91-B172-A54FC5594DAB}">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45" authorId="0" shapeId="0" xr:uid="{C24A0896-1C3F-47C0-8CBE-3A84BFF27703}">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45" authorId="0" shapeId="0" xr:uid="{6C075E82-8215-43A9-A628-5757BF64F3A9}">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45" authorId="0" shapeId="0" xr:uid="{0D194D77-970D-48D2-A410-A65E73DF31BD}">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45" authorId="0" shapeId="0" xr:uid="{B5789AC0-8EE1-4DB3-9BBE-C2D9B24BFB66}">
      <text>
        <r>
          <rPr>
            <sz val="8"/>
            <color indexed="81"/>
            <rFont val="Tahoma"/>
            <family val="2"/>
          </rPr>
          <t xml:space="preserve">Recess &amp; NAM must be selected 
when ordering Side Channels. 
The factory will take standard deductions. </t>
        </r>
      </text>
    </comment>
    <comment ref="M45" authorId="0" shapeId="0" xr:uid="{4B2457CD-61C4-42FF-80DA-B7E061655FDA}">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45" authorId="0" shapeId="0" xr:uid="{FE957FCD-0BDB-4BE8-8160-C3DE583AA54E}">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45" authorId="0" shapeId="0" xr:uid="{6B8455E2-D8E9-4081-9119-FCA4781AC0E6}">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45" authorId="0" shapeId="0" xr:uid="{05165415-BCF7-49A2-A2A2-51E98A0296DE}">
      <text>
        <r>
          <rPr>
            <sz val="8"/>
            <color indexed="81"/>
            <rFont val="Tahoma"/>
            <family val="2"/>
          </rPr>
          <t xml:space="preserve">The Motor Power Side options for 
Motors With Power Adapters are;
Left
Right
The Motor Power Side for USB-C 
Power Adaptors must match 
the side of the Wand. </t>
        </r>
      </text>
    </comment>
    <comment ref="R45" authorId="0" shapeId="0" xr:uid="{E1A113BE-926D-4D95-90CC-75CECD0E6B4D}">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45" authorId="1" shapeId="0" xr:uid="{20917E1C-4653-4158-B216-DF1528CD1140}">
      <text>
        <r>
          <rPr>
            <sz val="9"/>
            <color indexed="81"/>
            <rFont val="Tahoma"/>
            <family val="2"/>
          </rPr>
          <t xml:space="preserve">
The Side Channel Colour 
options are;
Black
Ivory/Classic White
Gray/Earl Gray
White/Snow White</t>
        </r>
      </text>
    </comment>
    <comment ref="T45" authorId="0" shapeId="0" xr:uid="{51629E9D-16A9-4CBA-AD0E-C876B8E1D32C}">
      <text>
        <r>
          <rPr>
            <sz val="8"/>
            <color indexed="81"/>
            <rFont val="Tahoma"/>
            <family val="2"/>
          </rPr>
          <t>If the Blind m2 is 
oversized, then 
"Check Size" 
will be listed.</t>
        </r>
      </text>
    </comment>
    <comment ref="U45" authorId="0" shapeId="0" xr:uid="{D531B59F-188D-4596-B567-F487A1FAD120}">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45" authorId="0" shapeId="0" xr:uid="{44DA0FBE-23B8-4907-B219-80E683E6BA38}">
      <text>
        <r>
          <rPr>
            <sz val="8"/>
            <color indexed="81"/>
            <rFont val="Tahoma"/>
            <family val="2"/>
          </rPr>
          <t>Please use this section 
to specify 
any Special Requirements
for the Line/Order.</t>
        </r>
      </text>
    </comment>
    <comment ref="D46" authorId="0" shapeId="0" xr:uid="{AD89051B-84D9-4B52-8DD0-659436E6F1AB}">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46" authorId="0" shapeId="0" xr:uid="{5F4EDE92-21BF-4598-9EAB-02F97DB06A19}">
      <text>
        <r>
          <rPr>
            <sz val="8"/>
            <color indexed="81"/>
            <rFont val="Tahoma"/>
            <family val="2"/>
          </rPr>
          <t>Product options are;
25mm Single Cellular Blind
38mm Single Cellular Blind
45mm Single Cellular Blind
38mm Double Cellular Blind
45mm Single Cellular Cell In A Cell Blind</t>
        </r>
      </text>
    </comment>
    <comment ref="F46" authorId="0" shapeId="0" xr:uid="{5323014F-342E-45E7-AA24-C63E5C595D36}">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46" authorId="0" shapeId="0" xr:uid="{2A1B0B32-33FB-434D-9030-6442E4472E15}">
      <text>
        <r>
          <rPr>
            <sz val="8"/>
            <color indexed="81"/>
            <rFont val="Tahoma"/>
            <family val="2"/>
          </rPr>
          <t>The Colour is dependent on the 
Fabric option selected. 
For a Day Night Blind, 
this Colour is for the 
Top Blind which can be either 
Blockout or Translucent.</t>
        </r>
      </text>
    </comment>
    <comment ref="H46" authorId="0" shapeId="0" xr:uid="{F8193319-925A-47B6-8F43-20FFDED0670D}">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46" authorId="0" shapeId="0" xr:uid="{91B3F9F0-01BD-4B68-8DB6-5CB0B3DAB77E}">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46" authorId="0" shapeId="0" xr:uid="{69F67BB2-A547-4377-B57B-E98F37130238}">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46" authorId="0" shapeId="0" xr:uid="{B6B91D5C-2140-4068-9FB6-0C1A8C2667D4}">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46" authorId="0" shapeId="0" xr:uid="{364E9734-5AD7-411D-977B-D9664409A155}">
      <text>
        <r>
          <rPr>
            <sz val="8"/>
            <color indexed="81"/>
            <rFont val="Tahoma"/>
            <family val="2"/>
          </rPr>
          <t xml:space="preserve">Recess &amp; NAM must be selected 
when ordering Side Channels. 
The factory will take standard deductions. </t>
        </r>
      </text>
    </comment>
    <comment ref="M46" authorId="0" shapeId="0" xr:uid="{E9C968F0-5467-48C8-A35B-629F7CC18811}">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46" authorId="0" shapeId="0" xr:uid="{40ECDA27-35C9-4945-B0B0-2A78777AC275}">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46" authorId="0" shapeId="0" xr:uid="{34F7EF67-308D-4A8E-A5CA-C593C3367673}">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46" authorId="0" shapeId="0" xr:uid="{468902EC-4F87-4165-BDB2-3FF2DE4C84AA}">
      <text>
        <r>
          <rPr>
            <sz val="8"/>
            <color indexed="81"/>
            <rFont val="Tahoma"/>
            <family val="2"/>
          </rPr>
          <t xml:space="preserve">The Motor Power Side options for 
Motors With Power Adapters are;
Left
Right
The Motor Power Side for USB-C 
Power Adaptors must match 
the side of the Wand. </t>
        </r>
      </text>
    </comment>
    <comment ref="R46" authorId="0" shapeId="0" xr:uid="{3FB509C2-B14E-4041-A4AD-7342A3B5796E}">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46" authorId="1" shapeId="0" xr:uid="{B47D63D4-4CAF-4E95-8EF5-5676B20192A6}">
      <text>
        <r>
          <rPr>
            <sz val="9"/>
            <color indexed="81"/>
            <rFont val="Tahoma"/>
            <family val="2"/>
          </rPr>
          <t xml:space="preserve">
The Side Channel Colour 
options are;
Black
Ivory/Classic White
Gray/Earl Gray
White/Snow White</t>
        </r>
      </text>
    </comment>
    <comment ref="T46" authorId="0" shapeId="0" xr:uid="{8B87D06A-68A0-478C-97A5-42145103613C}">
      <text>
        <r>
          <rPr>
            <sz val="8"/>
            <color indexed="81"/>
            <rFont val="Tahoma"/>
            <family val="2"/>
          </rPr>
          <t>If the Blind m2 is 
oversized, then 
"Check Size" 
will be listed.</t>
        </r>
      </text>
    </comment>
    <comment ref="U46" authorId="0" shapeId="0" xr:uid="{7F11AEA1-DAC7-4CA9-AF3A-DB158D998149}">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46" authorId="0" shapeId="0" xr:uid="{0241A8E0-E036-451B-9293-1128575DCEDE}">
      <text>
        <r>
          <rPr>
            <sz val="8"/>
            <color indexed="81"/>
            <rFont val="Tahoma"/>
            <family val="2"/>
          </rPr>
          <t>Please use this section 
to specify 
any Special Requirements
for the Line/Order.</t>
        </r>
      </text>
    </comment>
    <comment ref="D47" authorId="0" shapeId="0" xr:uid="{329B4E4E-158F-44D1-BB65-B7D68F2D08F7}">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47" authorId="0" shapeId="0" xr:uid="{C1CB8949-5F60-4127-9EA4-37369AB6EFDC}">
      <text>
        <r>
          <rPr>
            <sz val="8"/>
            <color indexed="81"/>
            <rFont val="Tahoma"/>
            <family val="2"/>
          </rPr>
          <t>Product options are;
25mm Single Cellular Blind
38mm Single Cellular Blind
45mm Single Cellular Blind
38mm Double Cellular Blind
45mm Single Cellular Cell In A Cell Blind</t>
        </r>
      </text>
    </comment>
    <comment ref="F47" authorId="0" shapeId="0" xr:uid="{7A6E492E-B65E-4DFA-9445-627588F6414E}">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47" authorId="0" shapeId="0" xr:uid="{33CC39D4-E004-40D0-864B-2502147B4F13}">
      <text>
        <r>
          <rPr>
            <sz val="8"/>
            <color indexed="81"/>
            <rFont val="Tahoma"/>
            <family val="2"/>
          </rPr>
          <t>The Colour is dependent on the 
Fabric option selected. 
For a Day Night Blind, 
this Colour is for the 
Top Blind which can be either 
Blockout or Translucent.</t>
        </r>
      </text>
    </comment>
    <comment ref="H47" authorId="0" shapeId="0" xr:uid="{2930C145-8DD5-4566-BC20-156CC42E0CC2}">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47" authorId="0" shapeId="0" xr:uid="{BC0DBE2D-EC66-4909-A169-E4940028FDA8}">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47" authorId="0" shapeId="0" xr:uid="{B6838E0D-154E-4501-B18E-8DE954DE9243}">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47" authorId="0" shapeId="0" xr:uid="{0C3A2EB9-6CEC-4FCE-80B1-317B3A03E04E}">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47" authorId="0" shapeId="0" xr:uid="{DABD6FD7-2C68-42C3-9C00-B7C084BFC084}">
      <text>
        <r>
          <rPr>
            <sz val="8"/>
            <color indexed="81"/>
            <rFont val="Tahoma"/>
            <family val="2"/>
          </rPr>
          <t xml:space="preserve">Recess &amp; NAM must be selected 
when ordering Side Channels. 
The factory will take standard deductions. </t>
        </r>
      </text>
    </comment>
    <comment ref="M47" authorId="0" shapeId="0" xr:uid="{706A446C-4735-470E-A8DA-9E8484262E16}">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47" authorId="0" shapeId="0" xr:uid="{38C4D356-3A81-4442-A2E7-4A408EF664C6}">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47" authorId="0" shapeId="0" xr:uid="{3F7CCCEE-76D2-4CEF-9509-37A81B82BCC2}">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47" authorId="0" shapeId="0" xr:uid="{D197AC16-F80F-44A4-90F8-08505D44A0A5}">
      <text>
        <r>
          <rPr>
            <sz val="8"/>
            <color indexed="81"/>
            <rFont val="Tahoma"/>
            <family val="2"/>
          </rPr>
          <t xml:space="preserve">The Motor Power Side options for 
Motors With Power Adapters are;
Left
Right
The Motor Power Side for USB-C 
Power Adaptors must match 
the side of the Wand. </t>
        </r>
      </text>
    </comment>
    <comment ref="R47" authorId="0" shapeId="0" xr:uid="{4E44CF08-B7BB-4D79-A550-7A4AEDF356B1}">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47" authorId="1" shapeId="0" xr:uid="{2352A434-C05F-4909-912E-50CB5699433B}">
      <text>
        <r>
          <rPr>
            <sz val="9"/>
            <color indexed="81"/>
            <rFont val="Tahoma"/>
            <family val="2"/>
          </rPr>
          <t xml:space="preserve">
The Side Channel Colour 
options are;
Black
Ivory/Classic White
Gray/Earl Gray
White/Snow White</t>
        </r>
      </text>
    </comment>
    <comment ref="T47" authorId="0" shapeId="0" xr:uid="{6EF74878-F26C-4442-B400-B4DDBA338DFB}">
      <text>
        <r>
          <rPr>
            <sz val="8"/>
            <color indexed="81"/>
            <rFont val="Tahoma"/>
            <family val="2"/>
          </rPr>
          <t>If the Blind m2 is 
oversized, then 
"Check Size" 
will be listed.</t>
        </r>
      </text>
    </comment>
    <comment ref="U47" authorId="0" shapeId="0" xr:uid="{1628AD3E-947F-4A36-8C60-37FCF8D9C4A7}">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47" authorId="0" shapeId="0" xr:uid="{C5770667-FB9B-447B-9EDB-0322ECCAB1E7}">
      <text>
        <r>
          <rPr>
            <sz val="8"/>
            <color indexed="81"/>
            <rFont val="Tahoma"/>
            <family val="2"/>
          </rPr>
          <t>Please use this section 
to specify 
any Special Requirements
for the Line/Order.</t>
        </r>
      </text>
    </comment>
    <comment ref="D48" authorId="0" shapeId="0" xr:uid="{A51E12D6-AD5A-4D7C-81A5-21CC9089EBAE}">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48" authorId="0" shapeId="0" xr:uid="{D850EAC5-4493-47A6-BBF9-9ACF424D2C38}">
      <text>
        <r>
          <rPr>
            <sz val="8"/>
            <color indexed="81"/>
            <rFont val="Tahoma"/>
            <family val="2"/>
          </rPr>
          <t>Product options are;
25mm Single Cellular Blind
38mm Single Cellular Blind
45mm Single Cellular Blind
38mm Double Cellular Blind
45mm Single Cellular Cell In A Cell Blind</t>
        </r>
      </text>
    </comment>
    <comment ref="F48" authorId="0" shapeId="0" xr:uid="{A531268A-0558-472F-AFCE-D586871B437D}">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48" authorId="0" shapeId="0" xr:uid="{E6A03B50-5561-4B14-B50E-D89405700F7C}">
      <text>
        <r>
          <rPr>
            <sz val="8"/>
            <color indexed="81"/>
            <rFont val="Tahoma"/>
            <family val="2"/>
          </rPr>
          <t>The Colour is dependent on the 
Fabric option selected. 
For a Day Night Blind, 
this Colour is for the 
Top Blind which can be either 
Blockout or Translucent.</t>
        </r>
      </text>
    </comment>
    <comment ref="H48" authorId="0" shapeId="0" xr:uid="{BDE6D666-BF42-4386-BF13-2C992D8F2C39}">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48" authorId="0" shapeId="0" xr:uid="{A400723A-74BC-44A3-9DAA-1B6617C02E22}">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48" authorId="0" shapeId="0" xr:uid="{18FE7F3B-3EBF-4487-B721-E711464BE678}">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48" authorId="0" shapeId="0" xr:uid="{608472F5-8943-49AC-AF50-9C01E40DF1EC}">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48" authorId="0" shapeId="0" xr:uid="{DA88E65E-4CEA-45A1-ACBA-3AC45958F089}">
      <text>
        <r>
          <rPr>
            <sz val="8"/>
            <color indexed="81"/>
            <rFont val="Tahoma"/>
            <family val="2"/>
          </rPr>
          <t xml:space="preserve">Recess &amp; NAM must be selected 
when ordering Side Channels. 
The factory will take standard deductions. </t>
        </r>
      </text>
    </comment>
    <comment ref="M48" authorId="0" shapeId="0" xr:uid="{5A3ACD0C-5A76-4BF3-B154-406B329FB387}">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48" authorId="0" shapeId="0" xr:uid="{73AA4741-2B09-4466-AF51-CA5E7D7F6182}">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48" authorId="0" shapeId="0" xr:uid="{A99B058B-E4BF-4198-990B-5542C7C7DCBC}">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48" authorId="0" shapeId="0" xr:uid="{72DDD37D-B368-4C28-9BD7-EAF66FDB5C07}">
      <text>
        <r>
          <rPr>
            <sz val="8"/>
            <color indexed="81"/>
            <rFont val="Tahoma"/>
            <family val="2"/>
          </rPr>
          <t xml:space="preserve">The Motor Power Side options for 
Motors With Power Adapters are;
Left
Right
The Motor Power Side for USB-C 
Power Adaptors must match 
the side of the Wand. </t>
        </r>
      </text>
    </comment>
    <comment ref="R48" authorId="0" shapeId="0" xr:uid="{24EF0CD8-3C80-4FEF-A972-70B9304D630D}">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48" authorId="1" shapeId="0" xr:uid="{32DE3E88-62AB-4174-BF55-69DDEA119703}">
      <text>
        <r>
          <rPr>
            <sz val="9"/>
            <color indexed="81"/>
            <rFont val="Tahoma"/>
            <family val="2"/>
          </rPr>
          <t xml:space="preserve">
The Side Channel Colour 
options are;
Black
Ivory/Classic White
Gray/Earl Gray
White/Snow White</t>
        </r>
      </text>
    </comment>
    <comment ref="T48" authorId="0" shapeId="0" xr:uid="{92A4A32E-747F-43EF-9CE7-CC85D57310BE}">
      <text>
        <r>
          <rPr>
            <sz val="8"/>
            <color indexed="81"/>
            <rFont val="Tahoma"/>
            <family val="2"/>
          </rPr>
          <t>If the Blind m2 is 
oversized, then 
"Check Size" 
will be listed.</t>
        </r>
      </text>
    </comment>
    <comment ref="U48" authorId="0" shapeId="0" xr:uid="{0A704A6D-F201-4B1C-8E73-E48B43A9C59C}">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48" authorId="0" shapeId="0" xr:uid="{BF1B2149-A455-422D-9063-FE7B813CDC83}">
      <text>
        <r>
          <rPr>
            <sz val="8"/>
            <color indexed="81"/>
            <rFont val="Tahoma"/>
            <family val="2"/>
          </rPr>
          <t>Please use this section 
to specify 
any Special Requirements
for the Line/Order.</t>
        </r>
      </text>
    </comment>
    <comment ref="D49" authorId="0" shapeId="0" xr:uid="{F61C94DC-4DB1-4CF6-988F-3E2DC393B205}">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49" authorId="0" shapeId="0" xr:uid="{76C4BDAF-0D27-4599-83C6-84C108F930F6}">
      <text>
        <r>
          <rPr>
            <sz val="8"/>
            <color indexed="81"/>
            <rFont val="Tahoma"/>
            <family val="2"/>
          </rPr>
          <t>Product options are;
25mm Single Cellular Blind
38mm Single Cellular Blind
45mm Single Cellular Blind
38mm Double Cellular Blind
45mm Single Cellular Cell In A Cell Blind</t>
        </r>
      </text>
    </comment>
    <comment ref="F49" authorId="0" shapeId="0" xr:uid="{25E91490-3030-4B26-964E-5D152D07BE0A}">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49" authorId="0" shapeId="0" xr:uid="{223522B2-685F-46FD-A0D7-CC0D47C932C8}">
      <text>
        <r>
          <rPr>
            <sz val="8"/>
            <color indexed="81"/>
            <rFont val="Tahoma"/>
            <family val="2"/>
          </rPr>
          <t>The Colour is dependent on the 
Fabric option selected. 
For a Day Night Blind, 
this Colour is for the 
Top Blind which can be either 
Blockout or Translucent.</t>
        </r>
      </text>
    </comment>
    <comment ref="H49" authorId="0" shapeId="0" xr:uid="{16BD2885-BA3D-4765-8D79-92022D81AC7C}">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49" authorId="0" shapeId="0" xr:uid="{4E50359C-3A7F-4EFB-8170-63843C8994AB}">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49" authorId="0" shapeId="0" xr:uid="{BECC9D0C-B3A3-4B26-9CB0-6E7041CD85B3}">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49" authorId="0" shapeId="0" xr:uid="{63126428-23A6-4F8A-BEB9-9C176FE58358}">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49" authorId="0" shapeId="0" xr:uid="{167AED2D-DE74-459D-BC35-4E82C5D91B93}">
      <text>
        <r>
          <rPr>
            <sz val="8"/>
            <color indexed="81"/>
            <rFont val="Tahoma"/>
            <family val="2"/>
          </rPr>
          <t xml:space="preserve">Recess &amp; NAM must be selected 
when ordering Side Channels. 
The factory will take standard deductions. </t>
        </r>
      </text>
    </comment>
    <comment ref="M49" authorId="0" shapeId="0" xr:uid="{879E2EDE-0071-450E-A8C9-4BF9EBC67758}">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49" authorId="0" shapeId="0" xr:uid="{D1E15BE7-AF20-4CDB-97E9-2ACF20D2B967}">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49" authorId="0" shapeId="0" xr:uid="{FC3B0A47-864D-4878-A778-083A11AF21E2}">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49" authorId="0" shapeId="0" xr:uid="{42775490-A146-4639-840D-BCEB17047368}">
      <text>
        <r>
          <rPr>
            <sz val="8"/>
            <color indexed="81"/>
            <rFont val="Tahoma"/>
            <family val="2"/>
          </rPr>
          <t xml:space="preserve">The Motor Power Side options for 
Motors With Power Adapters are;
Left
Right
The Motor Power Side for USB-C 
Power Adaptors must match 
the side of the Wand. </t>
        </r>
      </text>
    </comment>
    <comment ref="R49" authorId="0" shapeId="0" xr:uid="{F36C6FD8-EFBA-4242-B462-9EA779AF3E13}">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49" authorId="1" shapeId="0" xr:uid="{3467DC58-6A7E-4F76-9D15-5D56CDFD9800}">
      <text>
        <r>
          <rPr>
            <sz val="9"/>
            <color indexed="81"/>
            <rFont val="Tahoma"/>
            <family val="2"/>
          </rPr>
          <t xml:space="preserve">
The Side Channel Colour 
options are;
Black
Ivory/Classic White
Gray/Earl Gray
White/Snow White</t>
        </r>
      </text>
    </comment>
    <comment ref="T49" authorId="0" shapeId="0" xr:uid="{0A3ECACB-D552-450D-A97C-642C4CECFDB1}">
      <text>
        <r>
          <rPr>
            <sz val="8"/>
            <color indexed="81"/>
            <rFont val="Tahoma"/>
            <family val="2"/>
          </rPr>
          <t>If the Blind m2 is 
oversized, then 
"Check Size" 
will be listed.</t>
        </r>
      </text>
    </comment>
    <comment ref="U49" authorId="0" shapeId="0" xr:uid="{6A41F9B3-8AAB-4E65-9390-EEB1AE55A41D}">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49" authorId="0" shapeId="0" xr:uid="{D9636D0D-CF9F-4A99-AB48-6336FC476C99}">
      <text>
        <r>
          <rPr>
            <sz val="8"/>
            <color indexed="81"/>
            <rFont val="Tahoma"/>
            <family val="2"/>
          </rPr>
          <t>Please use this section 
to specify 
any Special Requirements
for the Line/Order.</t>
        </r>
      </text>
    </comment>
    <comment ref="D50" authorId="0" shapeId="0" xr:uid="{E6C83EC0-49D7-429E-B526-59F646A54C3D}">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50" authorId="0" shapeId="0" xr:uid="{C2CDBA3B-FB11-4620-9F37-86F713BA452B}">
      <text>
        <r>
          <rPr>
            <sz val="8"/>
            <color indexed="81"/>
            <rFont val="Tahoma"/>
            <family val="2"/>
          </rPr>
          <t>Product options are;
25mm Single Cellular Blind
38mm Single Cellular Blind
45mm Single Cellular Blind
38mm Double Cellular Blind
45mm Single Cellular Cell In A Cell Blind</t>
        </r>
      </text>
    </comment>
    <comment ref="F50" authorId="0" shapeId="0" xr:uid="{183C5EEF-E9BB-4A4D-A717-D9B72D0330F4}">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50" authorId="0" shapeId="0" xr:uid="{2DF2420B-5929-4CC8-9571-88F899CA748A}">
      <text>
        <r>
          <rPr>
            <sz val="8"/>
            <color indexed="81"/>
            <rFont val="Tahoma"/>
            <family val="2"/>
          </rPr>
          <t>The Colour is dependent on the 
Fabric option selected. 
For a Day Night Blind, 
this Colour is for the 
Top Blind which can be either 
Blockout or Translucent.</t>
        </r>
      </text>
    </comment>
    <comment ref="H50" authorId="0" shapeId="0" xr:uid="{CE0E4BAA-CEE4-4D42-8B76-38AC739B9517}">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50" authorId="0" shapeId="0" xr:uid="{C0D1732B-684D-4602-BBB8-141B5EF6FDDB}">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50" authorId="0" shapeId="0" xr:uid="{3068AEE2-4DD0-492D-9BD6-30E6F8CF4326}">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50" authorId="0" shapeId="0" xr:uid="{F946FE8F-AF89-412E-BE9C-50F7C896EB6D}">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50" authorId="0" shapeId="0" xr:uid="{E3C6C9B0-A64D-4018-847A-BF886C1FDB2D}">
      <text>
        <r>
          <rPr>
            <sz val="8"/>
            <color indexed="81"/>
            <rFont val="Tahoma"/>
            <family val="2"/>
          </rPr>
          <t xml:space="preserve">Recess &amp; NAM must be selected 
when ordering Side Channels. 
The factory will take standard deductions. </t>
        </r>
      </text>
    </comment>
    <comment ref="M50" authorId="0" shapeId="0" xr:uid="{AC877316-929F-481B-956B-F75044205FE9}">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50" authorId="0" shapeId="0" xr:uid="{C2D73E43-CF32-47AB-B756-D677BD61D9F1}">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50" authorId="0" shapeId="0" xr:uid="{583B2AA0-88F3-43E3-A146-32278D2520F2}">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50" authorId="0" shapeId="0" xr:uid="{45B2CC5C-F2D6-4676-B44C-1806B1F53E7D}">
      <text>
        <r>
          <rPr>
            <sz val="8"/>
            <color indexed="81"/>
            <rFont val="Tahoma"/>
            <family val="2"/>
          </rPr>
          <t xml:space="preserve">The Motor Power Side options for 
Motors With Power Adapters are;
Left
Right
The Motor Power Side for USB-C 
Power Adaptors must match 
the side of the Wand. </t>
        </r>
      </text>
    </comment>
    <comment ref="R50" authorId="0" shapeId="0" xr:uid="{D98917A3-0FF9-4EB2-B83D-4AEE8AF21E57}">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50" authorId="1" shapeId="0" xr:uid="{B2906202-85B6-4A30-8862-CE4924BD9A87}">
      <text>
        <r>
          <rPr>
            <sz val="9"/>
            <color indexed="81"/>
            <rFont val="Tahoma"/>
            <family val="2"/>
          </rPr>
          <t xml:space="preserve">
The Side Channel Colour 
options are;
Black
Ivory/Classic White
Gray/Earl Gray
White/Snow White</t>
        </r>
      </text>
    </comment>
    <comment ref="T50" authorId="0" shapeId="0" xr:uid="{12B3135A-BCBB-48F9-AD65-65534089A3FD}">
      <text>
        <r>
          <rPr>
            <sz val="8"/>
            <color indexed="81"/>
            <rFont val="Tahoma"/>
            <family val="2"/>
          </rPr>
          <t>If the Blind m2 is 
oversized, then 
"Check Size" 
will be listed.</t>
        </r>
      </text>
    </comment>
    <comment ref="U50" authorId="0" shapeId="0" xr:uid="{AC97CDF1-6BFD-4804-B546-03226EFD8F9E}">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50" authorId="0" shapeId="0" xr:uid="{0B9DB0C6-574D-4CD8-9EA8-936CC6D8F812}">
      <text>
        <r>
          <rPr>
            <sz val="8"/>
            <color indexed="81"/>
            <rFont val="Tahoma"/>
            <family val="2"/>
          </rPr>
          <t>Please use this section 
to specify 
any Special Requirements
for the Line/Order.</t>
        </r>
      </text>
    </comment>
    <comment ref="D51" authorId="0" shapeId="0" xr:uid="{3FC08BF3-7F0F-4BBA-B9CC-C67B8B5567F9}">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51" authorId="0" shapeId="0" xr:uid="{FC7F948B-A9C3-425F-983F-80D9AD005F7F}">
      <text>
        <r>
          <rPr>
            <sz val="8"/>
            <color indexed="81"/>
            <rFont val="Tahoma"/>
            <family val="2"/>
          </rPr>
          <t>Product options are;
25mm Single Cellular Blind
38mm Single Cellular Blind
45mm Single Cellular Blind
38mm Double Cellular Blind
45mm Single Cellular Cell In A Cell Blind</t>
        </r>
      </text>
    </comment>
    <comment ref="F51" authorId="0" shapeId="0" xr:uid="{AD03E25F-7ADE-4A9C-A6EA-A024F5EEE050}">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51" authorId="0" shapeId="0" xr:uid="{0A5AFFD0-5ECB-470E-A81F-6BB38E221889}">
      <text>
        <r>
          <rPr>
            <sz val="8"/>
            <color indexed="81"/>
            <rFont val="Tahoma"/>
            <family val="2"/>
          </rPr>
          <t>The Colour is dependent on the 
Fabric option selected. 
For a Day Night Blind, 
this Colour is for the 
Top Blind which can be either 
Blockout or Translucent.</t>
        </r>
      </text>
    </comment>
    <comment ref="H51" authorId="0" shapeId="0" xr:uid="{30C0D53A-5BAD-420F-A87D-89CD791F2714}">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51" authorId="0" shapeId="0" xr:uid="{A765CF41-498D-433F-95FB-25D24AFA7C6B}">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51" authorId="0" shapeId="0" xr:uid="{F5E12697-F6A1-45EA-B0D4-494FFF998398}">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51" authorId="0" shapeId="0" xr:uid="{76395BCD-306D-487E-BA6E-7F55D5E36527}">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51" authorId="0" shapeId="0" xr:uid="{E3387828-B6D8-401D-AD51-5A682F36A36B}">
      <text>
        <r>
          <rPr>
            <sz val="8"/>
            <color indexed="81"/>
            <rFont val="Tahoma"/>
            <family val="2"/>
          </rPr>
          <t xml:space="preserve">Recess &amp; NAM must be selected 
when ordering Side Channels. 
The factory will take standard deductions. </t>
        </r>
      </text>
    </comment>
    <comment ref="M51" authorId="0" shapeId="0" xr:uid="{990C2173-31DD-49CC-9381-D4A68D8C45B9}">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51" authorId="0" shapeId="0" xr:uid="{8E27B5F6-3A22-4851-B659-F70734C2C25C}">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51" authorId="0" shapeId="0" xr:uid="{6FF12E5F-9C9C-458F-A6F6-8330E1E2C964}">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51" authorId="0" shapeId="0" xr:uid="{6E05E4BF-4156-4727-B5A5-78F94B73DE28}">
      <text>
        <r>
          <rPr>
            <sz val="8"/>
            <color indexed="81"/>
            <rFont val="Tahoma"/>
            <family val="2"/>
          </rPr>
          <t xml:space="preserve">The Motor Power Side options for 
Motors With Power Adapters are;
Left
Right
The Motor Power Side for USB-C 
Power Adaptors must match 
the side of the Wand. </t>
        </r>
      </text>
    </comment>
    <comment ref="R51" authorId="0" shapeId="0" xr:uid="{097236A5-6D68-429F-89BA-8FEDC96FC271}">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51" authorId="1" shapeId="0" xr:uid="{459A3021-0861-4FC0-B49F-42A7C868D9EF}">
      <text>
        <r>
          <rPr>
            <sz val="9"/>
            <color indexed="81"/>
            <rFont val="Tahoma"/>
            <family val="2"/>
          </rPr>
          <t xml:space="preserve">
The Side Channel Colour 
options are;
Black
Ivory/Classic White
Gray/Earl Gray
White/Snow White</t>
        </r>
      </text>
    </comment>
    <comment ref="T51" authorId="0" shapeId="0" xr:uid="{B6A27D81-AEDE-47B6-BA8C-0C28BE9C2F0E}">
      <text>
        <r>
          <rPr>
            <sz val="8"/>
            <color indexed="81"/>
            <rFont val="Tahoma"/>
            <family val="2"/>
          </rPr>
          <t>If the Blind m2 is 
oversized, then 
"Check Size" 
will be listed.</t>
        </r>
      </text>
    </comment>
    <comment ref="U51" authorId="0" shapeId="0" xr:uid="{CD4BF8B8-B8E2-4B16-8F59-3E448225DBE3}">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51" authorId="0" shapeId="0" xr:uid="{7849312B-AD55-4F34-A7D5-11D5EFD0BF51}">
      <text>
        <r>
          <rPr>
            <sz val="8"/>
            <color indexed="81"/>
            <rFont val="Tahoma"/>
            <family val="2"/>
          </rPr>
          <t>Please use this section 
to specify 
any Special Requirements
for the Line/Order.</t>
        </r>
      </text>
    </comment>
    <comment ref="D52" authorId="0" shapeId="0" xr:uid="{3E482958-AAC0-424E-A385-ED45366CFC67}">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52" authorId="0" shapeId="0" xr:uid="{72FFC3B9-0A32-4710-9CF7-B66D1A7B7B4F}">
      <text>
        <r>
          <rPr>
            <sz val="8"/>
            <color indexed="81"/>
            <rFont val="Tahoma"/>
            <family val="2"/>
          </rPr>
          <t>Product options are;
25mm Single Cellular Blind
38mm Single Cellular Blind
45mm Single Cellular Blind
38mm Double Cellular Blind
45mm Single Cellular Cell In A Cell Blind</t>
        </r>
      </text>
    </comment>
    <comment ref="F52" authorId="0" shapeId="0" xr:uid="{7D27D83E-42D9-4CBC-B04F-94063ED2D1F1}">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52" authorId="0" shapeId="0" xr:uid="{26164F38-B135-49ED-9D9A-731587545572}">
      <text>
        <r>
          <rPr>
            <sz val="8"/>
            <color indexed="81"/>
            <rFont val="Tahoma"/>
            <family val="2"/>
          </rPr>
          <t>The Colour is dependent on the 
Fabric option selected. 
For a Day Night Blind, 
this Colour is for the 
Top Blind which can be either 
Blockout or Translucent.</t>
        </r>
      </text>
    </comment>
    <comment ref="H52" authorId="0" shapeId="0" xr:uid="{D4C8AE89-EC50-4141-9265-5FF845DDB2F5}">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52" authorId="0" shapeId="0" xr:uid="{F9655143-2EB7-46D4-82C5-60C0A21D95FC}">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52" authorId="0" shapeId="0" xr:uid="{440778EC-6067-4C46-BB35-E5C5E60F447F}">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52" authorId="0" shapeId="0" xr:uid="{855B9D57-68CF-49BF-BF74-AB1178BB29F1}">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52" authorId="0" shapeId="0" xr:uid="{8B2092E3-3AAF-448C-ABA4-FF55F7846318}">
      <text>
        <r>
          <rPr>
            <sz val="8"/>
            <color indexed="81"/>
            <rFont val="Tahoma"/>
            <family val="2"/>
          </rPr>
          <t xml:space="preserve">Recess &amp; NAM must be selected 
when ordering Side Channels. 
The factory will take standard deductions. </t>
        </r>
      </text>
    </comment>
    <comment ref="M52" authorId="0" shapeId="0" xr:uid="{BBBC0733-FD3A-470C-9B2A-97BB1F48289B}">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52" authorId="0" shapeId="0" xr:uid="{9AD57E16-77E4-413D-B309-9705F4834653}">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52" authorId="0" shapeId="0" xr:uid="{D84A5580-2212-469B-95DA-50FF088006F4}">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52" authorId="0" shapeId="0" xr:uid="{51AFCFEE-40FF-4345-9693-73AF8380BF3A}">
      <text>
        <r>
          <rPr>
            <sz val="8"/>
            <color indexed="81"/>
            <rFont val="Tahoma"/>
            <family val="2"/>
          </rPr>
          <t xml:space="preserve">The Motor Power Side options for 
Motors With Power Adapters are;
Left
Right
The Motor Power Side for USB-C 
Power Adaptors must match 
the side of the Wand. </t>
        </r>
      </text>
    </comment>
    <comment ref="R52" authorId="0" shapeId="0" xr:uid="{BCCF1C63-D3DC-4DB3-A878-659521185E70}">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52" authorId="1" shapeId="0" xr:uid="{0ECF3429-3D44-423F-9046-3B439637B08F}">
      <text>
        <r>
          <rPr>
            <sz val="9"/>
            <color indexed="81"/>
            <rFont val="Tahoma"/>
            <family val="2"/>
          </rPr>
          <t xml:space="preserve">
The Side Channel Colour 
options are;
Black
Ivory/Classic White
Gray/Earl Gray
White/Snow White</t>
        </r>
      </text>
    </comment>
    <comment ref="T52" authorId="0" shapeId="0" xr:uid="{32EC135B-B616-439A-8466-5BF39DA168D1}">
      <text>
        <r>
          <rPr>
            <sz val="8"/>
            <color indexed="81"/>
            <rFont val="Tahoma"/>
            <family val="2"/>
          </rPr>
          <t>If the Blind m2 is 
oversized, then 
"Check Size" 
will be listed.</t>
        </r>
      </text>
    </comment>
    <comment ref="U52" authorId="0" shapeId="0" xr:uid="{3D2497AF-EFA5-44EB-B2E0-CDAF8CFBD780}">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52" authorId="0" shapeId="0" xr:uid="{AD247330-20B0-4A42-9746-CECBA3284E88}">
      <text>
        <r>
          <rPr>
            <sz val="8"/>
            <color indexed="81"/>
            <rFont val="Tahoma"/>
            <family val="2"/>
          </rPr>
          <t>Please use this section 
to specify 
any Special Requirements
for the Line/Order.</t>
        </r>
      </text>
    </comment>
    <comment ref="D53" authorId="0" shapeId="0" xr:uid="{2E5F9FAB-D382-43B5-A3C9-80588FA59554}">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53" authorId="0" shapeId="0" xr:uid="{D3CF29ED-0A43-44EB-B86C-556B16055198}">
      <text>
        <r>
          <rPr>
            <sz val="8"/>
            <color indexed="81"/>
            <rFont val="Tahoma"/>
            <family val="2"/>
          </rPr>
          <t>Product options are;
25mm Single Cellular Blind
38mm Single Cellular Blind
45mm Single Cellular Blind
38mm Double Cellular Blind
45mm Single Cellular Cell In A Cell Blind</t>
        </r>
      </text>
    </comment>
    <comment ref="F53" authorId="0" shapeId="0" xr:uid="{61913731-4E68-4932-B50A-D29FF0292ED1}">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53" authorId="0" shapeId="0" xr:uid="{7FF7C533-FD47-49AA-8AB6-D8AE73646DF6}">
      <text>
        <r>
          <rPr>
            <sz val="8"/>
            <color indexed="81"/>
            <rFont val="Tahoma"/>
            <family val="2"/>
          </rPr>
          <t>The Colour is dependent on the 
Fabric option selected. 
For a Day Night Blind, 
this Colour is for the 
Top Blind which can be either 
Blockout or Translucent.</t>
        </r>
      </text>
    </comment>
    <comment ref="H53" authorId="0" shapeId="0" xr:uid="{F280BBAD-7708-4008-8851-B328FFB367E2}">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53" authorId="0" shapeId="0" xr:uid="{03F490EA-6F3B-40E9-9915-EADBC00CA86C}">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53" authorId="0" shapeId="0" xr:uid="{AF183E74-3A65-4623-B2F9-6884F6F92DB2}">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53" authorId="0" shapeId="0" xr:uid="{1F3E47E5-CCE3-432A-A333-8EDAA4B78110}">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53" authorId="0" shapeId="0" xr:uid="{96391380-CFE4-4408-9F1E-F7DE0B1DD26B}">
      <text>
        <r>
          <rPr>
            <sz val="8"/>
            <color indexed="81"/>
            <rFont val="Tahoma"/>
            <family val="2"/>
          </rPr>
          <t xml:space="preserve">Recess &amp; NAM must be selected 
when ordering Side Channels. 
The factory will take standard deductions. </t>
        </r>
      </text>
    </comment>
    <comment ref="M53" authorId="0" shapeId="0" xr:uid="{BD947E33-324B-4B39-8F16-78FC94B2C052}">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53" authorId="0" shapeId="0" xr:uid="{43290253-8B06-4A0A-82B7-C91C95A5DC95}">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53" authorId="0" shapeId="0" xr:uid="{FB2A29EE-0C98-409E-BD8F-41AB881468B2}">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53" authorId="0" shapeId="0" xr:uid="{216F0CBF-1E32-4E1B-BD6D-BD0AC04EA221}">
      <text>
        <r>
          <rPr>
            <sz val="8"/>
            <color indexed="81"/>
            <rFont val="Tahoma"/>
            <family val="2"/>
          </rPr>
          <t xml:space="preserve">The Motor Power Side options for 
Motors With Power Adapters are;
Left
Right
The Motor Power Side for USB-C 
Power Adaptors must match 
the side of the Wand. </t>
        </r>
      </text>
    </comment>
    <comment ref="R53" authorId="0" shapeId="0" xr:uid="{8D428D71-3CAD-40B7-9207-3B1EA9EF9DED}">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53" authorId="1" shapeId="0" xr:uid="{B22F0A26-9835-4945-908B-21A35E9D7955}">
      <text>
        <r>
          <rPr>
            <sz val="9"/>
            <color indexed="81"/>
            <rFont val="Tahoma"/>
            <family val="2"/>
          </rPr>
          <t xml:space="preserve">
The Side Channel Colour 
options are;
Black
Ivory/Classic White
Gray/Earl Gray
White/Snow White</t>
        </r>
      </text>
    </comment>
    <comment ref="T53" authorId="0" shapeId="0" xr:uid="{9AADAB73-704C-479A-AD52-5A5BE15E8A01}">
      <text>
        <r>
          <rPr>
            <sz val="8"/>
            <color indexed="81"/>
            <rFont val="Tahoma"/>
            <family val="2"/>
          </rPr>
          <t>If the Blind m2 is 
oversized, then 
"Check Size" 
will be listed.</t>
        </r>
      </text>
    </comment>
    <comment ref="U53" authorId="0" shapeId="0" xr:uid="{A797530D-CFC1-4076-834E-5FB4D847ECB7}">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53" authorId="0" shapeId="0" xr:uid="{8D9CCB47-06CA-4ADE-B9D3-1925E3B23346}">
      <text>
        <r>
          <rPr>
            <sz val="8"/>
            <color indexed="81"/>
            <rFont val="Tahoma"/>
            <family val="2"/>
          </rPr>
          <t>Please use this section 
to specify 
any Special Requirements
for the Line/Order.</t>
        </r>
      </text>
    </comment>
    <comment ref="D54" authorId="0" shapeId="0" xr:uid="{DE0A2484-91FD-4130-84AA-4310FCD17C52}">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54" authorId="0" shapeId="0" xr:uid="{C35D2958-72F1-423D-8BD7-1E7FBB477F6E}">
      <text>
        <r>
          <rPr>
            <sz val="8"/>
            <color indexed="81"/>
            <rFont val="Tahoma"/>
            <family val="2"/>
          </rPr>
          <t>Product options are;
25mm Single Cellular Blind
38mm Single Cellular Blind
45mm Single Cellular Blind
38mm Double Cellular Blind
45mm Single Cellular Cell In A Cell Blind</t>
        </r>
      </text>
    </comment>
    <comment ref="F54" authorId="0" shapeId="0" xr:uid="{53767134-C00B-454D-99E2-39EE89A034D1}">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54" authorId="0" shapeId="0" xr:uid="{AD83D584-1A31-4CA7-A631-87E8F5B6A819}">
      <text>
        <r>
          <rPr>
            <sz val="8"/>
            <color indexed="81"/>
            <rFont val="Tahoma"/>
            <family val="2"/>
          </rPr>
          <t>The Colour is dependent on the 
Fabric option selected. 
For a Day Night Blind, 
this Colour is for the 
Top Blind which can be either 
Blockout or Translucent.</t>
        </r>
      </text>
    </comment>
    <comment ref="H54" authorId="0" shapeId="0" xr:uid="{3CDE26F7-D64A-457B-9419-D3D094AFC84A}">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54" authorId="0" shapeId="0" xr:uid="{E62C8352-8AF7-48F6-967B-4CC85B66772A}">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54" authorId="0" shapeId="0" xr:uid="{8B8922BD-3BD6-4FE6-A642-4340925B5629}">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54" authorId="0" shapeId="0" xr:uid="{95285D39-3947-4C07-88F2-82785192961D}">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54" authorId="0" shapeId="0" xr:uid="{C92CC76D-7C2C-4D15-B419-E1BF60014C0E}">
      <text>
        <r>
          <rPr>
            <sz val="8"/>
            <color indexed="81"/>
            <rFont val="Tahoma"/>
            <family val="2"/>
          </rPr>
          <t xml:space="preserve">Recess &amp; NAM must be selected 
when ordering Side Channels. 
The factory will take standard deductions. </t>
        </r>
      </text>
    </comment>
    <comment ref="M54" authorId="0" shapeId="0" xr:uid="{F1CB5B1F-9485-4868-A5D4-5A547A2366CA}">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54" authorId="0" shapeId="0" xr:uid="{423F2ADD-DCE4-40CA-8331-EBD028968687}">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54" authorId="0" shapeId="0" xr:uid="{DAA711E5-C264-42F1-B7D4-26A5494F4459}">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54" authorId="0" shapeId="0" xr:uid="{28A141BD-F180-4EE2-A88B-6A48090990D8}">
      <text>
        <r>
          <rPr>
            <sz val="8"/>
            <color indexed="81"/>
            <rFont val="Tahoma"/>
            <family val="2"/>
          </rPr>
          <t xml:space="preserve">The Motor Power Side options for 
Motors With Power Adapters are;
Left
Right
The Motor Power Side for USB-C 
Power Adaptors must match 
the side of the Wand. </t>
        </r>
      </text>
    </comment>
    <comment ref="R54" authorId="0" shapeId="0" xr:uid="{4ACE66EA-4705-4956-9D7B-E8C02B1DC99D}">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54" authorId="1" shapeId="0" xr:uid="{A1175B18-37BC-42D8-9708-255E05E45362}">
      <text>
        <r>
          <rPr>
            <sz val="9"/>
            <color indexed="81"/>
            <rFont val="Tahoma"/>
            <family val="2"/>
          </rPr>
          <t xml:space="preserve">
The Side Channel Colour 
options are;
Black
Ivory/Classic White
Gray/Earl Gray
White/Snow White</t>
        </r>
      </text>
    </comment>
    <comment ref="T54" authorId="0" shapeId="0" xr:uid="{0B98BAC2-21E6-491D-B373-457F0AF5E562}">
      <text>
        <r>
          <rPr>
            <sz val="8"/>
            <color indexed="81"/>
            <rFont val="Tahoma"/>
            <family val="2"/>
          </rPr>
          <t>If the Blind m2 is 
oversized, then 
"Check Size" 
will be listed.</t>
        </r>
      </text>
    </comment>
    <comment ref="U54" authorId="0" shapeId="0" xr:uid="{6A26FDA6-D980-46DF-A6D0-22AAC0B56552}">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54" authorId="0" shapeId="0" xr:uid="{391BD243-87C0-4A5C-A1DF-5E369C774A15}">
      <text>
        <r>
          <rPr>
            <sz val="8"/>
            <color indexed="81"/>
            <rFont val="Tahoma"/>
            <family val="2"/>
          </rPr>
          <t>Please use this section 
to specify 
any Special Requirements
for the Line/Order.</t>
        </r>
      </text>
    </comment>
    <comment ref="D55" authorId="0" shapeId="0" xr:uid="{0C52ECD5-B8DC-42AE-834E-A3B12437837B}">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55" authorId="0" shapeId="0" xr:uid="{B2374084-74D2-4F0F-BEC8-8C1A7DB2958C}">
      <text>
        <r>
          <rPr>
            <sz val="8"/>
            <color indexed="81"/>
            <rFont val="Tahoma"/>
            <family val="2"/>
          </rPr>
          <t>Product options are;
25mm Single Cellular Blind
38mm Single Cellular Blind
45mm Single Cellular Blind
38mm Double Cellular Blind
45mm Single Cellular Cell In A Cell Blind</t>
        </r>
      </text>
    </comment>
    <comment ref="F55" authorId="0" shapeId="0" xr:uid="{4DEE479C-38F8-4AF7-B02E-E24E62F40EB2}">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55" authorId="0" shapeId="0" xr:uid="{06785D70-B91E-4884-A390-3EB853A6047E}">
      <text>
        <r>
          <rPr>
            <sz val="8"/>
            <color indexed="81"/>
            <rFont val="Tahoma"/>
            <family val="2"/>
          </rPr>
          <t>The Colour is dependent on the 
Fabric option selected. 
For a Day Night Blind, 
this Colour is for the 
Top Blind which can be either 
Blockout or Translucent.</t>
        </r>
      </text>
    </comment>
    <comment ref="H55" authorId="0" shapeId="0" xr:uid="{2EB1AE90-8EE9-46BB-81D4-9122606E8286}">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55" authorId="0" shapeId="0" xr:uid="{8A6971DA-8728-4C11-B442-B06700F449BA}">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55" authorId="0" shapeId="0" xr:uid="{DAE9E5F9-3AD8-4D1C-8B79-B46694999AD7}">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55" authorId="0" shapeId="0" xr:uid="{B0D6182D-D9F1-499B-A7E4-2BB8422A598C}">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55" authorId="0" shapeId="0" xr:uid="{61B46A42-87BC-4D41-BC3A-AC6DC019E8C8}">
      <text>
        <r>
          <rPr>
            <sz val="8"/>
            <color indexed="81"/>
            <rFont val="Tahoma"/>
            <family val="2"/>
          </rPr>
          <t xml:space="preserve">Recess &amp; NAM must be selected 
when ordering Side Channels. 
The factory will take standard deductions. </t>
        </r>
      </text>
    </comment>
    <comment ref="M55" authorId="0" shapeId="0" xr:uid="{3AA222CC-1E21-43DF-86CC-500FE8D3EB8B}">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55" authorId="0" shapeId="0" xr:uid="{DA0AC35B-C710-43BC-8C21-D2B52B3EA67A}">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55" authorId="0" shapeId="0" xr:uid="{FA33FF16-CB03-4673-8DF2-13052D44E025}">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55" authorId="0" shapeId="0" xr:uid="{4D24B006-7023-4A02-B649-C9302E57DC54}">
      <text>
        <r>
          <rPr>
            <sz val="8"/>
            <color indexed="81"/>
            <rFont val="Tahoma"/>
            <family val="2"/>
          </rPr>
          <t xml:space="preserve">The Motor Power Side options for 
Motors With Power Adapters are;
Left
Right
The Motor Power Side for USB-C 
Power Adaptors must match 
the side of the Wand. </t>
        </r>
      </text>
    </comment>
    <comment ref="R55" authorId="0" shapeId="0" xr:uid="{D16DB00D-0E0E-4BEE-B055-DC77BF6395F9}">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55" authorId="1" shapeId="0" xr:uid="{C5C9A939-AB55-4BB0-B3D4-48FDBF397C5C}">
      <text>
        <r>
          <rPr>
            <sz val="9"/>
            <color indexed="81"/>
            <rFont val="Tahoma"/>
            <family val="2"/>
          </rPr>
          <t xml:space="preserve">
The Side Channel Colour 
options are;
Black
Ivory/Classic White
Gray/Earl Gray
White/Snow White</t>
        </r>
      </text>
    </comment>
    <comment ref="T55" authorId="0" shapeId="0" xr:uid="{2F2A9023-1BAA-4F31-B376-34F179A78EAA}">
      <text>
        <r>
          <rPr>
            <sz val="8"/>
            <color indexed="81"/>
            <rFont val="Tahoma"/>
            <family val="2"/>
          </rPr>
          <t>If the Blind m2 is 
oversized, then 
"Check Size" 
will be listed.</t>
        </r>
      </text>
    </comment>
    <comment ref="U55" authorId="0" shapeId="0" xr:uid="{92144E05-B02B-45FF-B61B-8E2126043F7A}">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55" authorId="0" shapeId="0" xr:uid="{9C8C885E-ED74-4122-8D9F-3CC9A05C78FB}">
      <text>
        <r>
          <rPr>
            <sz val="8"/>
            <color indexed="81"/>
            <rFont val="Tahoma"/>
            <family val="2"/>
          </rPr>
          <t>Please use this section 
to specify 
any Special Requirements
for the Line/Order.</t>
        </r>
      </text>
    </comment>
    <comment ref="D56" authorId="0" shapeId="0" xr:uid="{D18B8E5E-6B7E-4DB8-8BB6-0026F554F86E}">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56" authorId="0" shapeId="0" xr:uid="{08135868-94D6-40C3-88DE-50A6935796FA}">
      <text>
        <r>
          <rPr>
            <sz val="8"/>
            <color indexed="81"/>
            <rFont val="Tahoma"/>
            <family val="2"/>
          </rPr>
          <t>Product options are;
25mm Single Cellular Blind
38mm Single Cellular Blind
45mm Single Cellular Blind
38mm Double Cellular Blind
45mm Single Cellular Cell In A Cell Blind</t>
        </r>
      </text>
    </comment>
    <comment ref="F56" authorId="0" shapeId="0" xr:uid="{AFD00687-DD14-4EC6-AC28-8D4AF4D60258}">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56" authorId="0" shapeId="0" xr:uid="{A3EE26B3-1369-4ACB-8DD7-91629443D904}">
      <text>
        <r>
          <rPr>
            <sz val="8"/>
            <color indexed="81"/>
            <rFont val="Tahoma"/>
            <family val="2"/>
          </rPr>
          <t>The Colour is dependent on the 
Fabric option selected. 
For a Day Night Blind, 
this Colour is for the 
Top Blind which can be either 
Blockout or Translucent.</t>
        </r>
      </text>
    </comment>
    <comment ref="H56" authorId="0" shapeId="0" xr:uid="{890C2EE3-B991-4EE7-8367-7CDD12E63F7C}">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56" authorId="0" shapeId="0" xr:uid="{458215D2-8358-4973-B2F0-34FB454C4614}">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56" authorId="0" shapeId="0" xr:uid="{54315CE5-C19C-4D77-A80A-B5500DB4D918}">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56" authorId="0" shapeId="0" xr:uid="{6480DF41-1980-4A2E-8817-F40CCAC54059}">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56" authorId="0" shapeId="0" xr:uid="{52549F84-2188-40D7-BBF9-985467C8E2D0}">
      <text>
        <r>
          <rPr>
            <sz val="8"/>
            <color indexed="81"/>
            <rFont val="Tahoma"/>
            <family val="2"/>
          </rPr>
          <t xml:space="preserve">Recess &amp; NAM must be selected 
when ordering Side Channels. 
The factory will take standard deductions. </t>
        </r>
      </text>
    </comment>
    <comment ref="M56" authorId="0" shapeId="0" xr:uid="{031AE41F-0F5E-4EDF-B3F2-25BC14D9ABA4}">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56" authorId="0" shapeId="0" xr:uid="{5791E84A-93B9-4AF5-9C97-64BB4332204C}">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56" authorId="0" shapeId="0" xr:uid="{932681E9-79A8-4DAC-9C97-F43C7D75C1A3}">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56" authorId="0" shapeId="0" xr:uid="{228A6027-E0CE-4ABF-96B7-68F86C4351A9}">
      <text>
        <r>
          <rPr>
            <sz val="8"/>
            <color indexed="81"/>
            <rFont val="Tahoma"/>
            <family val="2"/>
          </rPr>
          <t xml:space="preserve">The Motor Power Side options for 
Motors With Power Adapters are;
Left
Right
The Motor Power Side for USB-C 
Power Adaptors must match 
the side of the Wand. </t>
        </r>
      </text>
    </comment>
    <comment ref="R56" authorId="0" shapeId="0" xr:uid="{7331DBB9-3E2A-4B92-8A85-6CDA0D447AB8}">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56" authorId="1" shapeId="0" xr:uid="{EAA13003-47BE-4110-A806-458F1582AE5A}">
      <text>
        <r>
          <rPr>
            <sz val="9"/>
            <color indexed="81"/>
            <rFont val="Tahoma"/>
            <family val="2"/>
          </rPr>
          <t xml:space="preserve">
The Side Channel Colour 
options are;
Black
Ivory/Classic White
Gray/Earl Gray
White/Snow White</t>
        </r>
      </text>
    </comment>
    <comment ref="T56" authorId="0" shapeId="0" xr:uid="{75A9F607-098E-425E-AA6F-FB511B2C97E9}">
      <text>
        <r>
          <rPr>
            <sz val="8"/>
            <color indexed="81"/>
            <rFont val="Tahoma"/>
            <family val="2"/>
          </rPr>
          <t>If the Blind m2 is 
oversized, then 
"Check Size" 
will be listed.</t>
        </r>
      </text>
    </comment>
    <comment ref="U56" authorId="0" shapeId="0" xr:uid="{1903FAA6-4F7E-42D7-8A74-78EE524D062E}">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56" authorId="0" shapeId="0" xr:uid="{B498E48D-4506-49AD-9AC5-ABF170A0762F}">
      <text>
        <r>
          <rPr>
            <sz val="8"/>
            <color indexed="81"/>
            <rFont val="Tahoma"/>
            <family val="2"/>
          </rPr>
          <t>Please use this section 
to specify 
any Special Requirements
for the Line/Order.</t>
        </r>
      </text>
    </comment>
    <comment ref="D57" authorId="0" shapeId="0" xr:uid="{49A5D0AB-CB01-4077-A4C4-01DC496859F7}">
      <text>
        <r>
          <rPr>
            <sz val="8"/>
            <color indexed="81"/>
            <rFont val="Tahoma"/>
            <family val="2"/>
          </rPr>
          <t xml:space="preserve">Operation options are;
Corded;
Standard
Day Night
Top Down, Bottom Up
Cordless;
Standard
Day Night
Top Down, Bottom Up
Clutch;
Standard
Day Night
Top Down, Bottom Up
Motorised;
Standard
Day Night
Top Down, Bottom Up
Skylight;
Skylight Cordless
Skylight Motorised Remote
</t>
        </r>
        <r>
          <rPr>
            <i/>
            <sz val="8"/>
            <color indexed="81"/>
            <rFont val="Tahoma"/>
            <family val="2"/>
          </rPr>
          <t>The Head Box is matched to the 
closest colour available.
Motorised Battery options are not recommended 
for high window area's 
(due to the requirements to change batteries).</t>
        </r>
      </text>
    </comment>
    <comment ref="E57" authorId="0" shapeId="0" xr:uid="{21D98680-977D-4BBB-ADF7-290E30FE1285}">
      <text>
        <r>
          <rPr>
            <sz val="8"/>
            <color indexed="81"/>
            <rFont val="Tahoma"/>
            <family val="2"/>
          </rPr>
          <t>Product options are;
25mm Single Cellular Blind
38mm Single Cellular Blind
45mm Single Cellular Blind
38mm Double Cellular Blind
45mm Single Cellular Cell In A Cell Blind</t>
        </r>
      </text>
    </comment>
    <comment ref="F57" authorId="0" shapeId="0" xr:uid="{2B6B371A-A358-47E7-A43C-F7F5FCB31BFF}">
      <text>
        <r>
          <rPr>
            <sz val="8"/>
            <color indexed="81"/>
            <rFont val="Tahoma"/>
            <family val="2"/>
          </rPr>
          <t>Fabric options are;
Day Night;
Blockout Top &amp; Translucent Bottom
Translucent Top &amp; Blockout Bottom
25mm Single Cellular Blind;
Blockout Standard
Translucent Standard
Translucent Paisley
Translucent Sheer
Translucent Thatched
Translucent Woven
38mm Single Cellular Blind;
Blockout Standard
Blockout Bamboo Print
Translucent Standard
Translucent Bamboo Print
Translucent Crepe Woven
Translucent Crush
Translucent Linen
Translucent Paisley
Translucent Sheer
Translucent Sheer A
Translucent Thatched
Translucent Woven
45mm Single Cellular Blind;
Blockout Standard
Blockout Lux-Linen
Blockout Marble
Blockout Sala
Blockout Woodgrain
Blockout Woodgrain Linen
Translucent Standard
Translucent Crepe Woven
Translucent Lux-Linen
Translucent Marble
Translucent Sala
Translucent Sheer
Translucent Woodgrain
Translucent Woodgrain Linen
38mm Double Cellular Blind;
Blockout Standard
Translucent Standard
45mm Single Cell, Cell-In-A-Cell;
Blockout Standard
Translucent Standard
Blockout Bamboo Print
Translucent Bamboo Print</t>
        </r>
      </text>
    </comment>
    <comment ref="G57" authorId="0" shapeId="0" xr:uid="{65937791-E467-486F-8313-66739B5D5D5F}">
      <text>
        <r>
          <rPr>
            <sz val="8"/>
            <color indexed="81"/>
            <rFont val="Tahoma"/>
            <family val="2"/>
          </rPr>
          <t>The Colour is dependent on the 
Fabric option selected. 
For a Day Night Blind, 
this Colour is for the 
Top Blind which can be either 
Blockout or Translucent.</t>
        </r>
      </text>
    </comment>
    <comment ref="H57" authorId="0" shapeId="0" xr:uid="{40AF1356-A00A-4EF8-AD7E-404E568D54CE}">
      <text>
        <r>
          <rPr>
            <sz val="8"/>
            <color indexed="81"/>
            <rFont val="Tahoma"/>
            <family val="2"/>
          </rPr>
          <t>The Fabric &amp; Colour is 
dependent 
on the 
Day Night Blind 
option being selected. 
This is for the Bottom Blind.
This can be either Blockout or Translucent.
Both the Fabric type and the Colour 
are chosen together.</t>
        </r>
      </text>
    </comment>
    <comment ref="I57" authorId="0" shapeId="0" xr:uid="{6AF26241-0C2F-482B-8175-16E298EF337B}">
      <text>
        <r>
          <rPr>
            <sz val="8"/>
            <color indexed="81"/>
            <rFont val="Tahoma"/>
            <family val="2"/>
          </rPr>
          <t>Corded Single Cell, Double Cell &amp; Cell in a Cell Blind Minimum &amp; Maximum Widths;
Corded Standard; Minimum Width is 200mm. Maximum Width is 3000mm.
Corded Day Night; Minimum Width is 450mm. Maximum Width is 3000mm.
Corded Top Down Bottom Up; Minimum Width is 450mm. Maximum Width is 3000mm.
Clutch Single Cell, Double Cell &amp; Cell in a Cell Blind Minimum &amp; Maximum Widths;
Clutch Standard; Minimum Width is 300mm. Maximum Width is 3000mm.
Clutch Day Night; Minimum Width is 570mm. Maximum Width is 3000mm.
Clutch Top Down, Bottom Up; Minimum Width is 570mm. Maximum Width is 3000mm.
Cordless Single Cell, Double Cell &amp; Cell in a Cell Blind Minimum &amp; Maximum Widths;
Cordless Standard; Minimum Width is 250mm. Maximum Width is 2400mm.
Cordless Day Night; Minimum Width is 550mm. Maximum Width is 2400mm.
Cordless Top Down Bottom Up; Minimum Width is 550mm. Maximum Width is 2400mm.
Motorised Cellular Blind Minimum &amp; Maximum Widths;
Motorised Standard Wand &amp; Remote Battery &amp; USB-C; Minimum Width is 710mm. Maximum Width is 3000mm.
Motorised Standard Wand &amp; Remote Hardwired; Minimum Width is 620mm. Maximum Width is 3000mm.
Motorised Wand Top Down Bottom Up &amp; Day Night Hardwired; Minimum Width is 850mm. Maximum Width is 3000mm.
Motorised Remote Top Down Bottom Up &amp; Day Night Hardwired; Minimum Width is 1000mm. Maximum Width is 3000mm.
Skylight Cellular Blind Minimum &amp; Maximum Widths;
Skylight Cordless Standard; Minimum Width is 450mm. Maximum Width is 1800mm.
Skylight Motorised Standard (Powered With Adapter - Hardwired); Minimum Width is 630mm. Maximum Width is 2400mm.
Please note; when Blinds are ordered near the maximum size specifications, 
the weight can affect the operation of the Blind.
*Please refer to reference chart for specifications on Clutch Blinds with one control cord.</t>
        </r>
      </text>
    </comment>
    <comment ref="J57" authorId="0" shapeId="0" xr:uid="{C398E55C-1BE0-431E-8045-9502F8C7A230}">
      <text>
        <r>
          <rPr>
            <sz val="8"/>
            <color indexed="81"/>
            <rFont val="Tahoma"/>
            <family val="2"/>
          </rPr>
          <t xml:space="preserve">38mm Single &amp; 45mm Single Cellular Blind Minimum &amp; Maximum Heights;
Corded (All Types); Minimum Height is 300mm. Maximum Height is 3600mm.
Clutch (All Types); Minimum Height is 300mm. Maximum Height is 3000mm.
Cordless (All Types); Minimum Height is 300mm. Maximum Height is 2100mm.
Motorised Standard (All Motor Types); Minimum Height is 300mm. Maximum Height is 3000mm.
Motorised Top Down Bottom Up &amp; Day Night (Hardwired Only); Minimum Height is 300mm. Maximum Height is 3000mm.
38mm Single Skylight Cellular Blind Minimum &amp; Maximum Heights;
Skylight Cordless Standard; Minimum Height is 300mm. Maximum Height is 2100mm.
Skylight Motorised Standard (Hardwired Only); Minimum Height is 600mm. Maximum Height is 2100mm.
25mm Single &amp; 38mm Double Cellular Blind Minimum &amp; Maximum Heights;
Corded (All Types); Minimum Height is 300mm. Maximum Height is 2500mm.
Clutch (All Types); Minimum Height is 300mm. Maximum Height is 2500mm.
Cordless Standard (All Types); Minimum Height is 300mm. Maximum Height is 2100mm.
Motorised Standard (All Motor Types); Minimum Height is 300mm. Maximum Height is 2500mm.
Motorised Top Down Bottom Up &amp; Day Night (Hardwired Only); Minimum Height is 300mm. Maximum Height is 2500mm.
45mm Cell in a Cell Cellular Blind Minimum &amp; Maximum Heights;
Corded (All Types); Minimum Height is 300mm. Maximum Height is 2700mm.
Clutch (All Types); Minimum Height is 300mm. Maximum Height is 2700mm.
Cordless Standard (All Types); Minimum Height is 300mm. Maximum Height is 2100mm.
Motorised Standard (All Motor Types); Minimum Height is 300mm. Maximum Height is 2700mm.
Motorised Top Down Bottom Up &amp; Day Night (Hardwired Only); Minimum Height is 300mm. Maximum Height is 2700mm.
Please note; when Blinds are ordered near the maximum size specifications, 
the weight can affect the operation of the Blind.
</t>
        </r>
      </text>
    </comment>
    <comment ref="K57" authorId="0" shapeId="0" xr:uid="{753CB8AA-1124-4BF1-B2C0-071BBB83899E}">
      <text>
        <r>
          <rPr>
            <sz val="8"/>
            <color indexed="81"/>
            <rFont val="Tahoma"/>
            <family val="2"/>
          </rPr>
          <t xml:space="preserve">The Window Type is 
dependent 
on the 
Operation
option being selected. 
</t>
        </r>
        <r>
          <rPr>
            <i/>
            <sz val="8"/>
            <color indexed="81"/>
            <rFont val="Tahoma"/>
            <family val="2"/>
          </rPr>
          <t>When selecting a
Corner or Bay Window Type, 
the CMB Corner WS 
or CMB Bay WS 
must be completed.</t>
        </r>
      </text>
    </comment>
    <comment ref="L57" authorId="0" shapeId="0" xr:uid="{9F45636B-C540-42DE-BC43-B25101C40164}">
      <text>
        <r>
          <rPr>
            <sz val="8"/>
            <color indexed="81"/>
            <rFont val="Tahoma"/>
            <family val="2"/>
          </rPr>
          <t xml:space="preserve">Recess &amp; NAM must be selected 
when ordering Side Channels. 
The factory will take standard deductions. </t>
        </r>
      </text>
    </comment>
    <comment ref="M57" authorId="0" shapeId="0" xr:uid="{D0AD5A5A-65C9-4C54-9CF1-EE4BA1BE8A86}">
      <text>
        <r>
          <rPr>
            <sz val="8"/>
            <color indexed="81"/>
            <rFont val="Tahoma"/>
            <family val="2"/>
          </rPr>
          <t xml:space="preserve">ACT 
Actual Measurements
You have made the allowances.
NAM
No Allowances Made 
The factory will make the deductions.
Recess &amp; NAM must be selected 
when ordering Side Channels. 
The factory will take standard deductions. </t>
        </r>
      </text>
    </comment>
    <comment ref="O57" authorId="0" shapeId="0" xr:uid="{913E422A-DB99-4EDF-9622-9A84817837A7}">
      <text>
        <r>
          <rPr>
            <sz val="8"/>
            <color indexed="81"/>
            <rFont val="Tahoma"/>
            <family val="2"/>
          </rPr>
          <t xml:space="preserve">Standard Control options are;
Corded;
Left
Right
Both Left
Both Right
Top Left, Bottom Right
Top Right, Bottom Left
Cordless;
None
Clutch;
Left
Right
Top Left, Bottom Right
Top Right, Bottom Left
</t>
        </r>
        <r>
          <rPr>
            <i/>
            <sz val="8"/>
            <color indexed="81"/>
            <rFont val="Tahoma"/>
            <family val="2"/>
          </rPr>
          <t>Clutch Cord will be supplied in 
Cotton/White.</t>
        </r>
        <r>
          <rPr>
            <sz val="8"/>
            <color indexed="81"/>
            <rFont val="Tahoma"/>
            <family val="2"/>
          </rPr>
          <t xml:space="preserve">
Motorised;
N/A
</t>
        </r>
        <r>
          <rPr>
            <i/>
            <sz val="8"/>
            <color indexed="81"/>
            <rFont val="Tahoma"/>
            <family val="2"/>
          </rPr>
          <t xml:space="preserve">(Enter in Motor Control)
</t>
        </r>
        <r>
          <rPr>
            <sz val="8"/>
            <color indexed="81"/>
            <rFont val="Tahoma"/>
            <family val="2"/>
          </rPr>
          <t xml:space="preserve">
Skylight Cordless;
None
None - With Extendable Pole 
(914.4mm - 1676.4mm)
Skylight Motorised Remote;
N/A
</t>
        </r>
        <r>
          <rPr>
            <i/>
            <sz val="8"/>
            <color indexed="81"/>
            <rFont val="Tahoma"/>
            <family val="2"/>
          </rPr>
          <t>(Enter in Motor Control)</t>
        </r>
      </text>
    </comment>
    <comment ref="P57" authorId="0" shapeId="0" xr:uid="{1DDF8F50-7984-4241-8421-EF5D201878A9}">
      <text>
        <r>
          <rPr>
            <sz val="8"/>
            <color indexed="81"/>
            <rFont val="Tahoma"/>
            <family val="2"/>
          </rPr>
          <t xml:space="preserve">The Motor Control options are;
Battery Operated Motor - Left Side Wand
Battery Operated Motor - Right Side Wand
Battery Operated Motor - Remote
Battery Operated Motor - No Remote
Battery Operated Blinds use 8 x AA Batteries per Blind.
For Battery Operated Blinds, the 8 x AA Batteries are not included.
Battery Operated Motor options are not available for Motorised Day Night &amp; Top Down, Bottom Up Operations.
These are not recommended for frequent use as the batteries may require regular changing.
The batteries will need replacing according to the frequency of use and are not rechargeable.
Powered Operated Motor With Power Adapter (Hardwired Motor) - Left Side Wand
Powered Operated Motor With Power Adapter (Hardwired Motor) - Right Side Wand
Powered Operated Motor With Power Adapter (Hardwired Motor) - Remote
Powered Operated Motor With Power Adapter (Hardwired Motor) - No Remote
Powered With Adapter Operated Motor Extension Cables are available on request.
Powered Operated Motor With Power Adapter uses a 240V Mains Plug and will require a 
power point/socket close to the Blind. 
The Blinds will need a continuous power source to operate.
Rechargeable Battery Operated Motor With Power Adapter - Left Side Wand
Rechargeable Battery Operated Motor With Power Adapter - Right Side Wand
Rechargeable Battery Operated Motor With Power Adapter - Remote
Rechargeable Battery Operated Motor With Power Adapter - No Remote
Rechargeable Battery Operated Motor options are not available for Motorised Day Night &amp; Top Down, Bottom Up Operations.
Rechargeable Battery Operated Motor With Power Adapter uses a 240V Mains Plug and will require a power point/socket 
close to the Blind when recharging the battery.
Rechargeable Battery Operated Motor With Wand Control &amp; USB-C Power Adapter With Remote - Left Side Wand
Rechargeable Battery Operated Motor With Wand Control &amp; USB-C Power Adapter With Remote - Right Side Wand
Rechargeable Battery Operated Motor With Wand Control &amp; USB-C options are not available for 
Motorised Day Night &amp; Top Down, Bottom Up Operations.
Rechargeable Battery Operated Motor With Wand Control &amp; USB-C uses a USB-C cable 
that is plugged into the bottom of the Wand to be charged. 
A 1.5m USB-C to USB-C cable will be supplied with the Blind, 
however the power plug is not provided.
A Remote Control will also be supplied.
38mm Single Cellular Fabric can be selected for Rechargeable Battery Operated Motor With Wand Control &amp; USB-C, 
however the Head Rail will remain as a 45mm size and the Bottom Rail will suit the 38mm size.
The Skylight Motor Control options are;
Powered Operated Motor With Power Adapter (Hardwired Motor) - Remote
Powered Operated Motor With Power Adapter (Hardwired Motor) - No Remote
Skylight Motorised Blinds are made with White side channels only.
Surcharges apply for Motorised Blinds.
</t>
        </r>
      </text>
    </comment>
    <comment ref="Q57" authorId="0" shapeId="0" xr:uid="{A964A1B3-5284-4A77-8CC9-A81B111D291F}">
      <text>
        <r>
          <rPr>
            <sz val="8"/>
            <color indexed="81"/>
            <rFont val="Tahoma"/>
            <family val="2"/>
          </rPr>
          <t xml:space="preserve">The Motor Power Side options for 
Motors With Power Adapters are;
Left
Right
The Motor Power Side for USB-C 
Power Adaptors must match 
the side of the Wand. </t>
        </r>
      </text>
    </comment>
    <comment ref="R57" authorId="0" shapeId="0" xr:uid="{DEF33AC0-039A-49E7-8035-5718E116B94E}">
      <text>
        <r>
          <rPr>
            <sz val="8"/>
            <color indexed="81"/>
            <rFont val="Tahoma"/>
            <family val="2"/>
          </rPr>
          <t>Recess &amp; NAM must be selected 
when ordering Side Channels. 
The factory will take standard deductions. 
Side Channels are only available in 
Standard Corded and Cordless 
Operations for these Blinds;
25mm Single Cellular Blind
38mm Single Cellular Blind
The Side Channel options are;
Yes - Left &amp; Right Sides
Yes - Left &amp; Right Sides &amp; Bottom
No
Side Channels are supplied as 3m lengths 
that need to be cut down to size by the Installer.
Side Channels will have a minimum pack size of 4.
When Cordless Operation is selected with Side Channels, 
then the Bottom Handle must be removed 
for the Blind to fit correctly.
Side Channels are not suitable for Skylight Operation.</t>
        </r>
      </text>
    </comment>
    <comment ref="S57" authorId="1" shapeId="0" xr:uid="{56383C88-EC05-4221-BA51-527BB2A0F42B}">
      <text>
        <r>
          <rPr>
            <sz val="9"/>
            <color indexed="81"/>
            <rFont val="Tahoma"/>
            <family val="2"/>
          </rPr>
          <t xml:space="preserve">
The Side Channel Colour 
options are;
Black
Ivory/Classic White
Gray/Earl Gray
White/Snow White</t>
        </r>
      </text>
    </comment>
    <comment ref="T57" authorId="0" shapeId="0" xr:uid="{EF2A8EFE-4659-4C59-934F-A38B43D6A5F9}">
      <text>
        <r>
          <rPr>
            <sz val="8"/>
            <color indexed="81"/>
            <rFont val="Tahoma"/>
            <family val="2"/>
          </rPr>
          <t>If the Blind m2 is 
oversized, then 
"Check Size" 
will be listed.</t>
        </r>
      </text>
    </comment>
    <comment ref="U57" authorId="0" shapeId="0" xr:uid="{6292CADA-88E2-4D99-A9BB-3539662FA62B}">
      <text>
        <r>
          <rPr>
            <sz val="8"/>
            <color indexed="81"/>
            <rFont val="Tahoma"/>
            <family val="2"/>
          </rPr>
          <t>Maximum m2 Area Sizes
25mm Single Cell Blinds;
Corded Standard 7.5
Corded Top Down, Bottom Up 7.5
Corded Day Night 4.56
Cordless Standard 5.2
Cordless Top Down, Bottom Up 5.2
Cordless Day Night 5.2
Clutch Standard 7.5 
Clutch Top Down, Bottom Up 7.32
Clutch Day Night 6.4
Motorised Standard 7.5
Motorised Day Night 7.0
Motorised Top Down, Bottom Up  7.5
38mm &amp; 45mm Single Cell Blinds;
Corded Standard 10.8
Corded Top Down, Bottom Up 10.8
Corded Day Night 5.5
Cordless Standard 5.2
Cordless Top Down, Bottom Up 5.2
Cordless Day Night 5.2
Clutch Standard 9.0
Clutch Top Down, Bottom Up 7.32
Clutch Day Night 6.4
Motorised Standard 9.0
Motorised Day Night 5.5-7.0
Motorised Top Down, Bottom Up 9.0
Skylight Cordless 5.04
Skylight Motorised Remote 5.04
38mm Double Cell Blinds;
Corded Standard 7.5
Corded Top Down, Bottom Up 7.5
Corded Day Night 4.56
Cordless Standard 5.2
Cordless Top Down, Bottom Up 5.2
Cordless Day Night 5.2
Clutch Standard 7.5 
Clutch Top Down, Bottom Up 7.32
Clutch Day Night 6.4
Motorised Standard Blockout 4.75
Motorised Standard Translucent 7.0
Motorised Day Night 4.5
Motorised Top Down, Bottom Up Blockout 5.0
Motorised Top Down, Bottom Up Translucent 7.0</t>
        </r>
      </text>
    </comment>
    <comment ref="V57" authorId="0" shapeId="0" xr:uid="{2A1F0F3B-10DF-477A-AE8B-63B46220989F}">
      <text>
        <r>
          <rPr>
            <sz val="8"/>
            <color indexed="81"/>
            <rFont val="Tahoma"/>
            <family val="2"/>
          </rPr>
          <t>Please use this section 
to specify 
any Special Requirements
for the Line/Order.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D7" authorId="0" shapeId="0" xr:uid="{00000000-0006-0000-0700-000001000000}">
      <text>
        <r>
          <rPr>
            <sz val="8"/>
            <color indexed="81"/>
            <rFont val="Tahoma"/>
            <family val="2"/>
          </rPr>
          <t>Fabric options are;
Amalfi
Como (Blockout)
Como (Translucent)
Florence
London
Maui
Milan
Pompeii
Rome (Blockout)
Rome (Translucent)
Sunscreen</t>
        </r>
      </text>
    </comment>
    <comment ref="E7" authorId="0" shapeId="0" xr:uid="{00000000-0006-0000-0700-000002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7" authorId="0" shapeId="0" xr:uid="{00000000-0006-0000-0700-000003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7" authorId="0" shapeId="0" xr:uid="{00000000-0006-0000-0700-000004000000}">
      <text>
        <r>
          <rPr>
            <sz val="8"/>
            <color indexed="81"/>
            <rFont val="Tahoma"/>
            <family val="2"/>
          </rPr>
          <t xml:space="preserve">Minimum Height/Drop is 500mm.
Maximum Height/Drop is 3000mm. </t>
        </r>
      </text>
    </comment>
    <comment ref="H7" authorId="0" shapeId="0" xr:uid="{00000000-0006-0000-0700-000005000000}">
      <text>
        <r>
          <rPr>
            <sz val="8"/>
            <color indexed="81"/>
            <rFont val="Tahoma"/>
            <family val="2"/>
          </rPr>
          <t xml:space="preserve">
Panel Quantities 
options;
2
3
4
5
6
7
9
Please note; 
Minimum Panel Width is 400mm.
Maximum Panel Width is 1000mm.</t>
        </r>
      </text>
    </comment>
    <comment ref="I7" authorId="0" shapeId="0" xr:uid="{00000000-0006-0000-0700-000006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7" authorId="0" shapeId="0" xr:uid="{00000000-0006-0000-0700-000007000000}">
      <text>
        <r>
          <rPr>
            <sz val="8"/>
            <color indexed="81"/>
            <rFont val="Tahoma"/>
            <family val="2"/>
          </rPr>
          <t>When selecting a
Corner or Bay 
Window Type, 
the 
CMB Corner WS 
or 
CMB Bay WS 
must be completed.</t>
        </r>
      </text>
    </comment>
    <comment ref="L7" authorId="0" shapeId="0" xr:uid="{00000000-0006-0000-0700-000008000000}">
      <text>
        <r>
          <rPr>
            <sz val="8"/>
            <color indexed="81"/>
            <rFont val="Tahoma"/>
            <family val="2"/>
          </rPr>
          <t>ACT 
Actual Measurements
You have made the allowances.
NAM
No Allowances Made 
The factory will make the deductions.</t>
        </r>
      </text>
    </comment>
    <comment ref="N7" authorId="0" shapeId="0" xr:uid="{00000000-0006-0000-0700-000009000000}">
      <text>
        <r>
          <rPr>
            <sz val="8"/>
            <color indexed="81"/>
            <rFont val="Tahoma"/>
            <family val="2"/>
          </rPr>
          <t>Track Colour options are;
Clear Anodised
Black
White
White Birch
Please note; 
All Blinds are supplied 
with a Clear Anodised Wand.</t>
        </r>
      </text>
    </comment>
    <comment ref="O7" authorId="0" shapeId="0" xr:uid="{00000000-0006-0000-0700-00000A000000}">
      <text>
        <r>
          <rPr>
            <sz val="8"/>
            <color indexed="81"/>
            <rFont val="Tahoma"/>
            <family val="2"/>
          </rPr>
          <t xml:space="preserve">
Finish options;
Sewn In Pocket
Bottom Rail</t>
        </r>
      </text>
    </comment>
    <comment ref="P7" authorId="0" shapeId="0" xr:uid="{00000000-0006-0000-0700-00000B000000}">
      <text>
        <r>
          <rPr>
            <sz val="8"/>
            <color indexed="81"/>
            <rFont val="Tahoma"/>
            <family val="2"/>
          </rPr>
          <t xml:space="preserve">
Bottom Rail Colour options;
Bright Silver
Clear Anodised
Metallic Black
Mocha
White
White Birch</t>
        </r>
      </text>
    </comment>
    <comment ref="Q7" authorId="0" shapeId="0" xr:uid="{00000000-0006-0000-0700-00000C000000}">
      <text>
        <r>
          <rPr>
            <sz val="8"/>
            <color indexed="81"/>
            <rFont val="Tahoma"/>
            <family val="2"/>
          </rPr>
          <t>When
 Standard or Common 
is selected the 
Pelmet Colour 
must be entered.</t>
        </r>
      </text>
    </comment>
    <comment ref="D8" authorId="0" shapeId="0" xr:uid="{00000000-0006-0000-0700-00000D000000}">
      <text>
        <r>
          <rPr>
            <sz val="8"/>
            <color indexed="81"/>
            <rFont val="Tahoma"/>
            <family val="2"/>
          </rPr>
          <t>Fabric options are;
Amalfi
Como (Blockout)
Como (Translucent)
Florence
London
Maui
Milan
Pompeii
Rome (Blockout)
Rome (Translucent)
Sunscreen</t>
        </r>
      </text>
    </comment>
    <comment ref="E8" authorId="0" shapeId="0" xr:uid="{00000000-0006-0000-0700-00000E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8" authorId="0" shapeId="0" xr:uid="{00000000-0006-0000-0700-00000F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8" authorId="0" shapeId="0" xr:uid="{00000000-0006-0000-0700-000010000000}">
      <text>
        <r>
          <rPr>
            <sz val="8"/>
            <color indexed="81"/>
            <rFont val="Tahoma"/>
            <family val="2"/>
          </rPr>
          <t xml:space="preserve">Minimum Height/Drop is 500mm.
Maximum Height/Drop is 3000mm. </t>
        </r>
      </text>
    </comment>
    <comment ref="H8" authorId="0" shapeId="0" xr:uid="{00000000-0006-0000-0700-000011000000}">
      <text>
        <r>
          <rPr>
            <sz val="8"/>
            <color indexed="81"/>
            <rFont val="Tahoma"/>
            <family val="2"/>
          </rPr>
          <t xml:space="preserve">
Panel Quantities 
options;
2
3
4
5
6
7
9
Please note; 
Minimum Panel Width is 400mm.
Maximum Panel Width is 1000mm.</t>
        </r>
      </text>
    </comment>
    <comment ref="I8" authorId="0" shapeId="0" xr:uid="{00000000-0006-0000-0700-000012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8" authorId="0" shapeId="0" xr:uid="{00000000-0006-0000-0700-000013000000}">
      <text>
        <r>
          <rPr>
            <sz val="8"/>
            <color indexed="81"/>
            <rFont val="Tahoma"/>
            <family val="2"/>
          </rPr>
          <t>When selecting a
Corner or Bay 
Window Type, 
the 
CMB Corner WS 
or 
CMB Bay WS 
must be completed.</t>
        </r>
      </text>
    </comment>
    <comment ref="L8" authorId="0" shapeId="0" xr:uid="{00000000-0006-0000-0700-000014000000}">
      <text>
        <r>
          <rPr>
            <sz val="8"/>
            <color indexed="81"/>
            <rFont val="Tahoma"/>
            <family val="2"/>
          </rPr>
          <t>ACT 
Actual Measurements
You have made the allowances.
NAM
No Allowances Made 
The factory will make the deductions.</t>
        </r>
      </text>
    </comment>
    <comment ref="N8" authorId="0" shapeId="0" xr:uid="{00000000-0006-0000-0700-000015000000}">
      <text>
        <r>
          <rPr>
            <sz val="8"/>
            <color indexed="81"/>
            <rFont val="Tahoma"/>
            <family val="2"/>
          </rPr>
          <t>Track Colour options are;
Clear Anodised
Black
White
White Birch
Please note; 
All Blinds are supplied 
with a Clear Anodised Wand.</t>
        </r>
      </text>
    </comment>
    <comment ref="O8" authorId="0" shapeId="0" xr:uid="{00000000-0006-0000-0700-000016000000}">
      <text>
        <r>
          <rPr>
            <sz val="8"/>
            <color indexed="81"/>
            <rFont val="Tahoma"/>
            <family val="2"/>
          </rPr>
          <t xml:space="preserve">
Finish options;
Sewn In Pocket
Bottom Rail</t>
        </r>
      </text>
    </comment>
    <comment ref="P8" authorId="0" shapeId="0" xr:uid="{00000000-0006-0000-0700-000017000000}">
      <text>
        <r>
          <rPr>
            <sz val="8"/>
            <color indexed="81"/>
            <rFont val="Tahoma"/>
            <family val="2"/>
          </rPr>
          <t xml:space="preserve">
Bottom Rail Colour options;
Bright Silver
Clear Anodised
Metallic Black
Mocha
White
White Birch</t>
        </r>
      </text>
    </comment>
    <comment ref="Q8" authorId="0" shapeId="0" xr:uid="{00000000-0006-0000-0700-000018000000}">
      <text>
        <r>
          <rPr>
            <sz val="8"/>
            <color indexed="81"/>
            <rFont val="Tahoma"/>
            <family val="2"/>
          </rPr>
          <t>When
 Standard or Common 
is selected the 
Pelmet Colour 
must be entered.</t>
        </r>
      </text>
    </comment>
    <comment ref="D9" authorId="0" shapeId="0" xr:uid="{00000000-0006-0000-0700-000019000000}">
      <text>
        <r>
          <rPr>
            <sz val="8"/>
            <color indexed="81"/>
            <rFont val="Tahoma"/>
            <family val="2"/>
          </rPr>
          <t>Fabric options are;
Amalfi
Como (Blockout)
Como (Translucent)
Florence
London
Maui
Milan
Pompeii
Rome (Blockout)
Rome (Translucent)
Sunscreen</t>
        </r>
      </text>
    </comment>
    <comment ref="E9" authorId="0" shapeId="0" xr:uid="{00000000-0006-0000-0700-00001A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9" authorId="0" shapeId="0" xr:uid="{00000000-0006-0000-0700-00001B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9" authorId="0" shapeId="0" xr:uid="{00000000-0006-0000-0700-00001C000000}">
      <text>
        <r>
          <rPr>
            <sz val="8"/>
            <color indexed="81"/>
            <rFont val="Tahoma"/>
            <family val="2"/>
          </rPr>
          <t xml:space="preserve">Minimum Height/Drop is 500mm.
Maximum Height/Drop is 3000mm. </t>
        </r>
      </text>
    </comment>
    <comment ref="H9" authorId="0" shapeId="0" xr:uid="{00000000-0006-0000-0700-00001D000000}">
      <text>
        <r>
          <rPr>
            <sz val="8"/>
            <color indexed="81"/>
            <rFont val="Tahoma"/>
            <family val="2"/>
          </rPr>
          <t xml:space="preserve">
Panel Quantities 
options;
2
3
4
5
6
7
9
Please note; 
Minimum Panel Width is 400mm.
Maximum Panel Width is 1000mm.</t>
        </r>
      </text>
    </comment>
    <comment ref="I9" authorId="0" shapeId="0" xr:uid="{00000000-0006-0000-0700-00001E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9" authorId="0" shapeId="0" xr:uid="{00000000-0006-0000-0700-00001F000000}">
      <text>
        <r>
          <rPr>
            <sz val="8"/>
            <color indexed="81"/>
            <rFont val="Tahoma"/>
            <family val="2"/>
          </rPr>
          <t>When selecting a
Corner or Bay 
Window Type, 
the 
CMB Corner WS 
or 
CMB Bay WS 
must be completed.</t>
        </r>
      </text>
    </comment>
    <comment ref="L9" authorId="0" shapeId="0" xr:uid="{00000000-0006-0000-0700-000020000000}">
      <text>
        <r>
          <rPr>
            <sz val="8"/>
            <color indexed="81"/>
            <rFont val="Tahoma"/>
            <family val="2"/>
          </rPr>
          <t>ACT 
Actual Measurements
You have made the allowances.
NAM
No Allowances Made 
The factory will make the deductions.</t>
        </r>
      </text>
    </comment>
    <comment ref="N9" authorId="0" shapeId="0" xr:uid="{00000000-0006-0000-0700-000021000000}">
      <text>
        <r>
          <rPr>
            <sz val="8"/>
            <color indexed="81"/>
            <rFont val="Tahoma"/>
            <family val="2"/>
          </rPr>
          <t>Track Colour options are;
Clear Anodised
Black
White
White Birch
Please note; 
All Blinds are supplied 
with a Clear Anodised Wand.</t>
        </r>
      </text>
    </comment>
    <comment ref="O9" authorId="0" shapeId="0" xr:uid="{00000000-0006-0000-0700-000022000000}">
      <text>
        <r>
          <rPr>
            <sz val="8"/>
            <color indexed="81"/>
            <rFont val="Tahoma"/>
            <family val="2"/>
          </rPr>
          <t xml:space="preserve">
Finish options;
Sewn In Pocket
Bottom Rail</t>
        </r>
      </text>
    </comment>
    <comment ref="P9" authorId="0" shapeId="0" xr:uid="{00000000-0006-0000-0700-000023000000}">
      <text>
        <r>
          <rPr>
            <sz val="8"/>
            <color indexed="81"/>
            <rFont val="Tahoma"/>
            <family val="2"/>
          </rPr>
          <t xml:space="preserve">
Bottom Rail Colour options;
Bright Silver
Clear Anodised
Metallic Black
Mocha
White
White Birch</t>
        </r>
      </text>
    </comment>
    <comment ref="Q9" authorId="0" shapeId="0" xr:uid="{00000000-0006-0000-0700-000024000000}">
      <text>
        <r>
          <rPr>
            <sz val="8"/>
            <color indexed="81"/>
            <rFont val="Tahoma"/>
            <family val="2"/>
          </rPr>
          <t>When
 Standard or Common 
is selected the 
Pelmet Colour 
must be entered.</t>
        </r>
      </text>
    </comment>
    <comment ref="D10" authorId="0" shapeId="0" xr:uid="{00000000-0006-0000-0700-000025000000}">
      <text>
        <r>
          <rPr>
            <sz val="8"/>
            <color indexed="81"/>
            <rFont val="Tahoma"/>
            <family val="2"/>
          </rPr>
          <t>Fabric options are;
Amalfi
Como (Blockout)
Como (Translucent)
Florence
London
Maui
Milan
Pompeii
Rome (Blockout)
Rome (Translucent)
Sunscreen</t>
        </r>
      </text>
    </comment>
    <comment ref="E10" authorId="0" shapeId="0" xr:uid="{00000000-0006-0000-0700-000026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10" authorId="0" shapeId="0" xr:uid="{00000000-0006-0000-0700-000027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0" authorId="0" shapeId="0" xr:uid="{00000000-0006-0000-0700-000028000000}">
      <text>
        <r>
          <rPr>
            <sz val="8"/>
            <color indexed="81"/>
            <rFont val="Tahoma"/>
            <family val="2"/>
          </rPr>
          <t xml:space="preserve">Minimum Height/Drop is 500mm.
Maximum Height/Drop is 3000mm. </t>
        </r>
      </text>
    </comment>
    <comment ref="H10" authorId="0" shapeId="0" xr:uid="{00000000-0006-0000-0700-000029000000}">
      <text>
        <r>
          <rPr>
            <sz val="8"/>
            <color indexed="81"/>
            <rFont val="Tahoma"/>
            <family val="2"/>
          </rPr>
          <t xml:space="preserve">
Panel Quantities 
options;
2
3
4
5
6
7
9
Please note; 
Minimum Panel Width is 400mm.
Maximum Panel Width is 1000mm.</t>
        </r>
      </text>
    </comment>
    <comment ref="I10" authorId="0" shapeId="0" xr:uid="{00000000-0006-0000-0700-00002A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10" authorId="0" shapeId="0" xr:uid="{00000000-0006-0000-0700-00002B000000}">
      <text>
        <r>
          <rPr>
            <sz val="8"/>
            <color indexed="81"/>
            <rFont val="Tahoma"/>
            <family val="2"/>
          </rPr>
          <t>When selecting a
Corner or Bay 
Window Type, 
the 
CMB Corner WS 
or 
CMB Bay WS 
must be completed.</t>
        </r>
      </text>
    </comment>
    <comment ref="L10" authorId="0" shapeId="0" xr:uid="{00000000-0006-0000-0700-00002C000000}">
      <text>
        <r>
          <rPr>
            <sz val="8"/>
            <color indexed="81"/>
            <rFont val="Tahoma"/>
            <family val="2"/>
          </rPr>
          <t>ACT 
Actual Measurements
You have made the allowances.
NAM
No Allowances Made 
The factory will make the deductions.</t>
        </r>
      </text>
    </comment>
    <comment ref="N10" authorId="0" shapeId="0" xr:uid="{00000000-0006-0000-0700-00002D000000}">
      <text>
        <r>
          <rPr>
            <sz val="8"/>
            <color indexed="81"/>
            <rFont val="Tahoma"/>
            <family val="2"/>
          </rPr>
          <t>Track Colour options are;
Clear Anodised
Black
White
White Birch
Please note; 
All Blinds are supplied 
with a Clear Anodised Wand.</t>
        </r>
      </text>
    </comment>
    <comment ref="O10" authorId="0" shapeId="0" xr:uid="{00000000-0006-0000-0700-00002E000000}">
      <text>
        <r>
          <rPr>
            <sz val="8"/>
            <color indexed="81"/>
            <rFont val="Tahoma"/>
            <family val="2"/>
          </rPr>
          <t xml:space="preserve">
Finish options;
Sewn In Pocket
Bottom Rail</t>
        </r>
      </text>
    </comment>
    <comment ref="P10" authorId="0" shapeId="0" xr:uid="{00000000-0006-0000-0700-00002F000000}">
      <text>
        <r>
          <rPr>
            <sz val="8"/>
            <color indexed="81"/>
            <rFont val="Tahoma"/>
            <family val="2"/>
          </rPr>
          <t xml:space="preserve">
Bottom Rail Colour options;
Bright Silver
Clear Anodised
Metallic Black
Mocha
White
White Birch</t>
        </r>
      </text>
    </comment>
    <comment ref="Q10" authorId="0" shapeId="0" xr:uid="{00000000-0006-0000-0700-000030000000}">
      <text>
        <r>
          <rPr>
            <sz val="8"/>
            <color indexed="81"/>
            <rFont val="Tahoma"/>
            <family val="2"/>
          </rPr>
          <t>When
 Standard or Common 
is selected the 
Pelmet Colour 
must be entered.</t>
        </r>
      </text>
    </comment>
    <comment ref="D11" authorId="0" shapeId="0" xr:uid="{00000000-0006-0000-0700-000031000000}">
      <text>
        <r>
          <rPr>
            <sz val="8"/>
            <color indexed="81"/>
            <rFont val="Tahoma"/>
            <family val="2"/>
          </rPr>
          <t>Fabric options are;
Amalfi
Como (Blockout)
Como (Translucent)
Florence
London
Maui
Milan
Pompeii
Rome (Blockout)
Rome (Translucent)
Sunscreen</t>
        </r>
      </text>
    </comment>
    <comment ref="E11" authorId="0" shapeId="0" xr:uid="{00000000-0006-0000-0700-000032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11" authorId="0" shapeId="0" xr:uid="{00000000-0006-0000-0700-000033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1" authorId="0" shapeId="0" xr:uid="{00000000-0006-0000-0700-000034000000}">
      <text>
        <r>
          <rPr>
            <sz val="8"/>
            <color indexed="81"/>
            <rFont val="Tahoma"/>
            <family val="2"/>
          </rPr>
          <t xml:space="preserve">Minimum Height/Drop is 500mm.
Maximum Height/Drop is 3000mm. </t>
        </r>
      </text>
    </comment>
    <comment ref="H11" authorId="0" shapeId="0" xr:uid="{00000000-0006-0000-0700-000035000000}">
      <text>
        <r>
          <rPr>
            <sz val="8"/>
            <color indexed="81"/>
            <rFont val="Tahoma"/>
            <family val="2"/>
          </rPr>
          <t xml:space="preserve">
Panel Quantities 
options;
2
3
4
5
6
7
9
Please note; 
Minimum Panel Width is 400mm.
Maximum Panel Width is 1000mm.</t>
        </r>
      </text>
    </comment>
    <comment ref="I11" authorId="0" shapeId="0" xr:uid="{00000000-0006-0000-0700-000036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11" authorId="0" shapeId="0" xr:uid="{00000000-0006-0000-0700-000037000000}">
      <text>
        <r>
          <rPr>
            <sz val="8"/>
            <color indexed="81"/>
            <rFont val="Tahoma"/>
            <family val="2"/>
          </rPr>
          <t>When selecting a
Corner or Bay 
Window Type, 
the 
CMB Corner WS 
or 
CMB Bay WS 
must be completed.</t>
        </r>
      </text>
    </comment>
    <comment ref="L11" authorId="0" shapeId="0" xr:uid="{00000000-0006-0000-0700-000038000000}">
      <text>
        <r>
          <rPr>
            <sz val="8"/>
            <color indexed="81"/>
            <rFont val="Tahoma"/>
            <family val="2"/>
          </rPr>
          <t>ACT 
Actual Measurements
You have made the allowances.
NAM
No Allowances Made 
The factory will make the deductions.</t>
        </r>
      </text>
    </comment>
    <comment ref="N11" authorId="0" shapeId="0" xr:uid="{00000000-0006-0000-0700-000039000000}">
      <text>
        <r>
          <rPr>
            <sz val="8"/>
            <color indexed="81"/>
            <rFont val="Tahoma"/>
            <family val="2"/>
          </rPr>
          <t>Track Colour options are;
Clear Anodised
Black
White
White Birch
Please note; 
All Blinds are supplied 
with a Clear Anodised Wand.</t>
        </r>
      </text>
    </comment>
    <comment ref="O11" authorId="0" shapeId="0" xr:uid="{00000000-0006-0000-0700-00003A000000}">
      <text>
        <r>
          <rPr>
            <sz val="8"/>
            <color indexed="81"/>
            <rFont val="Tahoma"/>
            <family val="2"/>
          </rPr>
          <t xml:space="preserve">
Finish options;
Sewn In Pocket
Bottom Rail</t>
        </r>
      </text>
    </comment>
    <comment ref="P11" authorId="0" shapeId="0" xr:uid="{00000000-0006-0000-0700-00003B000000}">
      <text>
        <r>
          <rPr>
            <sz val="8"/>
            <color indexed="81"/>
            <rFont val="Tahoma"/>
            <family val="2"/>
          </rPr>
          <t xml:space="preserve">
Bottom Rail Colour options;
Bright Silver
Clear Anodised
Metallic Black
Mocha
White
White Birch</t>
        </r>
      </text>
    </comment>
    <comment ref="Q11" authorId="0" shapeId="0" xr:uid="{00000000-0006-0000-0700-00003C000000}">
      <text>
        <r>
          <rPr>
            <sz val="8"/>
            <color indexed="81"/>
            <rFont val="Tahoma"/>
            <family val="2"/>
          </rPr>
          <t>When
 Standard or Common 
is selected the 
Pelmet Colour 
must be entered.</t>
        </r>
      </text>
    </comment>
    <comment ref="D12" authorId="0" shapeId="0" xr:uid="{00000000-0006-0000-0700-00003D000000}">
      <text>
        <r>
          <rPr>
            <sz val="8"/>
            <color indexed="81"/>
            <rFont val="Tahoma"/>
            <family val="2"/>
          </rPr>
          <t>Fabric options are;
Amalfi
Como (Blockout)
Como (Translucent)
Florence
London
Maui
Milan
Pompeii
Rome (Blockout)
Rome (Translucent)
Sunscreen</t>
        </r>
      </text>
    </comment>
    <comment ref="E12" authorId="0" shapeId="0" xr:uid="{00000000-0006-0000-0700-00003E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12" authorId="0" shapeId="0" xr:uid="{00000000-0006-0000-0700-00003F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2" authorId="0" shapeId="0" xr:uid="{00000000-0006-0000-0700-000040000000}">
      <text>
        <r>
          <rPr>
            <sz val="8"/>
            <color indexed="81"/>
            <rFont val="Tahoma"/>
            <family val="2"/>
          </rPr>
          <t xml:space="preserve">Minimum Height/Drop is 500mm.
Maximum Height/Drop is 3000mm. </t>
        </r>
      </text>
    </comment>
    <comment ref="H12" authorId="0" shapeId="0" xr:uid="{00000000-0006-0000-0700-000041000000}">
      <text>
        <r>
          <rPr>
            <sz val="8"/>
            <color indexed="81"/>
            <rFont val="Tahoma"/>
            <family val="2"/>
          </rPr>
          <t xml:space="preserve">
Panel Quantities 
options;
2
3
4
5
6
7
9
Please note; 
Minimum Panel Width is 400mm.
Maximum Panel Width is 1000mm.</t>
        </r>
      </text>
    </comment>
    <comment ref="I12" authorId="0" shapeId="0" xr:uid="{00000000-0006-0000-0700-000042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12" authorId="0" shapeId="0" xr:uid="{00000000-0006-0000-0700-000043000000}">
      <text>
        <r>
          <rPr>
            <sz val="8"/>
            <color indexed="81"/>
            <rFont val="Tahoma"/>
            <family val="2"/>
          </rPr>
          <t>When selecting a
Corner or Bay 
Window Type, 
the 
CMB Corner WS 
or 
CMB Bay WS 
must be completed.</t>
        </r>
      </text>
    </comment>
    <comment ref="L12" authorId="0" shapeId="0" xr:uid="{00000000-0006-0000-0700-000044000000}">
      <text>
        <r>
          <rPr>
            <sz val="8"/>
            <color indexed="81"/>
            <rFont val="Tahoma"/>
            <family val="2"/>
          </rPr>
          <t>ACT 
Actual Measurements
You have made the allowances.
NAM
No Allowances Made 
The factory will make the deductions.</t>
        </r>
      </text>
    </comment>
    <comment ref="N12" authorId="0" shapeId="0" xr:uid="{00000000-0006-0000-0700-000045000000}">
      <text>
        <r>
          <rPr>
            <sz val="8"/>
            <color indexed="81"/>
            <rFont val="Tahoma"/>
            <family val="2"/>
          </rPr>
          <t>Track Colour options are;
Clear Anodised
Black
White
White Birch
Please note; 
All Blinds are supplied 
with a Clear Anodised Wand.</t>
        </r>
      </text>
    </comment>
    <comment ref="O12" authorId="0" shapeId="0" xr:uid="{00000000-0006-0000-0700-000046000000}">
      <text>
        <r>
          <rPr>
            <sz val="8"/>
            <color indexed="81"/>
            <rFont val="Tahoma"/>
            <family val="2"/>
          </rPr>
          <t xml:space="preserve">
Finish options;
Sewn In Pocket
Bottom Rail</t>
        </r>
      </text>
    </comment>
    <comment ref="P12" authorId="0" shapeId="0" xr:uid="{00000000-0006-0000-0700-000047000000}">
      <text>
        <r>
          <rPr>
            <sz val="8"/>
            <color indexed="81"/>
            <rFont val="Tahoma"/>
            <family val="2"/>
          </rPr>
          <t xml:space="preserve">
Bottom Rail Colour options;
Bright Silver
Clear Anodised
Metallic Black
Mocha
White
White Birch</t>
        </r>
      </text>
    </comment>
    <comment ref="Q12" authorId="0" shapeId="0" xr:uid="{00000000-0006-0000-0700-000048000000}">
      <text>
        <r>
          <rPr>
            <sz val="8"/>
            <color indexed="81"/>
            <rFont val="Tahoma"/>
            <family val="2"/>
          </rPr>
          <t>When
 Standard or Common 
is selected the 
Pelmet Colour 
must be entered.</t>
        </r>
      </text>
    </comment>
    <comment ref="D13" authorId="0" shapeId="0" xr:uid="{00000000-0006-0000-0700-000049000000}">
      <text>
        <r>
          <rPr>
            <sz val="8"/>
            <color indexed="81"/>
            <rFont val="Tahoma"/>
            <family val="2"/>
          </rPr>
          <t>Fabric options are;
Amalfi
Como (Blockout)
Como (Translucent)
Florence
London
Maui
Milan
Pompeii
Rome (Blockout)
Rome (Translucent)
Sunscreen</t>
        </r>
      </text>
    </comment>
    <comment ref="E13" authorId="0" shapeId="0" xr:uid="{00000000-0006-0000-0700-00004A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13" authorId="0" shapeId="0" xr:uid="{00000000-0006-0000-0700-00004B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3" authorId="0" shapeId="0" xr:uid="{00000000-0006-0000-0700-00004C000000}">
      <text>
        <r>
          <rPr>
            <sz val="8"/>
            <color indexed="81"/>
            <rFont val="Tahoma"/>
            <family val="2"/>
          </rPr>
          <t xml:space="preserve">Minimum Height/Drop is 500mm.
Maximum Height/Drop is 3000mm. </t>
        </r>
      </text>
    </comment>
    <comment ref="H13" authorId="0" shapeId="0" xr:uid="{00000000-0006-0000-0700-00004D000000}">
      <text>
        <r>
          <rPr>
            <sz val="8"/>
            <color indexed="81"/>
            <rFont val="Tahoma"/>
            <family val="2"/>
          </rPr>
          <t xml:space="preserve">
Panel Quantities 
options;
2
3
4
5
6
7
9
Please note; 
Minimum Panel Width is 400mm.
Maximum Panel Width is 1000mm.</t>
        </r>
      </text>
    </comment>
    <comment ref="I13" authorId="0" shapeId="0" xr:uid="{00000000-0006-0000-0700-00004E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13" authorId="0" shapeId="0" xr:uid="{00000000-0006-0000-0700-00004F000000}">
      <text>
        <r>
          <rPr>
            <sz val="8"/>
            <color indexed="81"/>
            <rFont val="Tahoma"/>
            <family val="2"/>
          </rPr>
          <t>When selecting a
Corner or Bay 
Window Type, 
the 
CMB Corner WS 
or 
CMB Bay WS 
must be completed.</t>
        </r>
      </text>
    </comment>
    <comment ref="L13" authorId="0" shapeId="0" xr:uid="{00000000-0006-0000-0700-000050000000}">
      <text>
        <r>
          <rPr>
            <sz val="8"/>
            <color indexed="81"/>
            <rFont val="Tahoma"/>
            <family val="2"/>
          </rPr>
          <t>ACT 
Actual Measurements
You have made the allowances.
NAM
No Allowances Made 
The factory will make the deductions.</t>
        </r>
      </text>
    </comment>
    <comment ref="N13" authorId="0" shapeId="0" xr:uid="{00000000-0006-0000-0700-000051000000}">
      <text>
        <r>
          <rPr>
            <sz val="8"/>
            <color indexed="81"/>
            <rFont val="Tahoma"/>
            <family val="2"/>
          </rPr>
          <t>Track Colour options are;
Clear Anodised
Black
White
White Birch
Please note; 
All Blinds are supplied 
with a Clear Anodised Wand.</t>
        </r>
      </text>
    </comment>
    <comment ref="O13" authorId="0" shapeId="0" xr:uid="{00000000-0006-0000-0700-000052000000}">
      <text>
        <r>
          <rPr>
            <sz val="8"/>
            <color indexed="81"/>
            <rFont val="Tahoma"/>
            <family val="2"/>
          </rPr>
          <t xml:space="preserve">
Finish options;
Sewn In Pocket
Bottom Rail</t>
        </r>
      </text>
    </comment>
    <comment ref="P13" authorId="0" shapeId="0" xr:uid="{00000000-0006-0000-0700-000053000000}">
      <text>
        <r>
          <rPr>
            <sz val="8"/>
            <color indexed="81"/>
            <rFont val="Tahoma"/>
            <family val="2"/>
          </rPr>
          <t xml:space="preserve">
Bottom Rail Colour options;
Bright Silver
Clear Anodised
Metallic Black
Mocha
White
White Birch</t>
        </r>
      </text>
    </comment>
    <comment ref="Q13" authorId="0" shapeId="0" xr:uid="{00000000-0006-0000-0700-000054000000}">
      <text>
        <r>
          <rPr>
            <sz val="8"/>
            <color indexed="81"/>
            <rFont val="Tahoma"/>
            <family val="2"/>
          </rPr>
          <t>When
 Standard or Common 
is selected the 
Pelmet Colour 
must be entered.</t>
        </r>
      </text>
    </comment>
    <comment ref="D14" authorId="0" shapeId="0" xr:uid="{00000000-0006-0000-0700-000055000000}">
      <text>
        <r>
          <rPr>
            <sz val="8"/>
            <color indexed="81"/>
            <rFont val="Tahoma"/>
            <family val="2"/>
          </rPr>
          <t>Fabric options are;
Amalfi
Como (Blockout)
Como (Translucent)
Florence
London
Maui
Milan
Pompeii
Rome (Blockout)
Rome (Translucent)
Sunscreen</t>
        </r>
      </text>
    </comment>
    <comment ref="E14" authorId="0" shapeId="0" xr:uid="{00000000-0006-0000-0700-000056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14" authorId="0" shapeId="0" xr:uid="{00000000-0006-0000-0700-000057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4" authorId="0" shapeId="0" xr:uid="{00000000-0006-0000-0700-000058000000}">
      <text>
        <r>
          <rPr>
            <sz val="8"/>
            <color indexed="81"/>
            <rFont val="Tahoma"/>
            <family val="2"/>
          </rPr>
          <t xml:space="preserve">Minimum Height/Drop is 500mm.
Maximum Height/Drop is 3000mm. </t>
        </r>
      </text>
    </comment>
    <comment ref="H14" authorId="0" shapeId="0" xr:uid="{00000000-0006-0000-0700-000059000000}">
      <text>
        <r>
          <rPr>
            <sz val="8"/>
            <color indexed="81"/>
            <rFont val="Tahoma"/>
            <family val="2"/>
          </rPr>
          <t xml:space="preserve">
Panel Quantities 
options;
2
3
4
5
6
7
9
Please note; 
Minimum Panel Width is 400mm.
Maximum Panel Width is 1000mm.</t>
        </r>
      </text>
    </comment>
    <comment ref="I14" authorId="0" shapeId="0" xr:uid="{00000000-0006-0000-0700-00005A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14" authorId="0" shapeId="0" xr:uid="{00000000-0006-0000-0700-00005B000000}">
      <text>
        <r>
          <rPr>
            <sz val="8"/>
            <color indexed="81"/>
            <rFont val="Tahoma"/>
            <family val="2"/>
          </rPr>
          <t>When selecting a
Corner or Bay 
Window Type, 
the 
CMB Corner WS 
or 
CMB Bay WS 
must be completed.</t>
        </r>
      </text>
    </comment>
    <comment ref="L14" authorId="0" shapeId="0" xr:uid="{00000000-0006-0000-0700-00005C000000}">
      <text>
        <r>
          <rPr>
            <sz val="8"/>
            <color indexed="81"/>
            <rFont val="Tahoma"/>
            <family val="2"/>
          </rPr>
          <t>ACT 
Actual Measurements
You have made the allowances.
NAM
No Allowances Made 
The factory will make the deductions.</t>
        </r>
      </text>
    </comment>
    <comment ref="N14" authorId="0" shapeId="0" xr:uid="{00000000-0006-0000-0700-00005D000000}">
      <text>
        <r>
          <rPr>
            <sz val="8"/>
            <color indexed="81"/>
            <rFont val="Tahoma"/>
            <family val="2"/>
          </rPr>
          <t>Track Colour options are;
Clear Anodised
Black
White
White Birch
Please note; 
All Blinds are supplied 
with a Clear Anodised Wand.</t>
        </r>
      </text>
    </comment>
    <comment ref="O14" authorId="0" shapeId="0" xr:uid="{00000000-0006-0000-0700-00005E000000}">
      <text>
        <r>
          <rPr>
            <sz val="8"/>
            <color indexed="81"/>
            <rFont val="Tahoma"/>
            <family val="2"/>
          </rPr>
          <t xml:space="preserve">
Finish options;
Sewn In Pocket
Bottom Rail</t>
        </r>
      </text>
    </comment>
    <comment ref="P14" authorId="0" shapeId="0" xr:uid="{00000000-0006-0000-0700-00005F000000}">
      <text>
        <r>
          <rPr>
            <sz val="8"/>
            <color indexed="81"/>
            <rFont val="Tahoma"/>
            <family val="2"/>
          </rPr>
          <t xml:space="preserve">
Bottom Rail Colour options;
Bright Silver
Clear Anodised
Metallic Black
Mocha
White
White Birch</t>
        </r>
      </text>
    </comment>
    <comment ref="Q14" authorId="0" shapeId="0" xr:uid="{00000000-0006-0000-0700-000060000000}">
      <text>
        <r>
          <rPr>
            <sz val="8"/>
            <color indexed="81"/>
            <rFont val="Tahoma"/>
            <family val="2"/>
          </rPr>
          <t>When
 Standard or Common 
is selected the 
Pelmet Colour 
must be entered.</t>
        </r>
      </text>
    </comment>
    <comment ref="D15" authorId="0" shapeId="0" xr:uid="{00000000-0006-0000-0700-000061000000}">
      <text>
        <r>
          <rPr>
            <sz val="8"/>
            <color indexed="81"/>
            <rFont val="Tahoma"/>
            <family val="2"/>
          </rPr>
          <t>Fabric options are;
Amalfi
Como (Blockout)
Como (Translucent)
Florence
London
Maui
Milan
Pompeii
Rome (Blockout)
Rome (Translucent)
Sunscreen</t>
        </r>
      </text>
    </comment>
    <comment ref="E15" authorId="0" shapeId="0" xr:uid="{00000000-0006-0000-0700-000062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15" authorId="0" shapeId="0" xr:uid="{00000000-0006-0000-0700-000063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5" authorId="0" shapeId="0" xr:uid="{00000000-0006-0000-0700-000064000000}">
      <text>
        <r>
          <rPr>
            <sz val="8"/>
            <color indexed="81"/>
            <rFont val="Tahoma"/>
            <family val="2"/>
          </rPr>
          <t xml:space="preserve">Minimum Height/Drop is 500mm.
Maximum Height/Drop is 3000mm. </t>
        </r>
      </text>
    </comment>
    <comment ref="H15" authorId="0" shapeId="0" xr:uid="{00000000-0006-0000-0700-000065000000}">
      <text>
        <r>
          <rPr>
            <sz val="8"/>
            <color indexed="81"/>
            <rFont val="Tahoma"/>
            <family val="2"/>
          </rPr>
          <t xml:space="preserve">
Panel Quantities 
options;
2
3
4
5
6
7
9
Please note; 
Minimum Panel Width is 400mm.
Maximum Panel Width is 1000mm.</t>
        </r>
      </text>
    </comment>
    <comment ref="I15" authorId="0" shapeId="0" xr:uid="{00000000-0006-0000-0700-000066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15" authorId="0" shapeId="0" xr:uid="{00000000-0006-0000-0700-000067000000}">
      <text>
        <r>
          <rPr>
            <sz val="8"/>
            <color indexed="81"/>
            <rFont val="Tahoma"/>
            <family val="2"/>
          </rPr>
          <t>When selecting a
Corner or Bay 
Window Type, 
the 
CMB Corner WS 
or 
CMB Bay WS 
must be completed.</t>
        </r>
      </text>
    </comment>
    <comment ref="L15" authorId="0" shapeId="0" xr:uid="{00000000-0006-0000-0700-000068000000}">
      <text>
        <r>
          <rPr>
            <sz val="8"/>
            <color indexed="81"/>
            <rFont val="Tahoma"/>
            <family val="2"/>
          </rPr>
          <t>ACT 
Actual Measurements
You have made the allowances.
NAM
No Allowances Made 
The factory will make the deductions.</t>
        </r>
      </text>
    </comment>
    <comment ref="N15" authorId="0" shapeId="0" xr:uid="{00000000-0006-0000-0700-000069000000}">
      <text>
        <r>
          <rPr>
            <sz val="8"/>
            <color indexed="81"/>
            <rFont val="Tahoma"/>
            <family val="2"/>
          </rPr>
          <t>Track Colour options are;
Clear Anodised
Black
White
White Birch
Please note; 
All Blinds are supplied 
with a Clear Anodised Wand.</t>
        </r>
      </text>
    </comment>
    <comment ref="O15" authorId="0" shapeId="0" xr:uid="{00000000-0006-0000-0700-00006A000000}">
      <text>
        <r>
          <rPr>
            <sz val="8"/>
            <color indexed="81"/>
            <rFont val="Tahoma"/>
            <family val="2"/>
          </rPr>
          <t xml:space="preserve">
Finish options;
Sewn In Pocket
Bottom Rail</t>
        </r>
      </text>
    </comment>
    <comment ref="P15" authorId="0" shapeId="0" xr:uid="{00000000-0006-0000-0700-00006B000000}">
      <text>
        <r>
          <rPr>
            <sz val="8"/>
            <color indexed="81"/>
            <rFont val="Tahoma"/>
            <family val="2"/>
          </rPr>
          <t xml:space="preserve">
Bottom Rail Colour options;
Bright Silver
Clear Anodised
Metallic Black
Mocha
White
White Birch</t>
        </r>
      </text>
    </comment>
    <comment ref="Q15" authorId="0" shapeId="0" xr:uid="{00000000-0006-0000-0700-00006C000000}">
      <text>
        <r>
          <rPr>
            <sz val="8"/>
            <color indexed="81"/>
            <rFont val="Tahoma"/>
            <family val="2"/>
          </rPr>
          <t>When
 Standard or Common 
is selected the 
Pelmet Colour 
must be entered.</t>
        </r>
      </text>
    </comment>
    <comment ref="D16" authorId="0" shapeId="0" xr:uid="{00000000-0006-0000-0700-00006D000000}">
      <text>
        <r>
          <rPr>
            <sz val="8"/>
            <color indexed="81"/>
            <rFont val="Tahoma"/>
            <family val="2"/>
          </rPr>
          <t>Fabric options are;
Amalfi
Como (Blockout)
Como (Translucent)
Florence
London
Maui
Milan
Pompeii
Rome (Blockout)
Rome (Translucent)
Sunscreen</t>
        </r>
      </text>
    </comment>
    <comment ref="E16" authorId="0" shapeId="0" xr:uid="{00000000-0006-0000-0700-00006E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16" authorId="0" shapeId="0" xr:uid="{00000000-0006-0000-0700-00006F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6" authorId="0" shapeId="0" xr:uid="{00000000-0006-0000-0700-000070000000}">
      <text>
        <r>
          <rPr>
            <sz val="8"/>
            <color indexed="81"/>
            <rFont val="Tahoma"/>
            <family val="2"/>
          </rPr>
          <t xml:space="preserve">Minimum Height/Drop is 500mm.
Maximum Height/Drop is 3000mm. </t>
        </r>
      </text>
    </comment>
    <comment ref="H16" authorId="0" shapeId="0" xr:uid="{00000000-0006-0000-0700-000071000000}">
      <text>
        <r>
          <rPr>
            <sz val="8"/>
            <color indexed="81"/>
            <rFont val="Tahoma"/>
            <family val="2"/>
          </rPr>
          <t xml:space="preserve">
Panel Quantities 
options;
2
3
4
5
6
7
9
Please note; 
Minimum Panel Width is 400mm.
Maximum Panel Width is 1000mm.</t>
        </r>
      </text>
    </comment>
    <comment ref="I16" authorId="0" shapeId="0" xr:uid="{00000000-0006-0000-0700-000072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16" authorId="0" shapeId="0" xr:uid="{00000000-0006-0000-0700-000073000000}">
      <text>
        <r>
          <rPr>
            <sz val="8"/>
            <color indexed="81"/>
            <rFont val="Tahoma"/>
            <family val="2"/>
          </rPr>
          <t>When selecting a
Corner or Bay 
Window Type, 
the 
CMB Corner WS 
or 
CMB Bay WS 
must be completed.</t>
        </r>
      </text>
    </comment>
    <comment ref="L16" authorId="0" shapeId="0" xr:uid="{00000000-0006-0000-0700-000074000000}">
      <text>
        <r>
          <rPr>
            <sz val="8"/>
            <color indexed="81"/>
            <rFont val="Tahoma"/>
            <family val="2"/>
          </rPr>
          <t>ACT 
Actual Measurements
You have made the allowances.
NAM
No Allowances Made 
The factory will make the deductions.</t>
        </r>
      </text>
    </comment>
    <comment ref="N16" authorId="0" shapeId="0" xr:uid="{00000000-0006-0000-0700-000075000000}">
      <text>
        <r>
          <rPr>
            <sz val="8"/>
            <color indexed="81"/>
            <rFont val="Tahoma"/>
            <family val="2"/>
          </rPr>
          <t>Track Colour options are;
Clear Anodised
Black
White
White Birch
Please note; 
All Blinds are supplied 
with a Clear Anodised Wand.</t>
        </r>
      </text>
    </comment>
    <comment ref="O16" authorId="0" shapeId="0" xr:uid="{00000000-0006-0000-0700-000076000000}">
      <text>
        <r>
          <rPr>
            <sz val="8"/>
            <color indexed="81"/>
            <rFont val="Tahoma"/>
            <family val="2"/>
          </rPr>
          <t xml:space="preserve">
Finish options;
Sewn In Pocket
Bottom Rail</t>
        </r>
      </text>
    </comment>
    <comment ref="P16" authorId="0" shapeId="0" xr:uid="{00000000-0006-0000-0700-000077000000}">
      <text>
        <r>
          <rPr>
            <sz val="8"/>
            <color indexed="81"/>
            <rFont val="Tahoma"/>
            <family val="2"/>
          </rPr>
          <t xml:space="preserve">
Bottom Rail Colour options;
Bright Silver
Clear Anodised
Metallic Black
Mocha
White
White Birch</t>
        </r>
      </text>
    </comment>
    <comment ref="Q16" authorId="0" shapeId="0" xr:uid="{00000000-0006-0000-0700-000078000000}">
      <text>
        <r>
          <rPr>
            <sz val="8"/>
            <color indexed="81"/>
            <rFont val="Tahoma"/>
            <family val="2"/>
          </rPr>
          <t>When
 Standard or Common 
is selected the 
Pelmet Colour 
must be entered.</t>
        </r>
      </text>
    </comment>
    <comment ref="D17" authorId="0" shapeId="0" xr:uid="{00000000-0006-0000-0700-000079000000}">
      <text>
        <r>
          <rPr>
            <sz val="8"/>
            <color indexed="81"/>
            <rFont val="Tahoma"/>
            <family val="2"/>
          </rPr>
          <t>Fabric options are;
Amalfi
Como (Blockout)
Como (Translucent)
Florence
London
Maui
Milan
Pompeii
Rome (Blockout)
Rome (Translucent)
Sunscreen</t>
        </r>
      </text>
    </comment>
    <comment ref="E17" authorId="0" shapeId="0" xr:uid="{00000000-0006-0000-0700-00007A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17" authorId="0" shapeId="0" xr:uid="{00000000-0006-0000-0700-00007B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7" authorId="0" shapeId="0" xr:uid="{00000000-0006-0000-0700-00007C000000}">
      <text>
        <r>
          <rPr>
            <sz val="8"/>
            <color indexed="81"/>
            <rFont val="Tahoma"/>
            <family val="2"/>
          </rPr>
          <t xml:space="preserve">Minimum Height/Drop is 500mm.
Maximum Height/Drop is 3000mm. </t>
        </r>
      </text>
    </comment>
    <comment ref="H17" authorId="0" shapeId="0" xr:uid="{00000000-0006-0000-0700-00007D000000}">
      <text>
        <r>
          <rPr>
            <sz val="8"/>
            <color indexed="81"/>
            <rFont val="Tahoma"/>
            <family val="2"/>
          </rPr>
          <t xml:space="preserve">
Panel Quantities 
options;
2
3
4
5
6
7
9
Please note; 
Minimum Panel Width is 400mm.
Maximum Panel Width is 1000mm.</t>
        </r>
      </text>
    </comment>
    <comment ref="I17" authorId="0" shapeId="0" xr:uid="{00000000-0006-0000-0700-00007E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17" authorId="0" shapeId="0" xr:uid="{00000000-0006-0000-0700-00007F000000}">
      <text>
        <r>
          <rPr>
            <sz val="8"/>
            <color indexed="81"/>
            <rFont val="Tahoma"/>
            <family val="2"/>
          </rPr>
          <t>When selecting a
Corner or Bay 
Window Type, 
the 
CMB Corner WS 
or 
CMB Bay WS 
must be completed.</t>
        </r>
      </text>
    </comment>
    <comment ref="L17" authorId="0" shapeId="0" xr:uid="{00000000-0006-0000-0700-000080000000}">
      <text>
        <r>
          <rPr>
            <sz val="8"/>
            <color indexed="81"/>
            <rFont val="Tahoma"/>
            <family val="2"/>
          </rPr>
          <t>ACT 
Actual Measurements
You have made the allowances.
NAM
No Allowances Made 
The factory will make the deductions.</t>
        </r>
      </text>
    </comment>
    <comment ref="N17" authorId="0" shapeId="0" xr:uid="{00000000-0006-0000-0700-000081000000}">
      <text>
        <r>
          <rPr>
            <sz val="8"/>
            <color indexed="81"/>
            <rFont val="Tahoma"/>
            <family val="2"/>
          </rPr>
          <t>Track Colour options are;
Clear Anodised
Black
White
White Birch
Please note; 
All Blinds are supplied 
with a Clear Anodised Wand.</t>
        </r>
      </text>
    </comment>
    <comment ref="O17" authorId="0" shapeId="0" xr:uid="{00000000-0006-0000-0700-000082000000}">
      <text>
        <r>
          <rPr>
            <sz val="8"/>
            <color indexed="81"/>
            <rFont val="Tahoma"/>
            <family val="2"/>
          </rPr>
          <t xml:space="preserve">
Finish options;
Sewn In Pocket
Bottom Rail</t>
        </r>
      </text>
    </comment>
    <comment ref="P17" authorId="0" shapeId="0" xr:uid="{00000000-0006-0000-0700-000083000000}">
      <text>
        <r>
          <rPr>
            <sz val="8"/>
            <color indexed="81"/>
            <rFont val="Tahoma"/>
            <family val="2"/>
          </rPr>
          <t xml:space="preserve">
Bottom Rail Colour options;
Bright Silver
Clear Anodised
Metallic Black
Mocha
White
White Birch</t>
        </r>
      </text>
    </comment>
    <comment ref="Q17" authorId="0" shapeId="0" xr:uid="{00000000-0006-0000-0700-000084000000}">
      <text>
        <r>
          <rPr>
            <sz val="8"/>
            <color indexed="81"/>
            <rFont val="Tahoma"/>
            <family val="2"/>
          </rPr>
          <t>When
 Standard or Common 
is selected the 
Pelmet Colour 
must be entered.</t>
        </r>
      </text>
    </comment>
    <comment ref="D18" authorId="0" shapeId="0" xr:uid="{00000000-0006-0000-0700-000085000000}">
      <text>
        <r>
          <rPr>
            <sz val="8"/>
            <color indexed="81"/>
            <rFont val="Tahoma"/>
            <family val="2"/>
          </rPr>
          <t>Fabric options are;
Amalfi
Como (Blockout)
Como (Translucent)
Florence
London
Maui
Milan
Pompeii
Rome (Blockout)
Rome (Translucent)
Sunscreen</t>
        </r>
      </text>
    </comment>
    <comment ref="E18" authorId="0" shapeId="0" xr:uid="{00000000-0006-0000-0700-000086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18" authorId="0" shapeId="0" xr:uid="{00000000-0006-0000-0700-000087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8" authorId="0" shapeId="0" xr:uid="{00000000-0006-0000-0700-000088000000}">
      <text>
        <r>
          <rPr>
            <sz val="8"/>
            <color indexed="81"/>
            <rFont val="Tahoma"/>
            <family val="2"/>
          </rPr>
          <t xml:space="preserve">Minimum Height/Drop is 500mm.
Maximum Height/Drop is 3000mm. </t>
        </r>
      </text>
    </comment>
    <comment ref="H18" authorId="0" shapeId="0" xr:uid="{00000000-0006-0000-0700-000089000000}">
      <text>
        <r>
          <rPr>
            <sz val="8"/>
            <color indexed="81"/>
            <rFont val="Tahoma"/>
            <family val="2"/>
          </rPr>
          <t xml:space="preserve">
Panel Quantities 
options;
2
3
4
5
6
7
9
Please note; 
Minimum Panel Width is 400mm.
Maximum Panel Width is 1000mm.</t>
        </r>
      </text>
    </comment>
    <comment ref="I18" authorId="0" shapeId="0" xr:uid="{00000000-0006-0000-0700-00008A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18" authorId="0" shapeId="0" xr:uid="{00000000-0006-0000-0700-00008B000000}">
      <text>
        <r>
          <rPr>
            <sz val="8"/>
            <color indexed="81"/>
            <rFont val="Tahoma"/>
            <family val="2"/>
          </rPr>
          <t>When selecting a
Corner or Bay 
Window Type, 
the 
CMB Corner WS 
or 
CMB Bay WS 
must be completed.</t>
        </r>
      </text>
    </comment>
    <comment ref="L18" authorId="0" shapeId="0" xr:uid="{00000000-0006-0000-0700-00008C000000}">
      <text>
        <r>
          <rPr>
            <sz val="8"/>
            <color indexed="81"/>
            <rFont val="Tahoma"/>
            <family val="2"/>
          </rPr>
          <t>ACT 
Actual Measurements
You have made the allowances.
NAM
No Allowances Made 
The factory will make the deductions.</t>
        </r>
      </text>
    </comment>
    <comment ref="N18" authorId="0" shapeId="0" xr:uid="{00000000-0006-0000-0700-00008D000000}">
      <text>
        <r>
          <rPr>
            <sz val="8"/>
            <color indexed="81"/>
            <rFont val="Tahoma"/>
            <family val="2"/>
          </rPr>
          <t>Track Colour options are;
Clear Anodised
Black
White
White Birch
Please note; 
All Blinds are supplied 
with a Clear Anodised Wand.</t>
        </r>
      </text>
    </comment>
    <comment ref="O18" authorId="0" shapeId="0" xr:uid="{00000000-0006-0000-0700-00008E000000}">
      <text>
        <r>
          <rPr>
            <sz val="8"/>
            <color indexed="81"/>
            <rFont val="Tahoma"/>
            <family val="2"/>
          </rPr>
          <t xml:space="preserve">
Finish options;
Sewn In Pocket
Bottom Rail</t>
        </r>
      </text>
    </comment>
    <comment ref="P18" authorId="0" shapeId="0" xr:uid="{00000000-0006-0000-0700-00008F000000}">
      <text>
        <r>
          <rPr>
            <sz val="8"/>
            <color indexed="81"/>
            <rFont val="Tahoma"/>
            <family val="2"/>
          </rPr>
          <t xml:space="preserve">
Bottom Rail Colour options;
Bright Silver
Clear Anodised
Metallic Black
Mocha
White
White Birch</t>
        </r>
      </text>
    </comment>
    <comment ref="Q18" authorId="0" shapeId="0" xr:uid="{00000000-0006-0000-0700-000090000000}">
      <text>
        <r>
          <rPr>
            <sz val="8"/>
            <color indexed="81"/>
            <rFont val="Tahoma"/>
            <family val="2"/>
          </rPr>
          <t>When
 Standard or Common 
is selected the 
Pelmet Colour 
must be entered.</t>
        </r>
      </text>
    </comment>
    <comment ref="D19" authorId="0" shapeId="0" xr:uid="{00000000-0006-0000-0700-000091000000}">
      <text>
        <r>
          <rPr>
            <sz val="8"/>
            <color indexed="81"/>
            <rFont val="Tahoma"/>
            <family val="2"/>
          </rPr>
          <t>Fabric options are;
Amalfi
Como (Blockout)
Como (Translucent)
Florence
London
Maui
Milan
Pompeii
Rome (Blockout)
Rome (Translucent)
Sunscreen</t>
        </r>
      </text>
    </comment>
    <comment ref="E19" authorId="0" shapeId="0" xr:uid="{00000000-0006-0000-0700-000092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19" authorId="0" shapeId="0" xr:uid="{00000000-0006-0000-0700-000093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19" authorId="0" shapeId="0" xr:uid="{00000000-0006-0000-0700-000094000000}">
      <text>
        <r>
          <rPr>
            <sz val="8"/>
            <color indexed="81"/>
            <rFont val="Tahoma"/>
            <family val="2"/>
          </rPr>
          <t xml:space="preserve">Minimum Height/Drop is 500mm.
Maximum Height/Drop is 3000mm. </t>
        </r>
      </text>
    </comment>
    <comment ref="H19" authorId="0" shapeId="0" xr:uid="{00000000-0006-0000-0700-000095000000}">
      <text>
        <r>
          <rPr>
            <sz val="8"/>
            <color indexed="81"/>
            <rFont val="Tahoma"/>
            <family val="2"/>
          </rPr>
          <t xml:space="preserve">
Panel Quantities 
options;
2
3
4
5
6
7
9
Please note; 
Minimum Panel Width is 400mm.
Maximum Panel Width is 1000mm.</t>
        </r>
      </text>
    </comment>
    <comment ref="I19" authorId="0" shapeId="0" xr:uid="{00000000-0006-0000-0700-000096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19" authorId="0" shapeId="0" xr:uid="{00000000-0006-0000-0700-000097000000}">
      <text>
        <r>
          <rPr>
            <sz val="8"/>
            <color indexed="81"/>
            <rFont val="Tahoma"/>
            <family val="2"/>
          </rPr>
          <t>When selecting a
Corner or Bay 
Window Type, 
the 
CMB Corner WS 
or 
CMB Bay WS 
must be completed.</t>
        </r>
      </text>
    </comment>
    <comment ref="L19" authorId="0" shapeId="0" xr:uid="{00000000-0006-0000-0700-000098000000}">
      <text>
        <r>
          <rPr>
            <sz val="8"/>
            <color indexed="81"/>
            <rFont val="Tahoma"/>
            <family val="2"/>
          </rPr>
          <t>ACT 
Actual Measurements
You have made the allowances.
NAM
No Allowances Made 
The factory will make the deductions.</t>
        </r>
      </text>
    </comment>
    <comment ref="N19" authorId="0" shapeId="0" xr:uid="{00000000-0006-0000-0700-000099000000}">
      <text>
        <r>
          <rPr>
            <sz val="8"/>
            <color indexed="81"/>
            <rFont val="Tahoma"/>
            <family val="2"/>
          </rPr>
          <t>Track Colour options are;
Clear Anodised
Black
White
White Birch
Please note; 
All Blinds are supplied 
with a Clear Anodised Wand.</t>
        </r>
      </text>
    </comment>
    <comment ref="O19" authorId="0" shapeId="0" xr:uid="{00000000-0006-0000-0700-00009A000000}">
      <text>
        <r>
          <rPr>
            <sz val="8"/>
            <color indexed="81"/>
            <rFont val="Tahoma"/>
            <family val="2"/>
          </rPr>
          <t xml:space="preserve">
Finish options;
Sewn In Pocket
Bottom Rail</t>
        </r>
      </text>
    </comment>
    <comment ref="P19" authorId="0" shapeId="0" xr:uid="{00000000-0006-0000-0700-00009B000000}">
      <text>
        <r>
          <rPr>
            <sz val="8"/>
            <color indexed="81"/>
            <rFont val="Tahoma"/>
            <family val="2"/>
          </rPr>
          <t xml:space="preserve">
Bottom Rail Colour options;
Bright Silver
Clear Anodised
Metallic Black
Mocha
White
White Birch</t>
        </r>
      </text>
    </comment>
    <comment ref="Q19" authorId="0" shapeId="0" xr:uid="{00000000-0006-0000-0700-00009C000000}">
      <text>
        <r>
          <rPr>
            <sz val="8"/>
            <color indexed="81"/>
            <rFont val="Tahoma"/>
            <family val="2"/>
          </rPr>
          <t>When
 Standard or Common 
is selected the 
Pelmet Colour 
must be entered.</t>
        </r>
      </text>
    </comment>
    <comment ref="D20" authorId="0" shapeId="0" xr:uid="{00000000-0006-0000-0700-00009D000000}">
      <text>
        <r>
          <rPr>
            <sz val="8"/>
            <color indexed="81"/>
            <rFont val="Tahoma"/>
            <family val="2"/>
          </rPr>
          <t>Fabric options are;
Amalfi
Como (Blockout)
Como (Translucent)
Florence
London
Maui
Milan
Pompeii
Rome (Blockout)
Rome (Translucent)
Sunscreen</t>
        </r>
      </text>
    </comment>
    <comment ref="E20" authorId="0" shapeId="0" xr:uid="{00000000-0006-0000-0700-00009E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20" authorId="0" shapeId="0" xr:uid="{00000000-0006-0000-0700-00009F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0" authorId="0" shapeId="0" xr:uid="{00000000-0006-0000-0700-0000A0000000}">
      <text>
        <r>
          <rPr>
            <sz val="8"/>
            <color indexed="81"/>
            <rFont val="Tahoma"/>
            <family val="2"/>
          </rPr>
          <t xml:space="preserve">Minimum Height/Drop is 500mm.
Maximum Height/Drop is 3000mm. </t>
        </r>
      </text>
    </comment>
    <comment ref="H20" authorId="0" shapeId="0" xr:uid="{00000000-0006-0000-0700-0000A1000000}">
      <text>
        <r>
          <rPr>
            <sz val="8"/>
            <color indexed="81"/>
            <rFont val="Tahoma"/>
            <family val="2"/>
          </rPr>
          <t xml:space="preserve">
Panel Quantities 
options;
2
3
4
5
6
7
9
Please note; 
Minimum Panel Width is 400mm.
Maximum Panel Width is 1000mm.</t>
        </r>
      </text>
    </comment>
    <comment ref="I20" authorId="0" shapeId="0" xr:uid="{00000000-0006-0000-0700-0000A2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20" authorId="0" shapeId="0" xr:uid="{00000000-0006-0000-0700-0000A3000000}">
      <text>
        <r>
          <rPr>
            <sz val="8"/>
            <color indexed="81"/>
            <rFont val="Tahoma"/>
            <family val="2"/>
          </rPr>
          <t>When selecting a
Corner or Bay 
Window Type, 
the 
CMB Corner WS 
or 
CMB Bay WS 
must be completed.</t>
        </r>
      </text>
    </comment>
    <comment ref="L20" authorId="0" shapeId="0" xr:uid="{00000000-0006-0000-0700-0000A4000000}">
      <text>
        <r>
          <rPr>
            <sz val="8"/>
            <color indexed="81"/>
            <rFont val="Tahoma"/>
            <family val="2"/>
          </rPr>
          <t>ACT 
Actual Measurements
You have made the allowances.
NAM
No Allowances Made 
The factory will make the deductions.</t>
        </r>
      </text>
    </comment>
    <comment ref="N20" authorId="0" shapeId="0" xr:uid="{00000000-0006-0000-0700-0000A5000000}">
      <text>
        <r>
          <rPr>
            <sz val="8"/>
            <color indexed="81"/>
            <rFont val="Tahoma"/>
            <family val="2"/>
          </rPr>
          <t>Track Colour options are;
Clear Anodised
Black
White
White Birch
Please note; 
All Blinds are supplied 
with a Clear Anodised Wand.</t>
        </r>
      </text>
    </comment>
    <comment ref="O20" authorId="0" shapeId="0" xr:uid="{00000000-0006-0000-0700-0000A6000000}">
      <text>
        <r>
          <rPr>
            <sz val="8"/>
            <color indexed="81"/>
            <rFont val="Tahoma"/>
            <family val="2"/>
          </rPr>
          <t xml:space="preserve">
Finish options;
Sewn In Pocket
Bottom Rail</t>
        </r>
      </text>
    </comment>
    <comment ref="P20" authorId="0" shapeId="0" xr:uid="{00000000-0006-0000-0700-0000A7000000}">
      <text>
        <r>
          <rPr>
            <sz val="8"/>
            <color indexed="81"/>
            <rFont val="Tahoma"/>
            <family val="2"/>
          </rPr>
          <t xml:space="preserve">
Bottom Rail Colour options;
Bright Silver
Clear Anodised
Metallic Black
Mocha
White
White Birch</t>
        </r>
      </text>
    </comment>
    <comment ref="Q20" authorId="0" shapeId="0" xr:uid="{00000000-0006-0000-0700-0000A8000000}">
      <text>
        <r>
          <rPr>
            <sz val="8"/>
            <color indexed="81"/>
            <rFont val="Tahoma"/>
            <family val="2"/>
          </rPr>
          <t>When
 Standard or Common 
is selected the 
Pelmet Colour 
must be entered.</t>
        </r>
      </text>
    </comment>
    <comment ref="D21" authorId="0" shapeId="0" xr:uid="{00000000-0006-0000-0700-0000A9000000}">
      <text>
        <r>
          <rPr>
            <sz val="8"/>
            <color indexed="81"/>
            <rFont val="Tahoma"/>
            <family val="2"/>
          </rPr>
          <t>Fabric options are;
Amalfi
Como (Blockout)
Como (Translucent)
Florence
London
Maui
Milan
Pompeii
Rome (Blockout)
Rome (Translucent)
Sunscreen</t>
        </r>
      </text>
    </comment>
    <comment ref="E21" authorId="0" shapeId="0" xr:uid="{00000000-0006-0000-0700-0000AA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21" authorId="0" shapeId="0" xr:uid="{00000000-0006-0000-0700-0000AB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1" authorId="0" shapeId="0" xr:uid="{00000000-0006-0000-0700-0000AC000000}">
      <text>
        <r>
          <rPr>
            <sz val="8"/>
            <color indexed="81"/>
            <rFont val="Tahoma"/>
            <family val="2"/>
          </rPr>
          <t xml:space="preserve">Minimum Height/Drop is 500mm.
Maximum Height/Drop is 3000mm. </t>
        </r>
      </text>
    </comment>
    <comment ref="H21" authorId="0" shapeId="0" xr:uid="{00000000-0006-0000-0700-0000AD000000}">
      <text>
        <r>
          <rPr>
            <sz val="8"/>
            <color indexed="81"/>
            <rFont val="Tahoma"/>
            <family val="2"/>
          </rPr>
          <t xml:space="preserve">
Panel Quantities 
options;
2
3
4
5
6
7
9
Please note; 
Minimum Panel Width is 400mm.
Maximum Panel Width is 1000mm.</t>
        </r>
      </text>
    </comment>
    <comment ref="I21" authorId="0" shapeId="0" xr:uid="{00000000-0006-0000-0700-0000AE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21" authorId="0" shapeId="0" xr:uid="{00000000-0006-0000-0700-0000AF000000}">
      <text>
        <r>
          <rPr>
            <sz val="8"/>
            <color indexed="81"/>
            <rFont val="Tahoma"/>
            <family val="2"/>
          </rPr>
          <t>When selecting a
Corner or Bay 
Window Type, 
the 
CMB Corner WS 
or 
CMB Bay WS 
must be completed.</t>
        </r>
      </text>
    </comment>
    <comment ref="L21" authorId="0" shapeId="0" xr:uid="{00000000-0006-0000-0700-0000B0000000}">
      <text>
        <r>
          <rPr>
            <sz val="8"/>
            <color indexed="81"/>
            <rFont val="Tahoma"/>
            <family val="2"/>
          </rPr>
          <t>ACT 
Actual Measurements
You have made the allowances.
NAM
No Allowances Made 
The factory will make the deductions.</t>
        </r>
      </text>
    </comment>
    <comment ref="N21" authorId="0" shapeId="0" xr:uid="{00000000-0006-0000-0700-0000B1000000}">
      <text>
        <r>
          <rPr>
            <sz val="8"/>
            <color indexed="81"/>
            <rFont val="Tahoma"/>
            <family val="2"/>
          </rPr>
          <t>Track Colour options are;
Clear Anodised
Black
White
White Birch
Please note; 
All Blinds are supplied 
with a Clear Anodised Wand.</t>
        </r>
      </text>
    </comment>
    <comment ref="O21" authorId="0" shapeId="0" xr:uid="{00000000-0006-0000-0700-0000B2000000}">
      <text>
        <r>
          <rPr>
            <sz val="8"/>
            <color indexed="81"/>
            <rFont val="Tahoma"/>
            <family val="2"/>
          </rPr>
          <t xml:space="preserve">
Finish options;
Sewn In Pocket
Bottom Rail</t>
        </r>
      </text>
    </comment>
    <comment ref="P21" authorId="0" shapeId="0" xr:uid="{00000000-0006-0000-0700-0000B3000000}">
      <text>
        <r>
          <rPr>
            <sz val="8"/>
            <color indexed="81"/>
            <rFont val="Tahoma"/>
            <family val="2"/>
          </rPr>
          <t xml:space="preserve">
Bottom Rail Colour options;
Bright Silver
Clear Anodised
Metallic Black
Mocha
White
White Birch</t>
        </r>
      </text>
    </comment>
    <comment ref="Q21" authorId="0" shapeId="0" xr:uid="{00000000-0006-0000-0700-0000B4000000}">
      <text>
        <r>
          <rPr>
            <sz val="8"/>
            <color indexed="81"/>
            <rFont val="Tahoma"/>
            <family val="2"/>
          </rPr>
          <t>When
 Standard or Common 
is selected the 
Pelmet Colour 
must be entered.</t>
        </r>
      </text>
    </comment>
    <comment ref="D22" authorId="0" shapeId="0" xr:uid="{00000000-0006-0000-0700-0000B5000000}">
      <text>
        <r>
          <rPr>
            <sz val="8"/>
            <color indexed="81"/>
            <rFont val="Tahoma"/>
            <family val="2"/>
          </rPr>
          <t>Fabric options are;
Amalfi
Como (Blockout)
Como (Translucent)
Florence
London
Maui
Milan
Pompeii
Rome (Blockout)
Rome (Translucent)
Sunscreen</t>
        </r>
      </text>
    </comment>
    <comment ref="E22" authorId="0" shapeId="0" xr:uid="{00000000-0006-0000-0700-0000B6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22" authorId="0" shapeId="0" xr:uid="{00000000-0006-0000-0700-0000B7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2" authorId="0" shapeId="0" xr:uid="{00000000-0006-0000-0700-0000B8000000}">
      <text>
        <r>
          <rPr>
            <sz val="8"/>
            <color indexed="81"/>
            <rFont val="Tahoma"/>
            <family val="2"/>
          </rPr>
          <t xml:space="preserve">Minimum Height/Drop is 500mm.
Maximum Height/Drop is 3000mm. </t>
        </r>
      </text>
    </comment>
    <comment ref="H22" authorId="0" shapeId="0" xr:uid="{00000000-0006-0000-0700-0000B9000000}">
      <text>
        <r>
          <rPr>
            <sz val="8"/>
            <color indexed="81"/>
            <rFont val="Tahoma"/>
            <family val="2"/>
          </rPr>
          <t xml:space="preserve">
Panel Quantities 
options;
2
3
4
5
6
7
9
Please note; 
Minimum Panel Width is 400mm.
Maximum Panel Width is 1000mm.</t>
        </r>
      </text>
    </comment>
    <comment ref="I22" authorId="0" shapeId="0" xr:uid="{00000000-0006-0000-0700-0000BA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22" authorId="0" shapeId="0" xr:uid="{00000000-0006-0000-0700-0000BB000000}">
      <text>
        <r>
          <rPr>
            <sz val="8"/>
            <color indexed="81"/>
            <rFont val="Tahoma"/>
            <family val="2"/>
          </rPr>
          <t>When selecting a
Corner or Bay 
Window Type, 
the 
CMB Corner WS 
or 
CMB Bay WS 
must be completed.</t>
        </r>
      </text>
    </comment>
    <comment ref="L22" authorId="0" shapeId="0" xr:uid="{00000000-0006-0000-0700-0000BC000000}">
      <text>
        <r>
          <rPr>
            <sz val="8"/>
            <color indexed="81"/>
            <rFont val="Tahoma"/>
            <family val="2"/>
          </rPr>
          <t>ACT 
Actual Measurements
You have made the allowances.
NAM
No Allowances Made 
The factory will make the deductions.</t>
        </r>
      </text>
    </comment>
    <comment ref="N22" authorId="0" shapeId="0" xr:uid="{00000000-0006-0000-0700-0000BD000000}">
      <text>
        <r>
          <rPr>
            <sz val="8"/>
            <color indexed="81"/>
            <rFont val="Tahoma"/>
            <family val="2"/>
          </rPr>
          <t>Track Colour options are;
Clear Anodised
Black
White
White Birch
Please note; 
All Blinds are supplied 
with a Clear Anodised Wand.</t>
        </r>
      </text>
    </comment>
    <comment ref="O22" authorId="0" shapeId="0" xr:uid="{00000000-0006-0000-0700-0000BE000000}">
      <text>
        <r>
          <rPr>
            <sz val="8"/>
            <color indexed="81"/>
            <rFont val="Tahoma"/>
            <family val="2"/>
          </rPr>
          <t xml:space="preserve">
Finish options;
Sewn In Pocket
Bottom Rail</t>
        </r>
      </text>
    </comment>
    <comment ref="P22" authorId="0" shapeId="0" xr:uid="{00000000-0006-0000-0700-0000BF000000}">
      <text>
        <r>
          <rPr>
            <sz val="8"/>
            <color indexed="81"/>
            <rFont val="Tahoma"/>
            <family val="2"/>
          </rPr>
          <t xml:space="preserve">
Bottom Rail Colour options;
Bright Silver
Clear Anodised
Metallic Black
Mocha
White
White Birch</t>
        </r>
      </text>
    </comment>
    <comment ref="Q22" authorId="0" shapeId="0" xr:uid="{00000000-0006-0000-0700-0000C0000000}">
      <text>
        <r>
          <rPr>
            <sz val="8"/>
            <color indexed="81"/>
            <rFont val="Tahoma"/>
            <family val="2"/>
          </rPr>
          <t>When
 Standard or Common 
is selected the 
Pelmet Colour 
must be entered.</t>
        </r>
      </text>
    </comment>
    <comment ref="D23" authorId="0" shapeId="0" xr:uid="{00000000-0006-0000-0700-0000C1000000}">
      <text>
        <r>
          <rPr>
            <sz val="8"/>
            <color indexed="81"/>
            <rFont val="Tahoma"/>
            <family val="2"/>
          </rPr>
          <t>Fabric options are;
Amalfi
Como (Blockout)
Como (Translucent)
Florence
London
Maui
Milan
Pompeii
Rome (Blockout)
Rome (Translucent)
Sunscreen</t>
        </r>
      </text>
    </comment>
    <comment ref="E23" authorId="0" shapeId="0" xr:uid="{00000000-0006-0000-0700-0000C2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23" authorId="0" shapeId="0" xr:uid="{00000000-0006-0000-0700-0000C3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3" authorId="0" shapeId="0" xr:uid="{00000000-0006-0000-0700-0000C4000000}">
      <text>
        <r>
          <rPr>
            <sz val="8"/>
            <color indexed="81"/>
            <rFont val="Tahoma"/>
            <family val="2"/>
          </rPr>
          <t xml:space="preserve">Minimum Height/Drop is 500mm.
Maximum Height/Drop is 3000mm. </t>
        </r>
      </text>
    </comment>
    <comment ref="H23" authorId="0" shapeId="0" xr:uid="{00000000-0006-0000-0700-0000C5000000}">
      <text>
        <r>
          <rPr>
            <sz val="8"/>
            <color indexed="81"/>
            <rFont val="Tahoma"/>
            <family val="2"/>
          </rPr>
          <t xml:space="preserve">
Panel Quantities 
options;
2
3
4
5
6
7
9
Please note; 
Minimum Panel Width is 400mm.
Maximum Panel Width is 1000mm.</t>
        </r>
      </text>
    </comment>
    <comment ref="I23" authorId="0" shapeId="0" xr:uid="{00000000-0006-0000-0700-0000C6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23" authorId="0" shapeId="0" xr:uid="{00000000-0006-0000-0700-0000C7000000}">
      <text>
        <r>
          <rPr>
            <sz val="8"/>
            <color indexed="81"/>
            <rFont val="Tahoma"/>
            <family val="2"/>
          </rPr>
          <t>When selecting a
Corner or Bay 
Window Type, 
the 
CMB Corner WS 
or 
CMB Bay WS 
must be completed.</t>
        </r>
      </text>
    </comment>
    <comment ref="L23" authorId="0" shapeId="0" xr:uid="{00000000-0006-0000-0700-0000C8000000}">
      <text>
        <r>
          <rPr>
            <sz val="8"/>
            <color indexed="81"/>
            <rFont val="Tahoma"/>
            <family val="2"/>
          </rPr>
          <t>ACT 
Actual Measurements
You have made the allowances.
NAM
No Allowances Made 
The factory will make the deductions.</t>
        </r>
      </text>
    </comment>
    <comment ref="N23" authorId="0" shapeId="0" xr:uid="{00000000-0006-0000-0700-0000C9000000}">
      <text>
        <r>
          <rPr>
            <sz val="8"/>
            <color indexed="81"/>
            <rFont val="Tahoma"/>
            <family val="2"/>
          </rPr>
          <t>Track Colour options are;
Clear Anodised
Black
White
White Birch
Please note; 
All Blinds are supplied 
with a Clear Anodised Wand.</t>
        </r>
      </text>
    </comment>
    <comment ref="O23" authorId="0" shapeId="0" xr:uid="{00000000-0006-0000-0700-0000CA000000}">
      <text>
        <r>
          <rPr>
            <sz val="8"/>
            <color indexed="81"/>
            <rFont val="Tahoma"/>
            <family val="2"/>
          </rPr>
          <t xml:space="preserve">
Finish options;
Sewn In Pocket
Bottom Rail</t>
        </r>
      </text>
    </comment>
    <comment ref="P23" authorId="0" shapeId="0" xr:uid="{00000000-0006-0000-0700-0000CB000000}">
      <text>
        <r>
          <rPr>
            <sz val="8"/>
            <color indexed="81"/>
            <rFont val="Tahoma"/>
            <family val="2"/>
          </rPr>
          <t xml:space="preserve">
Bottom Rail Colour options;
Bright Silver
Clear Anodised
Metallic Black
Mocha
White
White Birch</t>
        </r>
      </text>
    </comment>
    <comment ref="Q23" authorId="0" shapeId="0" xr:uid="{00000000-0006-0000-0700-0000CC000000}">
      <text>
        <r>
          <rPr>
            <sz val="8"/>
            <color indexed="81"/>
            <rFont val="Tahoma"/>
            <family val="2"/>
          </rPr>
          <t>When
 Standard or Common 
is selected the 
Pelmet Colour 
must be entered.</t>
        </r>
      </text>
    </comment>
    <comment ref="D24" authorId="0" shapeId="0" xr:uid="{00000000-0006-0000-0700-0000CD000000}">
      <text>
        <r>
          <rPr>
            <sz val="8"/>
            <color indexed="81"/>
            <rFont val="Tahoma"/>
            <family val="2"/>
          </rPr>
          <t>Fabric options are;
Amalfi
Como (Blockout)
Como (Translucent)
Florence
London
Maui
Milan
Pompeii
Rome (Blockout)
Rome (Translucent)
Sunscreen</t>
        </r>
      </text>
    </comment>
    <comment ref="E24" authorId="0" shapeId="0" xr:uid="{00000000-0006-0000-0700-0000CE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24" authorId="0" shapeId="0" xr:uid="{00000000-0006-0000-0700-0000CF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4" authorId="0" shapeId="0" xr:uid="{00000000-0006-0000-0700-0000D0000000}">
      <text>
        <r>
          <rPr>
            <sz val="8"/>
            <color indexed="81"/>
            <rFont val="Tahoma"/>
            <family val="2"/>
          </rPr>
          <t xml:space="preserve">Minimum Height/Drop is 500mm.
Maximum Height/Drop is 3000mm. </t>
        </r>
      </text>
    </comment>
    <comment ref="H24" authorId="0" shapeId="0" xr:uid="{00000000-0006-0000-0700-0000D1000000}">
      <text>
        <r>
          <rPr>
            <sz val="8"/>
            <color indexed="81"/>
            <rFont val="Tahoma"/>
            <family val="2"/>
          </rPr>
          <t xml:space="preserve">
Panel Quantities 
options;
2
3
4
5
6
7
9
Please note; 
Minimum Panel Width is 400mm.
Maximum Panel Width is 1000mm.</t>
        </r>
      </text>
    </comment>
    <comment ref="I24" authorId="0" shapeId="0" xr:uid="{00000000-0006-0000-0700-0000D2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24" authorId="0" shapeId="0" xr:uid="{00000000-0006-0000-0700-0000D3000000}">
      <text>
        <r>
          <rPr>
            <sz val="8"/>
            <color indexed="81"/>
            <rFont val="Tahoma"/>
            <family val="2"/>
          </rPr>
          <t>When selecting a
Corner or Bay 
Window Type, 
the 
CMB Corner WS 
or 
CMB Bay WS 
must be completed.</t>
        </r>
      </text>
    </comment>
    <comment ref="L24" authorId="0" shapeId="0" xr:uid="{00000000-0006-0000-0700-0000D4000000}">
      <text>
        <r>
          <rPr>
            <sz val="8"/>
            <color indexed="81"/>
            <rFont val="Tahoma"/>
            <family val="2"/>
          </rPr>
          <t>ACT 
Actual Measurements
You have made the allowances.
NAM
No Allowances Made 
The factory will make the deductions.</t>
        </r>
      </text>
    </comment>
    <comment ref="N24" authorId="0" shapeId="0" xr:uid="{00000000-0006-0000-0700-0000D5000000}">
      <text>
        <r>
          <rPr>
            <sz val="8"/>
            <color indexed="81"/>
            <rFont val="Tahoma"/>
            <family val="2"/>
          </rPr>
          <t>Track Colour options are;
Clear Anodised
Black
White
White Birch
Please note; 
All Blinds are supplied 
with a Clear Anodised Wand.</t>
        </r>
      </text>
    </comment>
    <comment ref="O24" authorId="0" shapeId="0" xr:uid="{00000000-0006-0000-0700-0000D6000000}">
      <text>
        <r>
          <rPr>
            <sz val="8"/>
            <color indexed="81"/>
            <rFont val="Tahoma"/>
            <family val="2"/>
          </rPr>
          <t xml:space="preserve">
Finish options;
Sewn In Pocket
Bottom Rail</t>
        </r>
      </text>
    </comment>
    <comment ref="P24" authorId="0" shapeId="0" xr:uid="{00000000-0006-0000-0700-0000D7000000}">
      <text>
        <r>
          <rPr>
            <sz val="8"/>
            <color indexed="81"/>
            <rFont val="Tahoma"/>
            <family val="2"/>
          </rPr>
          <t xml:space="preserve">
Bottom Rail Colour options;
Bright Silver
Clear Anodised
Metallic Black
Mocha
White
White Birch</t>
        </r>
      </text>
    </comment>
    <comment ref="Q24" authorId="0" shapeId="0" xr:uid="{00000000-0006-0000-0700-0000D8000000}">
      <text>
        <r>
          <rPr>
            <sz val="8"/>
            <color indexed="81"/>
            <rFont val="Tahoma"/>
            <family val="2"/>
          </rPr>
          <t>When
 Standard or Common 
is selected the 
Pelmet Colour 
must be entered.</t>
        </r>
      </text>
    </comment>
    <comment ref="D25" authorId="0" shapeId="0" xr:uid="{00000000-0006-0000-0700-0000D9000000}">
      <text>
        <r>
          <rPr>
            <sz val="8"/>
            <color indexed="81"/>
            <rFont val="Tahoma"/>
            <family val="2"/>
          </rPr>
          <t>Fabric options are;
Amalfi
Como (Blockout)
Como (Translucent)
Florence
London
Maui
Milan
Pompeii
Rome (Blockout)
Rome (Translucent)
Sunscreen</t>
        </r>
      </text>
    </comment>
    <comment ref="E25" authorId="0" shapeId="0" xr:uid="{00000000-0006-0000-0700-0000DA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25" authorId="0" shapeId="0" xr:uid="{00000000-0006-0000-0700-0000DB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5" authorId="0" shapeId="0" xr:uid="{00000000-0006-0000-0700-0000DC000000}">
      <text>
        <r>
          <rPr>
            <sz val="8"/>
            <color indexed="81"/>
            <rFont val="Tahoma"/>
            <family val="2"/>
          </rPr>
          <t xml:space="preserve">Minimum Height/Drop is 500mm.
Maximum Height/Drop is 3000mm. </t>
        </r>
      </text>
    </comment>
    <comment ref="H25" authorId="0" shapeId="0" xr:uid="{00000000-0006-0000-0700-0000DD000000}">
      <text>
        <r>
          <rPr>
            <sz val="8"/>
            <color indexed="81"/>
            <rFont val="Tahoma"/>
            <family val="2"/>
          </rPr>
          <t xml:space="preserve">
Panel Quantities 
options;
2
3
4
5
6
7
9
Please note; 
Minimum Panel Width is 400mm.
Maximum Panel Width is 1000mm.</t>
        </r>
      </text>
    </comment>
    <comment ref="I25" authorId="0" shapeId="0" xr:uid="{00000000-0006-0000-0700-0000DE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25" authorId="0" shapeId="0" xr:uid="{00000000-0006-0000-0700-0000DF000000}">
      <text>
        <r>
          <rPr>
            <sz val="8"/>
            <color indexed="81"/>
            <rFont val="Tahoma"/>
            <family val="2"/>
          </rPr>
          <t>When selecting a
Corner or Bay 
Window Type, 
the 
CMB Corner WS 
or 
CMB Bay WS 
must be completed.</t>
        </r>
      </text>
    </comment>
    <comment ref="L25" authorId="0" shapeId="0" xr:uid="{00000000-0006-0000-0700-0000E0000000}">
      <text>
        <r>
          <rPr>
            <sz val="8"/>
            <color indexed="81"/>
            <rFont val="Tahoma"/>
            <family val="2"/>
          </rPr>
          <t>ACT 
Actual Measurements
You have made the allowances.
NAM
No Allowances Made 
The factory will make the deductions.</t>
        </r>
      </text>
    </comment>
    <comment ref="N25" authorId="0" shapeId="0" xr:uid="{00000000-0006-0000-0700-0000E1000000}">
      <text>
        <r>
          <rPr>
            <sz val="8"/>
            <color indexed="81"/>
            <rFont val="Tahoma"/>
            <family val="2"/>
          </rPr>
          <t>Track Colour options are;
Clear Anodised
Black
White
White Birch
Please note; 
All Blinds are supplied 
with a Clear Anodised Wand.</t>
        </r>
      </text>
    </comment>
    <comment ref="O25" authorId="0" shapeId="0" xr:uid="{00000000-0006-0000-0700-0000E2000000}">
      <text>
        <r>
          <rPr>
            <sz val="8"/>
            <color indexed="81"/>
            <rFont val="Tahoma"/>
            <family val="2"/>
          </rPr>
          <t xml:space="preserve">
Finish options;
Sewn In Pocket
Bottom Rail</t>
        </r>
      </text>
    </comment>
    <comment ref="P25" authorId="0" shapeId="0" xr:uid="{00000000-0006-0000-0700-0000E3000000}">
      <text>
        <r>
          <rPr>
            <sz val="8"/>
            <color indexed="81"/>
            <rFont val="Tahoma"/>
            <family val="2"/>
          </rPr>
          <t xml:space="preserve">
Bottom Rail Colour options;
Bright Silver
Clear Anodised
Metallic Black
Mocha
White
White Birch</t>
        </r>
      </text>
    </comment>
    <comment ref="Q25" authorId="0" shapeId="0" xr:uid="{00000000-0006-0000-0700-0000E4000000}">
      <text>
        <r>
          <rPr>
            <sz val="8"/>
            <color indexed="81"/>
            <rFont val="Tahoma"/>
            <family val="2"/>
          </rPr>
          <t>When
 Standard or Common 
is selected the 
Pelmet Colour 
must be entered.</t>
        </r>
      </text>
    </comment>
    <comment ref="D26" authorId="0" shapeId="0" xr:uid="{00000000-0006-0000-0700-0000E5000000}">
      <text>
        <r>
          <rPr>
            <sz val="8"/>
            <color indexed="81"/>
            <rFont val="Tahoma"/>
            <family val="2"/>
          </rPr>
          <t>Fabric options are;
Amalfi
Como (Blockout)
Como (Translucent)
Florence
London
Maui
Milan
Pompeii
Rome (Blockout)
Rome (Translucent)
Sunscreen</t>
        </r>
      </text>
    </comment>
    <comment ref="E26" authorId="0" shapeId="0" xr:uid="{00000000-0006-0000-0700-0000E6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26" authorId="0" shapeId="0" xr:uid="{00000000-0006-0000-0700-0000E7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6" authorId="0" shapeId="0" xr:uid="{00000000-0006-0000-0700-0000E8000000}">
      <text>
        <r>
          <rPr>
            <sz val="8"/>
            <color indexed="81"/>
            <rFont val="Tahoma"/>
            <family val="2"/>
          </rPr>
          <t xml:space="preserve">Minimum Height/Drop is 500mm.
Maximum Height/Drop is 3000mm. </t>
        </r>
      </text>
    </comment>
    <comment ref="H26" authorId="0" shapeId="0" xr:uid="{00000000-0006-0000-0700-0000E9000000}">
      <text>
        <r>
          <rPr>
            <sz val="8"/>
            <color indexed="81"/>
            <rFont val="Tahoma"/>
            <family val="2"/>
          </rPr>
          <t xml:space="preserve">
Panel Quantities 
options;
2
3
4
5
6
7
9
Please note; 
Minimum Panel Width is 400mm.
Maximum Panel Width is 1000mm.</t>
        </r>
      </text>
    </comment>
    <comment ref="I26" authorId="0" shapeId="0" xr:uid="{00000000-0006-0000-0700-0000EA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26" authorId="0" shapeId="0" xr:uid="{00000000-0006-0000-0700-0000EB000000}">
      <text>
        <r>
          <rPr>
            <sz val="8"/>
            <color indexed="81"/>
            <rFont val="Tahoma"/>
            <family val="2"/>
          </rPr>
          <t>When selecting a
Corner or Bay 
Window Type, 
the 
CMB Corner WS 
or 
CMB Bay WS 
must be completed.</t>
        </r>
      </text>
    </comment>
    <comment ref="L26" authorId="0" shapeId="0" xr:uid="{00000000-0006-0000-0700-0000EC000000}">
      <text>
        <r>
          <rPr>
            <sz val="8"/>
            <color indexed="81"/>
            <rFont val="Tahoma"/>
            <family val="2"/>
          </rPr>
          <t>ACT 
Actual Measurements
You have made the allowances.
NAM
No Allowances Made 
The factory will make the deductions.</t>
        </r>
      </text>
    </comment>
    <comment ref="N26" authorId="0" shapeId="0" xr:uid="{00000000-0006-0000-0700-0000ED000000}">
      <text>
        <r>
          <rPr>
            <sz val="8"/>
            <color indexed="81"/>
            <rFont val="Tahoma"/>
            <family val="2"/>
          </rPr>
          <t>Track Colour options are;
Clear Anodised
Black
White
White Birch
Please note; 
All Blinds are supplied 
with a Clear Anodised Wand.</t>
        </r>
      </text>
    </comment>
    <comment ref="O26" authorId="0" shapeId="0" xr:uid="{00000000-0006-0000-0700-0000EE000000}">
      <text>
        <r>
          <rPr>
            <sz val="8"/>
            <color indexed="81"/>
            <rFont val="Tahoma"/>
            <family val="2"/>
          </rPr>
          <t xml:space="preserve">
Finish options;
Sewn In Pocket
Bottom Rail</t>
        </r>
      </text>
    </comment>
    <comment ref="P26" authorId="0" shapeId="0" xr:uid="{00000000-0006-0000-0700-0000EF000000}">
      <text>
        <r>
          <rPr>
            <sz val="8"/>
            <color indexed="81"/>
            <rFont val="Tahoma"/>
            <family val="2"/>
          </rPr>
          <t xml:space="preserve">
Bottom Rail Colour options;
Bright Silver
Clear Anodised
Metallic Black
Mocha
White
White Birch</t>
        </r>
      </text>
    </comment>
    <comment ref="Q26" authorId="0" shapeId="0" xr:uid="{00000000-0006-0000-0700-0000F0000000}">
      <text>
        <r>
          <rPr>
            <sz val="8"/>
            <color indexed="81"/>
            <rFont val="Tahoma"/>
            <family val="2"/>
          </rPr>
          <t>When
 Standard or Common 
is selected the 
Pelmet Colour 
must be entered.</t>
        </r>
      </text>
    </comment>
    <comment ref="D27" authorId="0" shapeId="0" xr:uid="{00000000-0006-0000-0700-0000F1000000}">
      <text>
        <r>
          <rPr>
            <sz val="8"/>
            <color indexed="81"/>
            <rFont val="Tahoma"/>
            <family val="2"/>
          </rPr>
          <t>Fabric options are;
Amalfi
Como (Blockout)
Como (Translucent)
Florence
London
Maui
Milan
Pompeii
Rome (Blockout)
Rome (Translucent)
Sunscreen</t>
        </r>
      </text>
    </comment>
    <comment ref="E27" authorId="0" shapeId="0" xr:uid="{00000000-0006-0000-0700-0000F2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27" authorId="0" shapeId="0" xr:uid="{00000000-0006-0000-0700-0000F3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7" authorId="0" shapeId="0" xr:uid="{00000000-0006-0000-0700-0000F4000000}">
      <text>
        <r>
          <rPr>
            <sz val="8"/>
            <color indexed="81"/>
            <rFont val="Tahoma"/>
            <family val="2"/>
          </rPr>
          <t xml:space="preserve">Minimum Height/Drop is 500mm.
Maximum Height/Drop is 3000mm. </t>
        </r>
      </text>
    </comment>
    <comment ref="H27" authorId="0" shapeId="0" xr:uid="{00000000-0006-0000-0700-0000F5000000}">
      <text>
        <r>
          <rPr>
            <sz val="8"/>
            <color indexed="81"/>
            <rFont val="Tahoma"/>
            <family val="2"/>
          </rPr>
          <t xml:space="preserve">
Panel Quantities 
options;
2
3
4
5
6
7
9
Please note; 
Minimum Panel Width is 400mm.
Maximum Panel Width is 1000mm.</t>
        </r>
      </text>
    </comment>
    <comment ref="I27" authorId="0" shapeId="0" xr:uid="{00000000-0006-0000-0700-0000F600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27" authorId="0" shapeId="0" xr:uid="{00000000-0006-0000-0700-0000F7000000}">
      <text>
        <r>
          <rPr>
            <sz val="8"/>
            <color indexed="81"/>
            <rFont val="Tahoma"/>
            <family val="2"/>
          </rPr>
          <t>When selecting a
Corner or Bay 
Window Type, 
the 
CMB Corner WS 
or 
CMB Bay WS 
must be completed.</t>
        </r>
      </text>
    </comment>
    <comment ref="L27" authorId="0" shapeId="0" xr:uid="{00000000-0006-0000-0700-0000F8000000}">
      <text>
        <r>
          <rPr>
            <sz val="8"/>
            <color indexed="81"/>
            <rFont val="Tahoma"/>
            <family val="2"/>
          </rPr>
          <t>ACT 
Actual Measurements
You have made the allowances.
NAM
No Allowances Made 
The factory will make the deductions.</t>
        </r>
      </text>
    </comment>
    <comment ref="N27" authorId="0" shapeId="0" xr:uid="{00000000-0006-0000-0700-0000F9000000}">
      <text>
        <r>
          <rPr>
            <sz val="8"/>
            <color indexed="81"/>
            <rFont val="Tahoma"/>
            <family val="2"/>
          </rPr>
          <t>Track Colour options are;
Clear Anodised
Black
White
White Birch
Please note; 
All Blinds are supplied 
with a Clear Anodised Wand.</t>
        </r>
      </text>
    </comment>
    <comment ref="O27" authorId="0" shapeId="0" xr:uid="{00000000-0006-0000-0700-0000FA000000}">
      <text>
        <r>
          <rPr>
            <sz val="8"/>
            <color indexed="81"/>
            <rFont val="Tahoma"/>
            <family val="2"/>
          </rPr>
          <t xml:space="preserve">
Finish options;
Sewn In Pocket
Bottom Rail</t>
        </r>
      </text>
    </comment>
    <comment ref="P27" authorId="0" shapeId="0" xr:uid="{00000000-0006-0000-0700-0000FB000000}">
      <text>
        <r>
          <rPr>
            <sz val="8"/>
            <color indexed="81"/>
            <rFont val="Tahoma"/>
            <family val="2"/>
          </rPr>
          <t xml:space="preserve">
Bottom Rail Colour options;
Bright Silver
Clear Anodised
Metallic Black
Mocha
White
White Birch</t>
        </r>
      </text>
    </comment>
    <comment ref="Q27" authorId="0" shapeId="0" xr:uid="{00000000-0006-0000-0700-0000FC000000}">
      <text>
        <r>
          <rPr>
            <sz val="8"/>
            <color indexed="81"/>
            <rFont val="Tahoma"/>
            <family val="2"/>
          </rPr>
          <t>When
 Standard or Common 
is selected the 
Pelmet Colour 
must be entered.</t>
        </r>
      </text>
    </comment>
    <comment ref="D28" authorId="0" shapeId="0" xr:uid="{00000000-0006-0000-0700-0000FD000000}">
      <text>
        <r>
          <rPr>
            <sz val="8"/>
            <color indexed="81"/>
            <rFont val="Tahoma"/>
            <family val="2"/>
          </rPr>
          <t>Fabric options are;
Amalfi
Como (Blockout)
Como (Translucent)
Florence
London
Maui
Milan
Pompeii
Rome (Blockout)
Rome (Translucent)
Sunscreen</t>
        </r>
      </text>
    </comment>
    <comment ref="E28" authorId="0" shapeId="0" xr:uid="{00000000-0006-0000-0700-0000FE00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28" authorId="0" shapeId="0" xr:uid="{00000000-0006-0000-0700-0000FF00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8" authorId="0" shapeId="0" xr:uid="{00000000-0006-0000-0700-000000010000}">
      <text>
        <r>
          <rPr>
            <sz val="8"/>
            <color indexed="81"/>
            <rFont val="Tahoma"/>
            <family val="2"/>
          </rPr>
          <t xml:space="preserve">Minimum Height/Drop is 500mm.
Maximum Height/Drop is 3000mm. </t>
        </r>
      </text>
    </comment>
    <comment ref="H28" authorId="0" shapeId="0" xr:uid="{00000000-0006-0000-0700-000001010000}">
      <text>
        <r>
          <rPr>
            <sz val="8"/>
            <color indexed="81"/>
            <rFont val="Tahoma"/>
            <family val="2"/>
          </rPr>
          <t xml:space="preserve">
Panel Quantities 
options;
2
3
4
5
6
7
9
Please note; 
Minimum Panel Width is 400mm.
Maximum Panel Width is 1000mm.</t>
        </r>
      </text>
    </comment>
    <comment ref="I28" authorId="0" shapeId="0" xr:uid="{00000000-0006-0000-0700-000002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28" authorId="0" shapeId="0" xr:uid="{00000000-0006-0000-0700-000003010000}">
      <text>
        <r>
          <rPr>
            <sz val="8"/>
            <color indexed="81"/>
            <rFont val="Tahoma"/>
            <family val="2"/>
          </rPr>
          <t>When selecting a
Corner or Bay 
Window Type, 
the 
CMB Corner WS 
or 
CMB Bay WS 
must be completed.</t>
        </r>
      </text>
    </comment>
    <comment ref="L28" authorId="0" shapeId="0" xr:uid="{00000000-0006-0000-0700-000004010000}">
      <text>
        <r>
          <rPr>
            <sz val="8"/>
            <color indexed="81"/>
            <rFont val="Tahoma"/>
            <family val="2"/>
          </rPr>
          <t>ACT 
Actual Measurements
You have made the allowances.
NAM
No Allowances Made 
The factory will make the deductions.</t>
        </r>
      </text>
    </comment>
    <comment ref="N28" authorId="0" shapeId="0" xr:uid="{00000000-0006-0000-0700-000005010000}">
      <text>
        <r>
          <rPr>
            <sz val="8"/>
            <color indexed="81"/>
            <rFont val="Tahoma"/>
            <family val="2"/>
          </rPr>
          <t>Track Colour options are;
Clear Anodised
Black
White
White Birch
Please note; 
All Blinds are supplied 
with a Clear Anodised Wand.</t>
        </r>
      </text>
    </comment>
    <comment ref="O28" authorId="0" shapeId="0" xr:uid="{00000000-0006-0000-0700-000006010000}">
      <text>
        <r>
          <rPr>
            <sz val="8"/>
            <color indexed="81"/>
            <rFont val="Tahoma"/>
            <family val="2"/>
          </rPr>
          <t xml:space="preserve">
Finish options;
Sewn In Pocket
Bottom Rail</t>
        </r>
      </text>
    </comment>
    <comment ref="P28" authorId="0" shapeId="0" xr:uid="{00000000-0006-0000-0700-000007010000}">
      <text>
        <r>
          <rPr>
            <sz val="8"/>
            <color indexed="81"/>
            <rFont val="Tahoma"/>
            <family val="2"/>
          </rPr>
          <t xml:space="preserve">
Bottom Rail Colour options;
Bright Silver
Clear Anodised
Metallic Black
Mocha
White
White Birch</t>
        </r>
      </text>
    </comment>
    <comment ref="Q28" authorId="0" shapeId="0" xr:uid="{00000000-0006-0000-0700-000008010000}">
      <text>
        <r>
          <rPr>
            <sz val="8"/>
            <color indexed="81"/>
            <rFont val="Tahoma"/>
            <family val="2"/>
          </rPr>
          <t>When
 Standard or Common 
is selected the 
Pelmet Colour 
must be entered.</t>
        </r>
      </text>
    </comment>
    <comment ref="D29" authorId="0" shapeId="0" xr:uid="{00000000-0006-0000-0700-000009010000}">
      <text>
        <r>
          <rPr>
            <sz val="8"/>
            <color indexed="81"/>
            <rFont val="Tahoma"/>
            <family val="2"/>
          </rPr>
          <t>Fabric options are;
Amalfi
Como (Blockout)
Como (Translucent)
Florence
London
Maui
Milan
Pompeii
Rome (Blockout)
Rome (Translucent)
Sunscreen</t>
        </r>
      </text>
    </comment>
    <comment ref="E29" authorId="0" shapeId="0" xr:uid="{00000000-0006-0000-0700-00000A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29" authorId="0" shapeId="0" xr:uid="{00000000-0006-0000-0700-00000B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29" authorId="0" shapeId="0" xr:uid="{00000000-0006-0000-0700-00000C010000}">
      <text>
        <r>
          <rPr>
            <sz val="8"/>
            <color indexed="81"/>
            <rFont val="Tahoma"/>
            <family val="2"/>
          </rPr>
          <t xml:space="preserve">Minimum Height/Drop is 500mm.
Maximum Height/Drop is 3000mm. </t>
        </r>
      </text>
    </comment>
    <comment ref="H29" authorId="0" shapeId="0" xr:uid="{00000000-0006-0000-0700-00000D010000}">
      <text>
        <r>
          <rPr>
            <sz val="8"/>
            <color indexed="81"/>
            <rFont val="Tahoma"/>
            <family val="2"/>
          </rPr>
          <t xml:space="preserve">
Panel Quantities 
options;
2
3
4
5
6
7
9
Please note; 
Minimum Panel Width is 400mm.
Maximum Panel Width is 1000mm.</t>
        </r>
      </text>
    </comment>
    <comment ref="I29" authorId="0" shapeId="0" xr:uid="{00000000-0006-0000-0700-00000E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29" authorId="0" shapeId="0" xr:uid="{00000000-0006-0000-0700-00000F010000}">
      <text>
        <r>
          <rPr>
            <sz val="8"/>
            <color indexed="81"/>
            <rFont val="Tahoma"/>
            <family val="2"/>
          </rPr>
          <t>When selecting a
Corner or Bay 
Window Type, 
the 
CMB Corner WS 
or 
CMB Bay WS 
must be completed.</t>
        </r>
      </text>
    </comment>
    <comment ref="L29" authorId="0" shapeId="0" xr:uid="{00000000-0006-0000-0700-000010010000}">
      <text>
        <r>
          <rPr>
            <sz val="8"/>
            <color indexed="81"/>
            <rFont val="Tahoma"/>
            <family val="2"/>
          </rPr>
          <t>ACT 
Actual Measurements
You have made the allowances.
NAM
No Allowances Made 
The factory will make the deductions.</t>
        </r>
      </text>
    </comment>
    <comment ref="N29" authorId="0" shapeId="0" xr:uid="{00000000-0006-0000-0700-000011010000}">
      <text>
        <r>
          <rPr>
            <sz val="8"/>
            <color indexed="81"/>
            <rFont val="Tahoma"/>
            <family val="2"/>
          </rPr>
          <t>Track Colour options are;
Clear Anodised
Black
White
White Birch
Please note; 
All Blinds are supplied 
with a Clear Anodised Wand.</t>
        </r>
      </text>
    </comment>
    <comment ref="O29" authorId="0" shapeId="0" xr:uid="{00000000-0006-0000-0700-000012010000}">
      <text>
        <r>
          <rPr>
            <sz val="8"/>
            <color indexed="81"/>
            <rFont val="Tahoma"/>
            <family val="2"/>
          </rPr>
          <t xml:space="preserve">
Finish options;
Sewn In Pocket
Bottom Rail</t>
        </r>
      </text>
    </comment>
    <comment ref="P29" authorId="0" shapeId="0" xr:uid="{00000000-0006-0000-0700-000013010000}">
      <text>
        <r>
          <rPr>
            <sz val="8"/>
            <color indexed="81"/>
            <rFont val="Tahoma"/>
            <family val="2"/>
          </rPr>
          <t xml:space="preserve">
Bottom Rail Colour options;
Bright Silver
Clear Anodised
Metallic Black
Mocha
White
White Birch</t>
        </r>
      </text>
    </comment>
    <comment ref="Q29" authorId="0" shapeId="0" xr:uid="{00000000-0006-0000-0700-000014010000}">
      <text>
        <r>
          <rPr>
            <sz val="8"/>
            <color indexed="81"/>
            <rFont val="Tahoma"/>
            <family val="2"/>
          </rPr>
          <t>When
 Standard or Common 
is selected the 
Pelmet Colour 
must be entered.</t>
        </r>
      </text>
    </comment>
    <comment ref="D30" authorId="0" shapeId="0" xr:uid="{00000000-0006-0000-0700-000015010000}">
      <text>
        <r>
          <rPr>
            <sz val="8"/>
            <color indexed="81"/>
            <rFont val="Tahoma"/>
            <family val="2"/>
          </rPr>
          <t>Fabric options are;
Amalfi
Como (Blockout)
Como (Translucent)
Florence
London
Maui
Milan
Pompeii
Rome (Blockout)
Rome (Translucent)
Sunscreen</t>
        </r>
      </text>
    </comment>
    <comment ref="E30" authorId="0" shapeId="0" xr:uid="{00000000-0006-0000-0700-000016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30" authorId="0" shapeId="0" xr:uid="{00000000-0006-0000-0700-000017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0" authorId="0" shapeId="0" xr:uid="{00000000-0006-0000-0700-000018010000}">
      <text>
        <r>
          <rPr>
            <sz val="8"/>
            <color indexed="81"/>
            <rFont val="Tahoma"/>
            <family val="2"/>
          </rPr>
          <t xml:space="preserve">Minimum Height/Drop is 500mm.
Maximum Height/Drop is 3000mm. </t>
        </r>
      </text>
    </comment>
    <comment ref="H30" authorId="0" shapeId="0" xr:uid="{00000000-0006-0000-0700-000019010000}">
      <text>
        <r>
          <rPr>
            <sz val="8"/>
            <color indexed="81"/>
            <rFont val="Tahoma"/>
            <family val="2"/>
          </rPr>
          <t xml:space="preserve">
Panel Quantities 
options;
2
3
4
5
6
7
9
Please note; 
Minimum Panel Width is 400mm.
Maximum Panel Width is 1000mm.</t>
        </r>
      </text>
    </comment>
    <comment ref="I30" authorId="0" shapeId="0" xr:uid="{00000000-0006-0000-0700-00001A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30" authorId="0" shapeId="0" xr:uid="{00000000-0006-0000-0700-00001B010000}">
      <text>
        <r>
          <rPr>
            <sz val="8"/>
            <color indexed="81"/>
            <rFont val="Tahoma"/>
            <family val="2"/>
          </rPr>
          <t>When selecting a
Corner or Bay 
Window Type, 
the 
CMB Corner WS 
or 
CMB Bay WS 
must be completed.</t>
        </r>
      </text>
    </comment>
    <comment ref="L30" authorId="0" shapeId="0" xr:uid="{00000000-0006-0000-0700-00001C010000}">
      <text>
        <r>
          <rPr>
            <sz val="8"/>
            <color indexed="81"/>
            <rFont val="Tahoma"/>
            <family val="2"/>
          </rPr>
          <t>ACT 
Actual Measurements
You have made the allowances.
NAM
No Allowances Made 
The factory will make the deductions.</t>
        </r>
      </text>
    </comment>
    <comment ref="N30" authorId="0" shapeId="0" xr:uid="{00000000-0006-0000-0700-00001D010000}">
      <text>
        <r>
          <rPr>
            <sz val="8"/>
            <color indexed="81"/>
            <rFont val="Tahoma"/>
            <family val="2"/>
          </rPr>
          <t>Track Colour options are;
Clear Anodised
Black
White
White Birch
Please note; 
All Blinds are supplied 
with a Clear Anodised Wand.</t>
        </r>
      </text>
    </comment>
    <comment ref="O30" authorId="0" shapeId="0" xr:uid="{00000000-0006-0000-0700-00001E010000}">
      <text>
        <r>
          <rPr>
            <sz val="8"/>
            <color indexed="81"/>
            <rFont val="Tahoma"/>
            <family val="2"/>
          </rPr>
          <t xml:space="preserve">
Finish options;
Sewn In Pocket
Bottom Rail</t>
        </r>
      </text>
    </comment>
    <comment ref="P30" authorId="0" shapeId="0" xr:uid="{00000000-0006-0000-0700-00001F010000}">
      <text>
        <r>
          <rPr>
            <sz val="8"/>
            <color indexed="81"/>
            <rFont val="Tahoma"/>
            <family val="2"/>
          </rPr>
          <t xml:space="preserve">
Bottom Rail Colour options;
Bright Silver
Clear Anodised
Metallic Black
Mocha
White
White Birch</t>
        </r>
      </text>
    </comment>
    <comment ref="Q30" authorId="0" shapeId="0" xr:uid="{00000000-0006-0000-0700-000020010000}">
      <text>
        <r>
          <rPr>
            <sz val="8"/>
            <color indexed="81"/>
            <rFont val="Tahoma"/>
            <family val="2"/>
          </rPr>
          <t>When
 Standard or Common 
is selected the 
Pelmet Colour 
must be entered.</t>
        </r>
      </text>
    </comment>
    <comment ref="D31" authorId="0" shapeId="0" xr:uid="{00000000-0006-0000-0700-000021010000}">
      <text>
        <r>
          <rPr>
            <sz val="8"/>
            <color indexed="81"/>
            <rFont val="Tahoma"/>
            <family val="2"/>
          </rPr>
          <t>Fabric options are;
Amalfi
Como (Blockout)
Como (Translucent)
Florence
London
Maui
Milan
Pompeii
Rome (Blockout)
Rome (Translucent)
Sunscreen</t>
        </r>
      </text>
    </comment>
    <comment ref="E31" authorId="0" shapeId="0" xr:uid="{00000000-0006-0000-0700-000022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31" authorId="0" shapeId="0" xr:uid="{00000000-0006-0000-0700-000023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1" authorId="0" shapeId="0" xr:uid="{00000000-0006-0000-0700-000024010000}">
      <text>
        <r>
          <rPr>
            <sz val="8"/>
            <color indexed="81"/>
            <rFont val="Tahoma"/>
            <family val="2"/>
          </rPr>
          <t xml:space="preserve">Minimum Height/Drop is 500mm.
Maximum Height/Drop is 3000mm. </t>
        </r>
      </text>
    </comment>
    <comment ref="H31" authorId="0" shapeId="0" xr:uid="{00000000-0006-0000-0700-000025010000}">
      <text>
        <r>
          <rPr>
            <sz val="8"/>
            <color indexed="81"/>
            <rFont val="Tahoma"/>
            <family val="2"/>
          </rPr>
          <t xml:space="preserve">
Panel Quantities 
options;
2
3
4
5
6
7
9
Please note; 
Minimum Panel Width is 400mm.
Maximum Panel Width is 1000mm.</t>
        </r>
      </text>
    </comment>
    <comment ref="I31" authorId="0" shapeId="0" xr:uid="{00000000-0006-0000-0700-000026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31" authorId="0" shapeId="0" xr:uid="{00000000-0006-0000-0700-000027010000}">
      <text>
        <r>
          <rPr>
            <sz val="8"/>
            <color indexed="81"/>
            <rFont val="Tahoma"/>
            <family val="2"/>
          </rPr>
          <t>When selecting a
Corner or Bay 
Window Type, 
the 
CMB Corner WS 
or 
CMB Bay WS 
must be completed.</t>
        </r>
      </text>
    </comment>
    <comment ref="L31" authorId="0" shapeId="0" xr:uid="{00000000-0006-0000-0700-000028010000}">
      <text>
        <r>
          <rPr>
            <sz val="8"/>
            <color indexed="81"/>
            <rFont val="Tahoma"/>
            <family val="2"/>
          </rPr>
          <t>ACT 
Actual Measurements
You have made the allowances.
NAM
No Allowances Made 
The factory will make the deductions.</t>
        </r>
      </text>
    </comment>
    <comment ref="N31" authorId="0" shapeId="0" xr:uid="{00000000-0006-0000-0700-000029010000}">
      <text>
        <r>
          <rPr>
            <sz val="8"/>
            <color indexed="81"/>
            <rFont val="Tahoma"/>
            <family val="2"/>
          </rPr>
          <t>Track Colour options are;
Clear Anodised
Black
White
White Birch
Please note; 
All Blinds are supplied 
with a Clear Anodised Wand.</t>
        </r>
      </text>
    </comment>
    <comment ref="O31" authorId="0" shapeId="0" xr:uid="{00000000-0006-0000-0700-00002A010000}">
      <text>
        <r>
          <rPr>
            <sz val="8"/>
            <color indexed="81"/>
            <rFont val="Tahoma"/>
            <family val="2"/>
          </rPr>
          <t xml:space="preserve">
Finish options;
Sewn In Pocket
Bottom Rail</t>
        </r>
      </text>
    </comment>
    <comment ref="P31" authorId="0" shapeId="0" xr:uid="{00000000-0006-0000-0700-00002B010000}">
      <text>
        <r>
          <rPr>
            <sz val="8"/>
            <color indexed="81"/>
            <rFont val="Tahoma"/>
            <family val="2"/>
          </rPr>
          <t xml:space="preserve">
Bottom Rail Colour options;
Bright Silver
Clear Anodised
Metallic Black
Mocha
White
White Birch</t>
        </r>
      </text>
    </comment>
    <comment ref="Q31" authorId="0" shapeId="0" xr:uid="{00000000-0006-0000-0700-00002C010000}">
      <text>
        <r>
          <rPr>
            <sz val="8"/>
            <color indexed="81"/>
            <rFont val="Tahoma"/>
            <family val="2"/>
          </rPr>
          <t>When
 Standard or Common 
is selected the 
Pelmet Colour 
must be entered.</t>
        </r>
      </text>
    </comment>
    <comment ref="D32" authorId="0" shapeId="0" xr:uid="{00000000-0006-0000-0700-00002D010000}">
      <text>
        <r>
          <rPr>
            <sz val="8"/>
            <color indexed="81"/>
            <rFont val="Tahoma"/>
            <family val="2"/>
          </rPr>
          <t>Fabric options are;
Amalfi
Como (Blockout)
Como (Translucent)
Florence
London
Maui
Milan
Pompeii
Rome (Blockout)
Rome (Translucent)
Sunscreen</t>
        </r>
      </text>
    </comment>
    <comment ref="E32" authorId="0" shapeId="0" xr:uid="{00000000-0006-0000-0700-00002E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32" authorId="0" shapeId="0" xr:uid="{00000000-0006-0000-0700-00002F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2" authorId="0" shapeId="0" xr:uid="{00000000-0006-0000-0700-000030010000}">
      <text>
        <r>
          <rPr>
            <sz val="8"/>
            <color indexed="81"/>
            <rFont val="Tahoma"/>
            <family val="2"/>
          </rPr>
          <t xml:space="preserve">Minimum Height/Drop is 500mm.
Maximum Height/Drop is 3000mm. </t>
        </r>
      </text>
    </comment>
    <comment ref="H32" authorId="0" shapeId="0" xr:uid="{00000000-0006-0000-0700-000031010000}">
      <text>
        <r>
          <rPr>
            <sz val="8"/>
            <color indexed="81"/>
            <rFont val="Tahoma"/>
            <family val="2"/>
          </rPr>
          <t xml:space="preserve">
Panel Quantities 
options;
2
3
4
5
6
7
9
Please note; 
Minimum Panel Width is 400mm.
Maximum Panel Width is 1000mm.</t>
        </r>
      </text>
    </comment>
    <comment ref="I32" authorId="0" shapeId="0" xr:uid="{00000000-0006-0000-0700-000032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32" authorId="0" shapeId="0" xr:uid="{00000000-0006-0000-0700-000033010000}">
      <text>
        <r>
          <rPr>
            <sz val="8"/>
            <color indexed="81"/>
            <rFont val="Tahoma"/>
            <family val="2"/>
          </rPr>
          <t>When selecting a
Corner or Bay 
Window Type, 
the 
CMB Corner WS 
or 
CMB Bay WS 
must be completed.</t>
        </r>
      </text>
    </comment>
    <comment ref="L32" authorId="0" shapeId="0" xr:uid="{00000000-0006-0000-0700-000034010000}">
      <text>
        <r>
          <rPr>
            <sz val="8"/>
            <color indexed="81"/>
            <rFont val="Tahoma"/>
            <family val="2"/>
          </rPr>
          <t>ACT 
Actual Measurements
You have made the allowances.
NAM
No Allowances Made 
The factory will make the deductions.</t>
        </r>
      </text>
    </comment>
    <comment ref="N32" authorId="0" shapeId="0" xr:uid="{00000000-0006-0000-0700-000035010000}">
      <text>
        <r>
          <rPr>
            <sz val="8"/>
            <color indexed="81"/>
            <rFont val="Tahoma"/>
            <family val="2"/>
          </rPr>
          <t>Track Colour options are;
Clear Anodised
Black
White
White Birch
Please note; 
All Blinds are supplied 
with a Clear Anodised Wand.</t>
        </r>
      </text>
    </comment>
    <comment ref="O32" authorId="0" shapeId="0" xr:uid="{00000000-0006-0000-0700-000036010000}">
      <text>
        <r>
          <rPr>
            <sz val="8"/>
            <color indexed="81"/>
            <rFont val="Tahoma"/>
            <family val="2"/>
          </rPr>
          <t xml:space="preserve">
Finish options;
Sewn In Pocket
Bottom Rail</t>
        </r>
      </text>
    </comment>
    <comment ref="P32" authorId="0" shapeId="0" xr:uid="{00000000-0006-0000-0700-000037010000}">
      <text>
        <r>
          <rPr>
            <sz val="8"/>
            <color indexed="81"/>
            <rFont val="Tahoma"/>
            <family val="2"/>
          </rPr>
          <t xml:space="preserve">
Bottom Rail Colour options;
Bright Silver
Clear Anodised
Metallic Black
Mocha
White
White Birch</t>
        </r>
      </text>
    </comment>
    <comment ref="Q32" authorId="0" shapeId="0" xr:uid="{00000000-0006-0000-0700-000038010000}">
      <text>
        <r>
          <rPr>
            <sz val="8"/>
            <color indexed="81"/>
            <rFont val="Tahoma"/>
            <family val="2"/>
          </rPr>
          <t>When
 Standard or Common 
is selected the 
Pelmet Colour 
must be entered.</t>
        </r>
      </text>
    </comment>
    <comment ref="D33" authorId="0" shapeId="0" xr:uid="{00000000-0006-0000-0700-000039010000}">
      <text>
        <r>
          <rPr>
            <sz val="8"/>
            <color indexed="81"/>
            <rFont val="Tahoma"/>
            <family val="2"/>
          </rPr>
          <t>Fabric options are;
Amalfi
Como (Blockout)
Como (Translucent)
Florence
London
Maui
Milan
Pompeii
Rome (Blockout)
Rome (Translucent)
Sunscreen</t>
        </r>
      </text>
    </comment>
    <comment ref="E33" authorId="0" shapeId="0" xr:uid="{00000000-0006-0000-0700-00003A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33" authorId="0" shapeId="0" xr:uid="{00000000-0006-0000-0700-00003B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3" authorId="0" shapeId="0" xr:uid="{00000000-0006-0000-0700-00003C010000}">
      <text>
        <r>
          <rPr>
            <sz val="8"/>
            <color indexed="81"/>
            <rFont val="Tahoma"/>
            <family val="2"/>
          </rPr>
          <t xml:space="preserve">Minimum Height/Drop is 500mm.
Maximum Height/Drop is 3000mm. </t>
        </r>
      </text>
    </comment>
    <comment ref="H33" authorId="0" shapeId="0" xr:uid="{00000000-0006-0000-0700-00003D010000}">
      <text>
        <r>
          <rPr>
            <sz val="8"/>
            <color indexed="81"/>
            <rFont val="Tahoma"/>
            <family val="2"/>
          </rPr>
          <t xml:space="preserve">
Panel Quantities 
options;
2
3
4
5
6
7
9
Please note; 
Minimum Panel Width is 400mm.
Maximum Panel Width is 1000mm.</t>
        </r>
      </text>
    </comment>
    <comment ref="I33" authorId="0" shapeId="0" xr:uid="{00000000-0006-0000-0700-00003E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33" authorId="0" shapeId="0" xr:uid="{00000000-0006-0000-0700-00003F010000}">
      <text>
        <r>
          <rPr>
            <sz val="8"/>
            <color indexed="81"/>
            <rFont val="Tahoma"/>
            <family val="2"/>
          </rPr>
          <t>When selecting a
Corner or Bay 
Window Type, 
the 
CMB Corner WS 
or 
CMB Bay WS 
must be completed.</t>
        </r>
      </text>
    </comment>
    <comment ref="L33" authorId="0" shapeId="0" xr:uid="{00000000-0006-0000-0700-000040010000}">
      <text>
        <r>
          <rPr>
            <sz val="8"/>
            <color indexed="81"/>
            <rFont val="Tahoma"/>
            <family val="2"/>
          </rPr>
          <t>ACT 
Actual Measurements
You have made the allowances.
NAM
No Allowances Made 
The factory will make the deductions.</t>
        </r>
      </text>
    </comment>
    <comment ref="N33" authorId="0" shapeId="0" xr:uid="{00000000-0006-0000-0700-000041010000}">
      <text>
        <r>
          <rPr>
            <sz val="8"/>
            <color indexed="81"/>
            <rFont val="Tahoma"/>
            <family val="2"/>
          </rPr>
          <t>Track Colour options are;
Clear Anodised
Black
White
White Birch
Please note; 
All Blinds are supplied 
with a Clear Anodised Wand.</t>
        </r>
      </text>
    </comment>
    <comment ref="O33" authorId="0" shapeId="0" xr:uid="{00000000-0006-0000-0700-000042010000}">
      <text>
        <r>
          <rPr>
            <sz val="8"/>
            <color indexed="81"/>
            <rFont val="Tahoma"/>
            <family val="2"/>
          </rPr>
          <t xml:space="preserve">
Finish options;
Sewn In Pocket
Bottom Rail</t>
        </r>
      </text>
    </comment>
    <comment ref="P33" authorId="0" shapeId="0" xr:uid="{00000000-0006-0000-0700-000043010000}">
      <text>
        <r>
          <rPr>
            <sz val="8"/>
            <color indexed="81"/>
            <rFont val="Tahoma"/>
            <family val="2"/>
          </rPr>
          <t xml:space="preserve">
Bottom Rail Colour options;
Bright Silver
Clear Anodised
Metallic Black
Mocha
White
White Birch</t>
        </r>
      </text>
    </comment>
    <comment ref="Q33" authorId="0" shapeId="0" xr:uid="{00000000-0006-0000-0700-000044010000}">
      <text>
        <r>
          <rPr>
            <sz val="8"/>
            <color indexed="81"/>
            <rFont val="Tahoma"/>
            <family val="2"/>
          </rPr>
          <t>When
 Standard or Common 
is selected the 
Pelmet Colour 
must be entered.</t>
        </r>
      </text>
    </comment>
    <comment ref="D34" authorId="0" shapeId="0" xr:uid="{00000000-0006-0000-0700-000045010000}">
      <text>
        <r>
          <rPr>
            <sz val="8"/>
            <color indexed="81"/>
            <rFont val="Tahoma"/>
            <family val="2"/>
          </rPr>
          <t>Fabric options are;
Amalfi
Como (Blockout)
Como (Translucent)
Florence
London
Maui
Milan
Pompeii
Rome (Blockout)
Rome (Translucent)
Sunscreen</t>
        </r>
      </text>
    </comment>
    <comment ref="E34" authorId="0" shapeId="0" xr:uid="{00000000-0006-0000-0700-000046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34" authorId="0" shapeId="0" xr:uid="{00000000-0006-0000-0700-000047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4" authorId="0" shapeId="0" xr:uid="{00000000-0006-0000-0700-000048010000}">
      <text>
        <r>
          <rPr>
            <sz val="8"/>
            <color indexed="81"/>
            <rFont val="Tahoma"/>
            <family val="2"/>
          </rPr>
          <t xml:space="preserve">Minimum Height/Drop is 500mm.
Maximum Height/Drop is 3000mm. </t>
        </r>
      </text>
    </comment>
    <comment ref="H34" authorId="0" shapeId="0" xr:uid="{00000000-0006-0000-0700-000049010000}">
      <text>
        <r>
          <rPr>
            <sz val="8"/>
            <color indexed="81"/>
            <rFont val="Tahoma"/>
            <family val="2"/>
          </rPr>
          <t xml:space="preserve">
Panel Quantities 
options;
2
3
4
5
6
7
9
Please note; 
Minimum Panel Width is 400mm.
Maximum Panel Width is 1000mm.</t>
        </r>
      </text>
    </comment>
    <comment ref="I34" authorId="0" shapeId="0" xr:uid="{00000000-0006-0000-0700-00004A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34" authorId="0" shapeId="0" xr:uid="{00000000-0006-0000-0700-00004B010000}">
      <text>
        <r>
          <rPr>
            <sz val="8"/>
            <color indexed="81"/>
            <rFont val="Tahoma"/>
            <family val="2"/>
          </rPr>
          <t>When selecting a
Corner or Bay 
Window Type, 
the 
CMB Corner WS 
or 
CMB Bay WS 
must be completed.</t>
        </r>
      </text>
    </comment>
    <comment ref="L34" authorId="0" shapeId="0" xr:uid="{00000000-0006-0000-0700-00004C010000}">
      <text>
        <r>
          <rPr>
            <sz val="8"/>
            <color indexed="81"/>
            <rFont val="Tahoma"/>
            <family val="2"/>
          </rPr>
          <t>ACT 
Actual Measurements
You have made the allowances.
NAM
No Allowances Made 
The factory will make the deductions.</t>
        </r>
      </text>
    </comment>
    <comment ref="N34" authorId="0" shapeId="0" xr:uid="{00000000-0006-0000-0700-00004D010000}">
      <text>
        <r>
          <rPr>
            <sz val="8"/>
            <color indexed="81"/>
            <rFont val="Tahoma"/>
            <family val="2"/>
          </rPr>
          <t>Track Colour options are;
Clear Anodised
Black
White
White Birch
Please note; 
All Blinds are supplied 
with a Clear Anodised Wand.</t>
        </r>
      </text>
    </comment>
    <comment ref="O34" authorId="0" shapeId="0" xr:uid="{00000000-0006-0000-0700-00004E010000}">
      <text>
        <r>
          <rPr>
            <sz val="8"/>
            <color indexed="81"/>
            <rFont val="Tahoma"/>
            <family val="2"/>
          </rPr>
          <t xml:space="preserve">
Finish options;
Sewn In Pocket
Bottom Rail</t>
        </r>
      </text>
    </comment>
    <comment ref="P34" authorId="0" shapeId="0" xr:uid="{00000000-0006-0000-0700-00004F010000}">
      <text>
        <r>
          <rPr>
            <sz val="8"/>
            <color indexed="81"/>
            <rFont val="Tahoma"/>
            <family val="2"/>
          </rPr>
          <t xml:space="preserve">
Bottom Rail Colour options;
Bright Silver
Clear Anodised
Metallic Black
Mocha
White
White Birch</t>
        </r>
      </text>
    </comment>
    <comment ref="Q34" authorId="0" shapeId="0" xr:uid="{00000000-0006-0000-0700-000050010000}">
      <text>
        <r>
          <rPr>
            <sz val="8"/>
            <color indexed="81"/>
            <rFont val="Tahoma"/>
            <family val="2"/>
          </rPr>
          <t>When
 Standard or Common 
is selected the 
Pelmet Colour 
must be entered.</t>
        </r>
      </text>
    </comment>
    <comment ref="D35" authorId="0" shapeId="0" xr:uid="{00000000-0006-0000-0700-000051010000}">
      <text>
        <r>
          <rPr>
            <sz val="8"/>
            <color indexed="81"/>
            <rFont val="Tahoma"/>
            <family val="2"/>
          </rPr>
          <t>Fabric options are;
Amalfi
Como (Blockout)
Como (Translucent)
Florence
London
Maui
Milan
Pompeii
Rome (Blockout)
Rome (Translucent)
Sunscreen</t>
        </r>
      </text>
    </comment>
    <comment ref="E35" authorId="0" shapeId="0" xr:uid="{00000000-0006-0000-0700-000052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35" authorId="0" shapeId="0" xr:uid="{00000000-0006-0000-0700-000053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5" authorId="0" shapeId="0" xr:uid="{00000000-0006-0000-0700-000054010000}">
      <text>
        <r>
          <rPr>
            <sz val="8"/>
            <color indexed="81"/>
            <rFont val="Tahoma"/>
            <family val="2"/>
          </rPr>
          <t xml:space="preserve">Minimum Height/Drop is 500mm.
Maximum Height/Drop is 3000mm. </t>
        </r>
      </text>
    </comment>
    <comment ref="H35" authorId="0" shapeId="0" xr:uid="{00000000-0006-0000-0700-000055010000}">
      <text>
        <r>
          <rPr>
            <sz val="8"/>
            <color indexed="81"/>
            <rFont val="Tahoma"/>
            <family val="2"/>
          </rPr>
          <t xml:space="preserve">
Panel Quantities 
options;
2
3
4
5
6
7
9
Please note; 
Minimum Panel Width is 400mm.
Maximum Panel Width is 1000mm.</t>
        </r>
      </text>
    </comment>
    <comment ref="I35" authorId="0" shapeId="0" xr:uid="{00000000-0006-0000-0700-000056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35" authorId="0" shapeId="0" xr:uid="{00000000-0006-0000-0700-000057010000}">
      <text>
        <r>
          <rPr>
            <sz val="8"/>
            <color indexed="81"/>
            <rFont val="Tahoma"/>
            <family val="2"/>
          </rPr>
          <t>When selecting a
Corner or Bay 
Window Type, 
the 
CMB Corner WS 
or 
CMB Bay WS 
must be completed.</t>
        </r>
      </text>
    </comment>
    <comment ref="L35" authorId="0" shapeId="0" xr:uid="{00000000-0006-0000-0700-000058010000}">
      <text>
        <r>
          <rPr>
            <sz val="8"/>
            <color indexed="81"/>
            <rFont val="Tahoma"/>
            <family val="2"/>
          </rPr>
          <t>ACT 
Actual Measurements
You have made the allowances.
NAM
No Allowances Made 
The factory will make the deductions.</t>
        </r>
      </text>
    </comment>
    <comment ref="N35" authorId="0" shapeId="0" xr:uid="{00000000-0006-0000-0700-000059010000}">
      <text>
        <r>
          <rPr>
            <sz val="8"/>
            <color indexed="81"/>
            <rFont val="Tahoma"/>
            <family val="2"/>
          </rPr>
          <t>Track Colour options are;
Clear Anodised
Black
White
White Birch
Please note; 
All Blinds are supplied 
with a Clear Anodised Wand.</t>
        </r>
      </text>
    </comment>
    <comment ref="O35" authorId="0" shapeId="0" xr:uid="{00000000-0006-0000-0700-00005A010000}">
      <text>
        <r>
          <rPr>
            <sz val="8"/>
            <color indexed="81"/>
            <rFont val="Tahoma"/>
            <family val="2"/>
          </rPr>
          <t xml:space="preserve">
Finish options;
Sewn In Pocket
Bottom Rail</t>
        </r>
      </text>
    </comment>
    <comment ref="P35" authorId="0" shapeId="0" xr:uid="{00000000-0006-0000-0700-00005B010000}">
      <text>
        <r>
          <rPr>
            <sz val="8"/>
            <color indexed="81"/>
            <rFont val="Tahoma"/>
            <family val="2"/>
          </rPr>
          <t xml:space="preserve">
Bottom Rail Colour options;
Bright Silver
Clear Anodised
Metallic Black
Mocha
White
White Birch</t>
        </r>
      </text>
    </comment>
    <comment ref="Q35" authorId="0" shapeId="0" xr:uid="{00000000-0006-0000-0700-00005C010000}">
      <text>
        <r>
          <rPr>
            <sz val="8"/>
            <color indexed="81"/>
            <rFont val="Tahoma"/>
            <family val="2"/>
          </rPr>
          <t>When
 Standard or Common 
is selected the 
Pelmet Colour 
must be entered.</t>
        </r>
      </text>
    </comment>
    <comment ref="D36" authorId="0" shapeId="0" xr:uid="{00000000-0006-0000-0700-00005D010000}">
      <text>
        <r>
          <rPr>
            <sz val="8"/>
            <color indexed="81"/>
            <rFont val="Tahoma"/>
            <family val="2"/>
          </rPr>
          <t>Fabric options are;
Amalfi
Como (Blockout)
Como (Translucent)
Florence
London
Maui
Milan
Pompeii
Rome (Blockout)
Rome (Translucent)
Sunscreen</t>
        </r>
      </text>
    </comment>
    <comment ref="E36" authorId="0" shapeId="0" xr:uid="{00000000-0006-0000-0700-00005E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36" authorId="0" shapeId="0" xr:uid="{00000000-0006-0000-0700-00005F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6" authorId="0" shapeId="0" xr:uid="{00000000-0006-0000-0700-000060010000}">
      <text>
        <r>
          <rPr>
            <sz val="8"/>
            <color indexed="81"/>
            <rFont val="Tahoma"/>
            <family val="2"/>
          </rPr>
          <t xml:space="preserve">Minimum Height/Drop is 500mm.
Maximum Height/Drop is 3000mm. </t>
        </r>
      </text>
    </comment>
    <comment ref="H36" authorId="0" shapeId="0" xr:uid="{00000000-0006-0000-0700-000061010000}">
      <text>
        <r>
          <rPr>
            <sz val="8"/>
            <color indexed="81"/>
            <rFont val="Tahoma"/>
            <family val="2"/>
          </rPr>
          <t xml:space="preserve">
Panel Quantities 
options;
2
3
4
5
6
7
9
Please note; 
Minimum Panel Width is 400mm.
Maximum Panel Width is 1000mm.</t>
        </r>
      </text>
    </comment>
    <comment ref="I36" authorId="0" shapeId="0" xr:uid="{00000000-0006-0000-0700-000062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36" authorId="0" shapeId="0" xr:uid="{00000000-0006-0000-0700-000063010000}">
      <text>
        <r>
          <rPr>
            <sz val="8"/>
            <color indexed="81"/>
            <rFont val="Tahoma"/>
            <family val="2"/>
          </rPr>
          <t>When selecting a
Corner or Bay 
Window Type, 
the 
CMB Corner WS 
or 
CMB Bay WS 
must be completed.</t>
        </r>
      </text>
    </comment>
    <comment ref="L36" authorId="0" shapeId="0" xr:uid="{00000000-0006-0000-0700-000064010000}">
      <text>
        <r>
          <rPr>
            <sz val="8"/>
            <color indexed="81"/>
            <rFont val="Tahoma"/>
            <family val="2"/>
          </rPr>
          <t>ACT 
Actual Measurements
You have made the allowances.
NAM
No Allowances Made 
The factory will make the deductions.</t>
        </r>
      </text>
    </comment>
    <comment ref="N36" authorId="0" shapeId="0" xr:uid="{00000000-0006-0000-0700-000065010000}">
      <text>
        <r>
          <rPr>
            <sz val="8"/>
            <color indexed="81"/>
            <rFont val="Tahoma"/>
            <family val="2"/>
          </rPr>
          <t>Track Colour options are;
Clear Anodised
Black
White
White Birch
Please note; 
All Blinds are supplied 
with a Clear Anodised Wand.</t>
        </r>
      </text>
    </comment>
    <comment ref="O36" authorId="0" shapeId="0" xr:uid="{00000000-0006-0000-0700-000066010000}">
      <text>
        <r>
          <rPr>
            <sz val="8"/>
            <color indexed="81"/>
            <rFont val="Tahoma"/>
            <family val="2"/>
          </rPr>
          <t xml:space="preserve">
Finish options;
Sewn In Pocket
Bottom Rail</t>
        </r>
      </text>
    </comment>
    <comment ref="P36" authorId="0" shapeId="0" xr:uid="{00000000-0006-0000-0700-000067010000}">
      <text>
        <r>
          <rPr>
            <sz val="8"/>
            <color indexed="81"/>
            <rFont val="Tahoma"/>
            <family val="2"/>
          </rPr>
          <t xml:space="preserve">
Bottom Rail Colour options;
Bright Silver
Clear Anodised
Metallic Black
Mocha
White
White Birch</t>
        </r>
      </text>
    </comment>
    <comment ref="Q36" authorId="0" shapeId="0" xr:uid="{00000000-0006-0000-0700-000068010000}">
      <text>
        <r>
          <rPr>
            <sz val="8"/>
            <color indexed="81"/>
            <rFont val="Tahoma"/>
            <family val="2"/>
          </rPr>
          <t>When
 Standard or Common 
is selected the 
Pelmet Colour 
must be entered.</t>
        </r>
      </text>
    </comment>
    <comment ref="D37" authorId="0" shapeId="0" xr:uid="{00000000-0006-0000-0700-000069010000}">
      <text>
        <r>
          <rPr>
            <sz val="8"/>
            <color indexed="81"/>
            <rFont val="Tahoma"/>
            <family val="2"/>
          </rPr>
          <t>Fabric options are;
Amalfi
Como (Blockout)
Como (Translucent)
Florence
London
Maui
Milan
Pompeii
Rome (Blockout)
Rome (Translucent)
Sunscreen</t>
        </r>
      </text>
    </comment>
    <comment ref="E37" authorId="0" shapeId="0" xr:uid="{00000000-0006-0000-0700-00006A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37" authorId="0" shapeId="0" xr:uid="{00000000-0006-0000-0700-00006B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7" authorId="0" shapeId="0" xr:uid="{00000000-0006-0000-0700-00006C010000}">
      <text>
        <r>
          <rPr>
            <sz val="8"/>
            <color indexed="81"/>
            <rFont val="Tahoma"/>
            <family val="2"/>
          </rPr>
          <t xml:space="preserve">Minimum Height/Drop is 500mm.
Maximum Height/Drop is 3000mm. </t>
        </r>
      </text>
    </comment>
    <comment ref="H37" authorId="0" shapeId="0" xr:uid="{00000000-0006-0000-0700-00006D010000}">
      <text>
        <r>
          <rPr>
            <sz val="8"/>
            <color indexed="81"/>
            <rFont val="Tahoma"/>
            <family val="2"/>
          </rPr>
          <t xml:space="preserve">
Panel Quantities 
options;
2
3
4
5
6
7
9
Please note; 
Minimum Panel Width is 400mm.
Maximum Panel Width is 1000mm.</t>
        </r>
      </text>
    </comment>
    <comment ref="I37" authorId="0" shapeId="0" xr:uid="{00000000-0006-0000-0700-00006E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37" authorId="0" shapeId="0" xr:uid="{00000000-0006-0000-0700-00006F010000}">
      <text>
        <r>
          <rPr>
            <sz val="8"/>
            <color indexed="81"/>
            <rFont val="Tahoma"/>
            <family val="2"/>
          </rPr>
          <t>When selecting a
Corner or Bay 
Window Type, 
the 
CMB Corner WS 
or 
CMB Bay WS 
must be completed.</t>
        </r>
      </text>
    </comment>
    <comment ref="L37" authorId="0" shapeId="0" xr:uid="{00000000-0006-0000-0700-000070010000}">
      <text>
        <r>
          <rPr>
            <sz val="8"/>
            <color indexed="81"/>
            <rFont val="Tahoma"/>
            <family val="2"/>
          </rPr>
          <t>ACT 
Actual Measurements
You have made the allowances.
NAM
No Allowances Made 
The factory will make the deductions.</t>
        </r>
      </text>
    </comment>
    <comment ref="N37" authorId="0" shapeId="0" xr:uid="{00000000-0006-0000-0700-000071010000}">
      <text>
        <r>
          <rPr>
            <sz val="8"/>
            <color indexed="81"/>
            <rFont val="Tahoma"/>
            <family val="2"/>
          </rPr>
          <t>Track Colour options are;
Clear Anodised
Black
White
White Birch
Please note; 
All Blinds are supplied 
with a Clear Anodised Wand.</t>
        </r>
      </text>
    </comment>
    <comment ref="O37" authorId="0" shapeId="0" xr:uid="{00000000-0006-0000-0700-000072010000}">
      <text>
        <r>
          <rPr>
            <sz val="8"/>
            <color indexed="81"/>
            <rFont val="Tahoma"/>
            <family val="2"/>
          </rPr>
          <t xml:space="preserve">
Finish options;
Sewn In Pocket
Bottom Rail</t>
        </r>
      </text>
    </comment>
    <comment ref="P37" authorId="0" shapeId="0" xr:uid="{00000000-0006-0000-0700-000073010000}">
      <text>
        <r>
          <rPr>
            <sz val="8"/>
            <color indexed="81"/>
            <rFont val="Tahoma"/>
            <family val="2"/>
          </rPr>
          <t xml:space="preserve">
Bottom Rail Colour options;
Bright Silver
Clear Anodised
Metallic Black
Mocha
White
White Birch</t>
        </r>
      </text>
    </comment>
    <comment ref="Q37" authorId="0" shapeId="0" xr:uid="{00000000-0006-0000-0700-000074010000}">
      <text>
        <r>
          <rPr>
            <sz val="8"/>
            <color indexed="81"/>
            <rFont val="Tahoma"/>
            <family val="2"/>
          </rPr>
          <t>When
 Standard or Common 
is selected the 
Pelmet Colour 
must be entered.</t>
        </r>
      </text>
    </comment>
    <comment ref="D38" authorId="0" shapeId="0" xr:uid="{00000000-0006-0000-0700-000075010000}">
      <text>
        <r>
          <rPr>
            <sz val="8"/>
            <color indexed="81"/>
            <rFont val="Tahoma"/>
            <family val="2"/>
          </rPr>
          <t>Fabric options are;
Amalfi
Como (Blockout)
Como (Translucent)
Florence
London
Maui
Milan
Pompeii
Rome (Blockout)
Rome (Translucent)
Sunscreen</t>
        </r>
      </text>
    </comment>
    <comment ref="E38" authorId="0" shapeId="0" xr:uid="{00000000-0006-0000-0700-000076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38" authorId="0" shapeId="0" xr:uid="{00000000-0006-0000-0700-000077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8" authorId="0" shapeId="0" xr:uid="{00000000-0006-0000-0700-000078010000}">
      <text>
        <r>
          <rPr>
            <sz val="8"/>
            <color indexed="81"/>
            <rFont val="Tahoma"/>
            <family val="2"/>
          </rPr>
          <t xml:space="preserve">Minimum Height/Drop is 500mm.
Maximum Height/Drop is 3000mm. </t>
        </r>
      </text>
    </comment>
    <comment ref="H38" authorId="0" shapeId="0" xr:uid="{00000000-0006-0000-0700-000079010000}">
      <text>
        <r>
          <rPr>
            <sz val="8"/>
            <color indexed="81"/>
            <rFont val="Tahoma"/>
            <family val="2"/>
          </rPr>
          <t xml:space="preserve">
Panel Quantities 
options;
2
3
4
5
6
7
9
Please note; 
Minimum Panel Width is 400mm.
Maximum Panel Width is 1000mm.</t>
        </r>
      </text>
    </comment>
    <comment ref="I38" authorId="0" shapeId="0" xr:uid="{00000000-0006-0000-0700-00007A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38" authorId="0" shapeId="0" xr:uid="{00000000-0006-0000-0700-00007B010000}">
      <text>
        <r>
          <rPr>
            <sz val="8"/>
            <color indexed="81"/>
            <rFont val="Tahoma"/>
            <family val="2"/>
          </rPr>
          <t>When selecting a
Corner or Bay 
Window Type, 
the 
CMB Corner WS 
or 
CMB Bay WS 
must be completed.</t>
        </r>
      </text>
    </comment>
    <comment ref="L38" authorId="0" shapeId="0" xr:uid="{00000000-0006-0000-0700-00007C010000}">
      <text>
        <r>
          <rPr>
            <sz val="8"/>
            <color indexed="81"/>
            <rFont val="Tahoma"/>
            <family val="2"/>
          </rPr>
          <t>ACT 
Actual Measurements
You have made the allowances.
NAM
No Allowances Made 
The factory will make the deductions.</t>
        </r>
      </text>
    </comment>
    <comment ref="N38" authorId="0" shapeId="0" xr:uid="{00000000-0006-0000-0700-00007D010000}">
      <text>
        <r>
          <rPr>
            <sz val="8"/>
            <color indexed="81"/>
            <rFont val="Tahoma"/>
            <family val="2"/>
          </rPr>
          <t>Track Colour options are;
Clear Anodised
Black
White
White Birch
Please note; 
All Blinds are supplied 
with a Clear Anodised Wand.</t>
        </r>
      </text>
    </comment>
    <comment ref="O38" authorId="0" shapeId="0" xr:uid="{00000000-0006-0000-0700-00007E010000}">
      <text>
        <r>
          <rPr>
            <sz val="8"/>
            <color indexed="81"/>
            <rFont val="Tahoma"/>
            <family val="2"/>
          </rPr>
          <t xml:space="preserve">
Finish options;
Sewn In Pocket
Bottom Rail</t>
        </r>
      </text>
    </comment>
    <comment ref="P38" authorId="0" shapeId="0" xr:uid="{00000000-0006-0000-0700-00007F010000}">
      <text>
        <r>
          <rPr>
            <sz val="8"/>
            <color indexed="81"/>
            <rFont val="Tahoma"/>
            <family val="2"/>
          </rPr>
          <t xml:space="preserve">
Bottom Rail Colour options;
Bright Silver
Clear Anodised
Metallic Black
Mocha
White
White Birch</t>
        </r>
      </text>
    </comment>
    <comment ref="Q38" authorId="0" shapeId="0" xr:uid="{00000000-0006-0000-0700-000080010000}">
      <text>
        <r>
          <rPr>
            <sz val="8"/>
            <color indexed="81"/>
            <rFont val="Tahoma"/>
            <family val="2"/>
          </rPr>
          <t>When
 Standard or Common 
is selected the 
Pelmet Colour 
must be entered.</t>
        </r>
      </text>
    </comment>
    <comment ref="D39" authorId="0" shapeId="0" xr:uid="{00000000-0006-0000-0700-000081010000}">
      <text>
        <r>
          <rPr>
            <sz val="8"/>
            <color indexed="81"/>
            <rFont val="Tahoma"/>
            <family val="2"/>
          </rPr>
          <t>Fabric options are;
Amalfi
Como (Blockout)
Como (Translucent)
Florence
London
Maui
Milan
Pompeii
Rome (Blockout)
Rome (Translucent)
Sunscreen</t>
        </r>
      </text>
    </comment>
    <comment ref="E39" authorId="0" shapeId="0" xr:uid="{00000000-0006-0000-0700-000082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39" authorId="0" shapeId="0" xr:uid="{00000000-0006-0000-0700-000083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39" authorId="0" shapeId="0" xr:uid="{00000000-0006-0000-0700-000084010000}">
      <text>
        <r>
          <rPr>
            <sz val="8"/>
            <color indexed="81"/>
            <rFont val="Tahoma"/>
            <family val="2"/>
          </rPr>
          <t xml:space="preserve">Minimum Height/Drop is 500mm.
Maximum Height/Drop is 3000mm. </t>
        </r>
      </text>
    </comment>
    <comment ref="H39" authorId="0" shapeId="0" xr:uid="{00000000-0006-0000-0700-000085010000}">
      <text>
        <r>
          <rPr>
            <sz val="8"/>
            <color indexed="81"/>
            <rFont val="Tahoma"/>
            <family val="2"/>
          </rPr>
          <t xml:space="preserve">
Panel Quantities 
options;
2
3
4
5
6
7
9
Please note; 
Minimum Panel Width is 400mm.
Maximum Panel Width is 1000mm.</t>
        </r>
      </text>
    </comment>
    <comment ref="I39" authorId="0" shapeId="0" xr:uid="{00000000-0006-0000-0700-000086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39" authorId="0" shapeId="0" xr:uid="{00000000-0006-0000-0700-000087010000}">
      <text>
        <r>
          <rPr>
            <sz val="8"/>
            <color indexed="81"/>
            <rFont val="Tahoma"/>
            <family val="2"/>
          </rPr>
          <t>When selecting a
Corner or Bay 
Window Type, 
the 
CMB Corner WS 
or 
CMB Bay WS 
must be completed.</t>
        </r>
      </text>
    </comment>
    <comment ref="L39" authorId="0" shapeId="0" xr:uid="{00000000-0006-0000-0700-000088010000}">
      <text>
        <r>
          <rPr>
            <sz val="8"/>
            <color indexed="81"/>
            <rFont val="Tahoma"/>
            <family val="2"/>
          </rPr>
          <t>ACT 
Actual Measurements
You have made the allowances.
NAM
No Allowances Made 
The factory will make the deductions.</t>
        </r>
      </text>
    </comment>
    <comment ref="N39" authorId="0" shapeId="0" xr:uid="{00000000-0006-0000-0700-000089010000}">
      <text>
        <r>
          <rPr>
            <sz val="8"/>
            <color indexed="81"/>
            <rFont val="Tahoma"/>
            <family val="2"/>
          </rPr>
          <t>Track Colour options are;
Clear Anodised
Black
White
White Birch
Please note; 
All Blinds are supplied 
with a Clear Anodised Wand.</t>
        </r>
      </text>
    </comment>
    <comment ref="O39" authorId="0" shapeId="0" xr:uid="{00000000-0006-0000-0700-00008A010000}">
      <text>
        <r>
          <rPr>
            <sz val="8"/>
            <color indexed="81"/>
            <rFont val="Tahoma"/>
            <family val="2"/>
          </rPr>
          <t xml:space="preserve">
Finish options;
Sewn In Pocket
Bottom Rail</t>
        </r>
      </text>
    </comment>
    <comment ref="P39" authorId="0" shapeId="0" xr:uid="{00000000-0006-0000-0700-00008B010000}">
      <text>
        <r>
          <rPr>
            <sz val="8"/>
            <color indexed="81"/>
            <rFont val="Tahoma"/>
            <family val="2"/>
          </rPr>
          <t xml:space="preserve">
Bottom Rail Colour options;
Bright Silver
Clear Anodised
Metallic Black
Mocha
White
White Birch</t>
        </r>
      </text>
    </comment>
    <comment ref="Q39" authorId="0" shapeId="0" xr:uid="{00000000-0006-0000-0700-00008C010000}">
      <text>
        <r>
          <rPr>
            <sz val="8"/>
            <color indexed="81"/>
            <rFont val="Tahoma"/>
            <family val="2"/>
          </rPr>
          <t>When
 Standard or Common 
is selected the 
Pelmet Colour 
must be entered.</t>
        </r>
      </text>
    </comment>
    <comment ref="D40" authorId="0" shapeId="0" xr:uid="{00000000-0006-0000-0700-00008D010000}">
      <text>
        <r>
          <rPr>
            <sz val="8"/>
            <color indexed="81"/>
            <rFont val="Tahoma"/>
            <family val="2"/>
          </rPr>
          <t>Fabric options are;
Amalfi
Como (Blockout)
Como (Translucent)
Florence
London
Maui
Milan
Pompeii
Rome (Blockout)
Rome (Translucent)
Sunscreen</t>
        </r>
      </text>
    </comment>
    <comment ref="E40" authorId="0" shapeId="0" xr:uid="{00000000-0006-0000-0700-00008E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40" authorId="0" shapeId="0" xr:uid="{00000000-0006-0000-0700-00008F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0" authorId="0" shapeId="0" xr:uid="{00000000-0006-0000-0700-000090010000}">
      <text>
        <r>
          <rPr>
            <sz val="8"/>
            <color indexed="81"/>
            <rFont val="Tahoma"/>
            <family val="2"/>
          </rPr>
          <t xml:space="preserve">Minimum Height/Drop is 500mm.
Maximum Height/Drop is 3000mm. </t>
        </r>
      </text>
    </comment>
    <comment ref="H40" authorId="0" shapeId="0" xr:uid="{00000000-0006-0000-0700-000091010000}">
      <text>
        <r>
          <rPr>
            <sz val="8"/>
            <color indexed="81"/>
            <rFont val="Tahoma"/>
            <family val="2"/>
          </rPr>
          <t xml:space="preserve">
Panel Quantities 
options;
2
3
4
5
6
7
9
Please note; 
Minimum Panel Width is 400mm.
Maximum Panel Width is 1000mm.</t>
        </r>
      </text>
    </comment>
    <comment ref="I40" authorId="0" shapeId="0" xr:uid="{00000000-0006-0000-0700-000092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40" authorId="0" shapeId="0" xr:uid="{00000000-0006-0000-0700-000093010000}">
      <text>
        <r>
          <rPr>
            <sz val="8"/>
            <color indexed="81"/>
            <rFont val="Tahoma"/>
            <family val="2"/>
          </rPr>
          <t>When selecting a
Corner or Bay 
Window Type, 
the 
CMB Corner WS 
or 
CMB Bay WS 
must be completed.</t>
        </r>
      </text>
    </comment>
    <comment ref="L40" authorId="0" shapeId="0" xr:uid="{00000000-0006-0000-0700-000094010000}">
      <text>
        <r>
          <rPr>
            <sz val="8"/>
            <color indexed="81"/>
            <rFont val="Tahoma"/>
            <family val="2"/>
          </rPr>
          <t>ACT 
Actual Measurements
You have made the allowances.
NAM
No Allowances Made 
The factory will make the deductions.</t>
        </r>
      </text>
    </comment>
    <comment ref="N40" authorId="0" shapeId="0" xr:uid="{00000000-0006-0000-0700-000095010000}">
      <text>
        <r>
          <rPr>
            <sz val="8"/>
            <color indexed="81"/>
            <rFont val="Tahoma"/>
            <family val="2"/>
          </rPr>
          <t>Track Colour options are;
Clear Anodised
Black
White
White Birch
Please note; 
All Blinds are supplied 
with a Clear Anodised Wand.</t>
        </r>
      </text>
    </comment>
    <comment ref="O40" authorId="0" shapeId="0" xr:uid="{00000000-0006-0000-0700-000096010000}">
      <text>
        <r>
          <rPr>
            <sz val="8"/>
            <color indexed="81"/>
            <rFont val="Tahoma"/>
            <family val="2"/>
          </rPr>
          <t xml:space="preserve">
Finish options;
Sewn In Pocket
Bottom Rail</t>
        </r>
      </text>
    </comment>
    <comment ref="P40" authorId="0" shapeId="0" xr:uid="{00000000-0006-0000-0700-000097010000}">
      <text>
        <r>
          <rPr>
            <sz val="8"/>
            <color indexed="81"/>
            <rFont val="Tahoma"/>
            <family val="2"/>
          </rPr>
          <t xml:space="preserve">
Bottom Rail Colour options;
Bright Silver
Clear Anodised
Metallic Black
Mocha
White
White Birch</t>
        </r>
      </text>
    </comment>
    <comment ref="Q40" authorId="0" shapeId="0" xr:uid="{00000000-0006-0000-0700-000098010000}">
      <text>
        <r>
          <rPr>
            <sz val="8"/>
            <color indexed="81"/>
            <rFont val="Tahoma"/>
            <family val="2"/>
          </rPr>
          <t>When
 Standard or Common 
is selected the 
Pelmet Colour 
must be entered.</t>
        </r>
      </text>
    </comment>
    <comment ref="D41" authorId="0" shapeId="0" xr:uid="{00000000-0006-0000-0700-000099010000}">
      <text>
        <r>
          <rPr>
            <sz val="8"/>
            <color indexed="81"/>
            <rFont val="Tahoma"/>
            <family val="2"/>
          </rPr>
          <t>Fabric options are;
Amalfi
Como (Blockout)
Como (Translucent)
Florence
London
Maui
Milan
Pompeii
Rome (Blockout)
Rome (Translucent)
Sunscreen</t>
        </r>
      </text>
    </comment>
    <comment ref="E41" authorId="0" shapeId="0" xr:uid="{00000000-0006-0000-0700-00009A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41" authorId="0" shapeId="0" xr:uid="{00000000-0006-0000-0700-00009B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1" authorId="0" shapeId="0" xr:uid="{00000000-0006-0000-0700-00009C010000}">
      <text>
        <r>
          <rPr>
            <sz val="8"/>
            <color indexed="81"/>
            <rFont val="Tahoma"/>
            <family val="2"/>
          </rPr>
          <t xml:space="preserve">Minimum Height/Drop is 500mm.
Maximum Height/Drop is 3000mm. </t>
        </r>
      </text>
    </comment>
    <comment ref="H41" authorId="0" shapeId="0" xr:uid="{00000000-0006-0000-0700-00009D010000}">
      <text>
        <r>
          <rPr>
            <sz val="8"/>
            <color indexed="81"/>
            <rFont val="Tahoma"/>
            <family val="2"/>
          </rPr>
          <t xml:space="preserve">
Panel Quantities 
options;
2
3
4
5
6
7
9
Please note; 
Minimum Panel Width is 400mm.
Maximum Panel Width is 1000mm.</t>
        </r>
      </text>
    </comment>
    <comment ref="I41" authorId="0" shapeId="0" xr:uid="{00000000-0006-0000-0700-00009E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41" authorId="0" shapeId="0" xr:uid="{00000000-0006-0000-0700-00009F010000}">
      <text>
        <r>
          <rPr>
            <sz val="8"/>
            <color indexed="81"/>
            <rFont val="Tahoma"/>
            <family val="2"/>
          </rPr>
          <t>When selecting a
Corner or Bay 
Window Type, 
the 
CMB Corner WS 
or 
CMB Bay WS 
must be completed.</t>
        </r>
      </text>
    </comment>
    <comment ref="L41" authorId="0" shapeId="0" xr:uid="{00000000-0006-0000-0700-0000A0010000}">
      <text>
        <r>
          <rPr>
            <sz val="8"/>
            <color indexed="81"/>
            <rFont val="Tahoma"/>
            <family val="2"/>
          </rPr>
          <t>ACT 
Actual Measurements
You have made the allowances.
NAM
No Allowances Made 
The factory will make the deductions.</t>
        </r>
      </text>
    </comment>
    <comment ref="N41" authorId="0" shapeId="0" xr:uid="{00000000-0006-0000-0700-0000A1010000}">
      <text>
        <r>
          <rPr>
            <sz val="8"/>
            <color indexed="81"/>
            <rFont val="Tahoma"/>
            <family val="2"/>
          </rPr>
          <t>Track Colour options are;
Clear Anodised
Black
White
White Birch
Please note; 
All Blinds are supplied 
with a Clear Anodised Wand.</t>
        </r>
      </text>
    </comment>
    <comment ref="O41" authorId="0" shapeId="0" xr:uid="{00000000-0006-0000-0700-0000A2010000}">
      <text>
        <r>
          <rPr>
            <sz val="8"/>
            <color indexed="81"/>
            <rFont val="Tahoma"/>
            <family val="2"/>
          </rPr>
          <t xml:space="preserve">
Finish options;
Sewn In Pocket
Bottom Rail</t>
        </r>
      </text>
    </comment>
    <comment ref="P41" authorId="0" shapeId="0" xr:uid="{00000000-0006-0000-0700-0000A3010000}">
      <text>
        <r>
          <rPr>
            <sz val="8"/>
            <color indexed="81"/>
            <rFont val="Tahoma"/>
            <family val="2"/>
          </rPr>
          <t xml:space="preserve">
Bottom Rail Colour options;
Bright Silver
Clear Anodised
Metallic Black
Mocha
White
White Birch</t>
        </r>
      </text>
    </comment>
    <comment ref="Q41" authorId="0" shapeId="0" xr:uid="{00000000-0006-0000-0700-0000A4010000}">
      <text>
        <r>
          <rPr>
            <sz val="8"/>
            <color indexed="81"/>
            <rFont val="Tahoma"/>
            <family val="2"/>
          </rPr>
          <t>When
 Standard or Common 
is selected the 
Pelmet Colour 
must be entered.</t>
        </r>
      </text>
    </comment>
    <comment ref="D42" authorId="0" shapeId="0" xr:uid="{00000000-0006-0000-0700-0000A5010000}">
      <text>
        <r>
          <rPr>
            <sz val="8"/>
            <color indexed="81"/>
            <rFont val="Tahoma"/>
            <family val="2"/>
          </rPr>
          <t>Fabric options are;
Amalfi
Como (Blockout)
Como (Translucent)
Florence
London
Maui
Milan
Pompeii
Rome (Blockout)
Rome (Translucent)
Sunscreen</t>
        </r>
      </text>
    </comment>
    <comment ref="E42" authorId="0" shapeId="0" xr:uid="{00000000-0006-0000-0700-0000A6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42" authorId="0" shapeId="0" xr:uid="{00000000-0006-0000-0700-0000A7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2" authorId="0" shapeId="0" xr:uid="{00000000-0006-0000-0700-0000A8010000}">
      <text>
        <r>
          <rPr>
            <sz val="8"/>
            <color indexed="81"/>
            <rFont val="Tahoma"/>
            <family val="2"/>
          </rPr>
          <t xml:space="preserve">Minimum Height/Drop is 500mm.
Maximum Height/Drop is 3000mm. </t>
        </r>
      </text>
    </comment>
    <comment ref="H42" authorId="0" shapeId="0" xr:uid="{00000000-0006-0000-0700-0000A9010000}">
      <text>
        <r>
          <rPr>
            <sz val="8"/>
            <color indexed="81"/>
            <rFont val="Tahoma"/>
            <family val="2"/>
          </rPr>
          <t xml:space="preserve">
Panel Quantities 
options;
2
3
4
5
6
7
9
Please note; 
Minimum Panel Width is 400mm.
Maximum Panel Width is 1000mm.</t>
        </r>
      </text>
    </comment>
    <comment ref="I42" authorId="0" shapeId="0" xr:uid="{00000000-0006-0000-0700-0000AA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42" authorId="0" shapeId="0" xr:uid="{00000000-0006-0000-0700-0000AB010000}">
      <text>
        <r>
          <rPr>
            <sz val="8"/>
            <color indexed="81"/>
            <rFont val="Tahoma"/>
            <family val="2"/>
          </rPr>
          <t>When selecting a
Corner or Bay 
Window Type, 
the 
CMB Corner WS 
or 
CMB Bay WS 
must be completed.</t>
        </r>
      </text>
    </comment>
    <comment ref="L42" authorId="0" shapeId="0" xr:uid="{00000000-0006-0000-0700-0000AC010000}">
      <text>
        <r>
          <rPr>
            <sz val="8"/>
            <color indexed="81"/>
            <rFont val="Tahoma"/>
            <family val="2"/>
          </rPr>
          <t>ACT 
Actual Measurements
You have made the allowances.
NAM
No Allowances Made 
The factory will make the deductions.</t>
        </r>
      </text>
    </comment>
    <comment ref="N42" authorId="0" shapeId="0" xr:uid="{00000000-0006-0000-0700-0000AD010000}">
      <text>
        <r>
          <rPr>
            <sz val="8"/>
            <color indexed="81"/>
            <rFont val="Tahoma"/>
            <family val="2"/>
          </rPr>
          <t>Track Colour options are;
Clear Anodised
Black
White
White Birch
Please note; 
All Blinds are supplied 
with a Clear Anodised Wand.</t>
        </r>
      </text>
    </comment>
    <comment ref="O42" authorId="0" shapeId="0" xr:uid="{00000000-0006-0000-0700-0000AE010000}">
      <text>
        <r>
          <rPr>
            <sz val="8"/>
            <color indexed="81"/>
            <rFont val="Tahoma"/>
            <family val="2"/>
          </rPr>
          <t xml:space="preserve">
Finish options;
Sewn In Pocket
Bottom Rail</t>
        </r>
      </text>
    </comment>
    <comment ref="P42" authorId="0" shapeId="0" xr:uid="{00000000-0006-0000-0700-0000AF010000}">
      <text>
        <r>
          <rPr>
            <sz val="8"/>
            <color indexed="81"/>
            <rFont val="Tahoma"/>
            <family val="2"/>
          </rPr>
          <t xml:space="preserve">
Bottom Rail Colour options;
Bright Silver
Clear Anodised
Metallic Black
Mocha
White
White Birch</t>
        </r>
      </text>
    </comment>
    <comment ref="Q42" authorId="0" shapeId="0" xr:uid="{00000000-0006-0000-0700-0000B0010000}">
      <text>
        <r>
          <rPr>
            <sz val="8"/>
            <color indexed="81"/>
            <rFont val="Tahoma"/>
            <family val="2"/>
          </rPr>
          <t>When
 Standard or Common 
is selected the 
Pelmet Colour 
must be entered.</t>
        </r>
      </text>
    </comment>
    <comment ref="D43" authorId="0" shapeId="0" xr:uid="{00000000-0006-0000-0700-0000B1010000}">
      <text>
        <r>
          <rPr>
            <sz val="8"/>
            <color indexed="81"/>
            <rFont val="Tahoma"/>
            <family val="2"/>
          </rPr>
          <t>Fabric options are;
Amalfi
Como (Blockout)
Como (Translucent)
Florence
London
Maui
Milan
Pompeii
Rome (Blockout)
Rome (Translucent)
Sunscreen</t>
        </r>
      </text>
    </comment>
    <comment ref="E43" authorId="0" shapeId="0" xr:uid="{00000000-0006-0000-0700-0000B2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43" authorId="0" shapeId="0" xr:uid="{00000000-0006-0000-0700-0000B3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3" authorId="0" shapeId="0" xr:uid="{00000000-0006-0000-0700-0000B4010000}">
      <text>
        <r>
          <rPr>
            <sz val="8"/>
            <color indexed="81"/>
            <rFont val="Tahoma"/>
            <family val="2"/>
          </rPr>
          <t xml:space="preserve">Minimum Height/Drop is 500mm.
Maximum Height/Drop is 3000mm. </t>
        </r>
      </text>
    </comment>
    <comment ref="H43" authorId="0" shapeId="0" xr:uid="{00000000-0006-0000-0700-0000B5010000}">
      <text>
        <r>
          <rPr>
            <sz val="8"/>
            <color indexed="81"/>
            <rFont val="Tahoma"/>
            <family val="2"/>
          </rPr>
          <t xml:space="preserve">
Panel Quantities 
options;
2
3
4
5
6
7
9
Please note; 
Minimum Panel Width is 400mm.
Maximum Panel Width is 1000mm.</t>
        </r>
      </text>
    </comment>
    <comment ref="I43" authorId="0" shapeId="0" xr:uid="{00000000-0006-0000-0700-0000B6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43" authorId="0" shapeId="0" xr:uid="{00000000-0006-0000-0700-0000B7010000}">
      <text>
        <r>
          <rPr>
            <sz val="8"/>
            <color indexed="81"/>
            <rFont val="Tahoma"/>
            <family val="2"/>
          </rPr>
          <t>When selecting a
Corner or Bay 
Window Type, 
the 
CMB Corner WS 
or 
CMB Bay WS 
must be completed.</t>
        </r>
      </text>
    </comment>
    <comment ref="L43" authorId="0" shapeId="0" xr:uid="{00000000-0006-0000-0700-0000B8010000}">
      <text>
        <r>
          <rPr>
            <sz val="8"/>
            <color indexed="81"/>
            <rFont val="Tahoma"/>
            <family val="2"/>
          </rPr>
          <t>ACT 
Actual Measurements
You have made the allowances.
NAM
No Allowances Made 
The factory will make the deductions.</t>
        </r>
      </text>
    </comment>
    <comment ref="N43" authorId="0" shapeId="0" xr:uid="{00000000-0006-0000-0700-0000B9010000}">
      <text>
        <r>
          <rPr>
            <sz val="8"/>
            <color indexed="81"/>
            <rFont val="Tahoma"/>
            <family val="2"/>
          </rPr>
          <t>Track Colour options are;
Clear Anodised
Black
White
White Birch
Please note; 
All Blinds are supplied 
with a Clear Anodised Wand.</t>
        </r>
      </text>
    </comment>
    <comment ref="O43" authorId="0" shapeId="0" xr:uid="{00000000-0006-0000-0700-0000BA010000}">
      <text>
        <r>
          <rPr>
            <sz val="8"/>
            <color indexed="81"/>
            <rFont val="Tahoma"/>
            <family val="2"/>
          </rPr>
          <t xml:space="preserve">
Finish options;
Sewn In Pocket
Bottom Rail</t>
        </r>
      </text>
    </comment>
    <comment ref="P43" authorId="0" shapeId="0" xr:uid="{00000000-0006-0000-0700-0000BB010000}">
      <text>
        <r>
          <rPr>
            <sz val="8"/>
            <color indexed="81"/>
            <rFont val="Tahoma"/>
            <family val="2"/>
          </rPr>
          <t xml:space="preserve">
Bottom Rail Colour options;
Bright Silver
Clear Anodised
Metallic Black
Mocha
White
White Birch</t>
        </r>
      </text>
    </comment>
    <comment ref="Q43" authorId="0" shapeId="0" xr:uid="{00000000-0006-0000-0700-0000BC010000}">
      <text>
        <r>
          <rPr>
            <sz val="8"/>
            <color indexed="81"/>
            <rFont val="Tahoma"/>
            <family val="2"/>
          </rPr>
          <t>When
 Standard or Common 
is selected the 
Pelmet Colour 
must be entered.</t>
        </r>
      </text>
    </comment>
    <comment ref="D44" authorId="0" shapeId="0" xr:uid="{00000000-0006-0000-0700-0000BD010000}">
      <text>
        <r>
          <rPr>
            <sz val="8"/>
            <color indexed="81"/>
            <rFont val="Tahoma"/>
            <family val="2"/>
          </rPr>
          <t>Fabric options are;
Amalfi
Como (Blockout)
Como (Translucent)
Florence
London
Maui
Milan
Pompeii
Rome (Blockout)
Rome (Translucent)
Sunscreen</t>
        </r>
      </text>
    </comment>
    <comment ref="E44" authorId="0" shapeId="0" xr:uid="{00000000-0006-0000-0700-0000BE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44" authorId="0" shapeId="0" xr:uid="{00000000-0006-0000-0700-0000BF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4" authorId="0" shapeId="0" xr:uid="{00000000-0006-0000-0700-0000C0010000}">
      <text>
        <r>
          <rPr>
            <sz val="8"/>
            <color indexed="81"/>
            <rFont val="Tahoma"/>
            <family val="2"/>
          </rPr>
          <t xml:space="preserve">Minimum Height/Drop is 500mm.
Maximum Height/Drop is 3000mm. </t>
        </r>
      </text>
    </comment>
    <comment ref="H44" authorId="0" shapeId="0" xr:uid="{00000000-0006-0000-0700-0000C1010000}">
      <text>
        <r>
          <rPr>
            <sz val="8"/>
            <color indexed="81"/>
            <rFont val="Tahoma"/>
            <family val="2"/>
          </rPr>
          <t xml:space="preserve">
Panel Quantities 
options;
2
3
4
5
6
7
9
Please note; 
Minimum Panel Width is 400mm.
Maximum Panel Width is 1000mm.</t>
        </r>
      </text>
    </comment>
    <comment ref="I44" authorId="0" shapeId="0" xr:uid="{00000000-0006-0000-0700-0000C2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44" authorId="0" shapeId="0" xr:uid="{00000000-0006-0000-0700-0000C3010000}">
      <text>
        <r>
          <rPr>
            <sz val="8"/>
            <color indexed="81"/>
            <rFont val="Tahoma"/>
            <family val="2"/>
          </rPr>
          <t>When selecting a
Corner or Bay 
Window Type, 
the 
CMB Corner WS 
or 
CMB Bay WS 
must be completed.</t>
        </r>
      </text>
    </comment>
    <comment ref="L44" authorId="0" shapeId="0" xr:uid="{00000000-0006-0000-0700-0000C4010000}">
      <text>
        <r>
          <rPr>
            <sz val="8"/>
            <color indexed="81"/>
            <rFont val="Tahoma"/>
            <family val="2"/>
          </rPr>
          <t>ACT 
Actual Measurements
You have made the allowances.
NAM
No Allowances Made 
The factory will make the deductions.</t>
        </r>
      </text>
    </comment>
    <comment ref="N44" authorId="0" shapeId="0" xr:uid="{00000000-0006-0000-0700-0000C5010000}">
      <text>
        <r>
          <rPr>
            <sz val="8"/>
            <color indexed="81"/>
            <rFont val="Tahoma"/>
            <family val="2"/>
          </rPr>
          <t>Track Colour options are;
Clear Anodised
Black
White
White Birch
Please note; 
All Blinds are supplied 
with a Clear Anodised Wand.</t>
        </r>
      </text>
    </comment>
    <comment ref="O44" authorId="0" shapeId="0" xr:uid="{00000000-0006-0000-0700-0000C6010000}">
      <text>
        <r>
          <rPr>
            <sz val="8"/>
            <color indexed="81"/>
            <rFont val="Tahoma"/>
            <family val="2"/>
          </rPr>
          <t xml:space="preserve">
Finish options;
Sewn In Pocket
Bottom Rail</t>
        </r>
      </text>
    </comment>
    <comment ref="P44" authorId="0" shapeId="0" xr:uid="{00000000-0006-0000-0700-0000C7010000}">
      <text>
        <r>
          <rPr>
            <sz val="8"/>
            <color indexed="81"/>
            <rFont val="Tahoma"/>
            <family val="2"/>
          </rPr>
          <t xml:space="preserve">
Bottom Rail Colour options;
Bright Silver
Clear Anodised
Metallic Black
Mocha
White
White Birch</t>
        </r>
      </text>
    </comment>
    <comment ref="Q44" authorId="0" shapeId="0" xr:uid="{00000000-0006-0000-0700-0000C8010000}">
      <text>
        <r>
          <rPr>
            <sz val="8"/>
            <color indexed="81"/>
            <rFont val="Tahoma"/>
            <family val="2"/>
          </rPr>
          <t>When
 Standard or Common 
is selected the 
Pelmet Colour 
must be entered.</t>
        </r>
      </text>
    </comment>
    <comment ref="D45" authorId="0" shapeId="0" xr:uid="{00000000-0006-0000-0700-0000C9010000}">
      <text>
        <r>
          <rPr>
            <sz val="8"/>
            <color indexed="81"/>
            <rFont val="Tahoma"/>
            <family val="2"/>
          </rPr>
          <t>Fabric options are;
Amalfi
Como (Blockout)
Como (Translucent)
Florence
London
Maui
Milan
Pompeii
Rome (Blockout)
Rome (Translucent)
Sunscreen</t>
        </r>
      </text>
    </comment>
    <comment ref="E45" authorId="0" shapeId="0" xr:uid="{00000000-0006-0000-0700-0000CA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45" authorId="0" shapeId="0" xr:uid="{00000000-0006-0000-0700-0000CB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5" authorId="0" shapeId="0" xr:uid="{00000000-0006-0000-0700-0000CC010000}">
      <text>
        <r>
          <rPr>
            <sz val="8"/>
            <color indexed="81"/>
            <rFont val="Tahoma"/>
            <family val="2"/>
          </rPr>
          <t xml:space="preserve">Minimum Height/Drop is 500mm.
Maximum Height/Drop is 3000mm. </t>
        </r>
      </text>
    </comment>
    <comment ref="H45" authorId="0" shapeId="0" xr:uid="{00000000-0006-0000-0700-0000CD010000}">
      <text>
        <r>
          <rPr>
            <sz val="8"/>
            <color indexed="81"/>
            <rFont val="Tahoma"/>
            <family val="2"/>
          </rPr>
          <t xml:space="preserve">
Panel Quantities 
options;
2
3
4
5
6
7
9
Please note; 
Minimum Panel Width is 400mm.
Maximum Panel Width is 1000mm.</t>
        </r>
      </text>
    </comment>
    <comment ref="I45" authorId="0" shapeId="0" xr:uid="{00000000-0006-0000-0700-0000CE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45" authorId="0" shapeId="0" xr:uid="{00000000-0006-0000-0700-0000CF010000}">
      <text>
        <r>
          <rPr>
            <sz val="8"/>
            <color indexed="81"/>
            <rFont val="Tahoma"/>
            <family val="2"/>
          </rPr>
          <t>When selecting a
Corner or Bay 
Window Type, 
the 
CMB Corner WS 
or 
CMB Bay WS 
must be completed.</t>
        </r>
      </text>
    </comment>
    <comment ref="L45" authorId="0" shapeId="0" xr:uid="{00000000-0006-0000-0700-0000D0010000}">
      <text>
        <r>
          <rPr>
            <sz val="8"/>
            <color indexed="81"/>
            <rFont val="Tahoma"/>
            <family val="2"/>
          </rPr>
          <t>ACT 
Actual Measurements
You have made the allowances.
NAM
No Allowances Made 
The factory will make the deductions.</t>
        </r>
      </text>
    </comment>
    <comment ref="N45" authorId="0" shapeId="0" xr:uid="{00000000-0006-0000-0700-0000D1010000}">
      <text>
        <r>
          <rPr>
            <sz val="8"/>
            <color indexed="81"/>
            <rFont val="Tahoma"/>
            <family val="2"/>
          </rPr>
          <t>Track Colour options are;
Clear Anodised
Black
White
White Birch
Please note; 
All Blinds are supplied 
with a Clear Anodised Wand.</t>
        </r>
      </text>
    </comment>
    <comment ref="O45" authorId="0" shapeId="0" xr:uid="{00000000-0006-0000-0700-0000D2010000}">
      <text>
        <r>
          <rPr>
            <sz val="8"/>
            <color indexed="81"/>
            <rFont val="Tahoma"/>
            <family val="2"/>
          </rPr>
          <t xml:space="preserve">
Finish options;
Sewn In Pocket
Bottom Rail</t>
        </r>
      </text>
    </comment>
    <comment ref="P45" authorId="0" shapeId="0" xr:uid="{00000000-0006-0000-0700-0000D3010000}">
      <text>
        <r>
          <rPr>
            <sz val="8"/>
            <color indexed="81"/>
            <rFont val="Tahoma"/>
            <family val="2"/>
          </rPr>
          <t xml:space="preserve">
Bottom Rail Colour options;
Bright Silver
Clear Anodised
Metallic Black
Mocha
White
White Birch</t>
        </r>
      </text>
    </comment>
    <comment ref="Q45" authorId="0" shapeId="0" xr:uid="{00000000-0006-0000-0700-0000D4010000}">
      <text>
        <r>
          <rPr>
            <sz val="8"/>
            <color indexed="81"/>
            <rFont val="Tahoma"/>
            <family val="2"/>
          </rPr>
          <t>When
 Standard or Common 
is selected the 
Pelmet Colour 
must be entered.</t>
        </r>
      </text>
    </comment>
    <comment ref="D46" authorId="0" shapeId="0" xr:uid="{00000000-0006-0000-0700-0000D5010000}">
      <text>
        <r>
          <rPr>
            <sz val="8"/>
            <color indexed="81"/>
            <rFont val="Tahoma"/>
            <family val="2"/>
          </rPr>
          <t>Fabric options are;
Amalfi
Como (Blockout)
Como (Translucent)
Florence
London
Maui
Milan
Pompeii
Rome (Blockout)
Rome (Translucent)
Sunscreen</t>
        </r>
      </text>
    </comment>
    <comment ref="E46" authorId="0" shapeId="0" xr:uid="{00000000-0006-0000-0700-0000D6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46" authorId="0" shapeId="0" xr:uid="{00000000-0006-0000-0700-0000D7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6" authorId="0" shapeId="0" xr:uid="{00000000-0006-0000-0700-0000D8010000}">
      <text>
        <r>
          <rPr>
            <sz val="8"/>
            <color indexed="81"/>
            <rFont val="Tahoma"/>
            <family val="2"/>
          </rPr>
          <t xml:space="preserve">Minimum Height/Drop is 500mm.
Maximum Height/Drop is 3000mm. </t>
        </r>
      </text>
    </comment>
    <comment ref="H46" authorId="0" shapeId="0" xr:uid="{00000000-0006-0000-0700-0000D9010000}">
      <text>
        <r>
          <rPr>
            <sz val="8"/>
            <color indexed="81"/>
            <rFont val="Tahoma"/>
            <family val="2"/>
          </rPr>
          <t xml:space="preserve">
Panel Quantities 
options;
2
3
4
5
6
7
9
Please note; 
Minimum Panel Width is 400mm.
Maximum Panel Width is 1000mm.</t>
        </r>
      </text>
    </comment>
    <comment ref="I46" authorId="0" shapeId="0" xr:uid="{00000000-0006-0000-0700-0000DA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46" authorId="0" shapeId="0" xr:uid="{00000000-0006-0000-0700-0000DB010000}">
      <text>
        <r>
          <rPr>
            <sz val="8"/>
            <color indexed="81"/>
            <rFont val="Tahoma"/>
            <family val="2"/>
          </rPr>
          <t>When selecting a
Corner or Bay 
Window Type, 
the 
CMB Corner WS 
or 
CMB Bay WS 
must be completed.</t>
        </r>
      </text>
    </comment>
    <comment ref="L46" authorId="0" shapeId="0" xr:uid="{00000000-0006-0000-0700-0000DC010000}">
      <text>
        <r>
          <rPr>
            <sz val="8"/>
            <color indexed="81"/>
            <rFont val="Tahoma"/>
            <family val="2"/>
          </rPr>
          <t>ACT 
Actual Measurements
You have made the allowances.
NAM
No Allowances Made 
The factory will make the deductions.</t>
        </r>
      </text>
    </comment>
    <comment ref="N46" authorId="0" shapeId="0" xr:uid="{00000000-0006-0000-0700-0000DD010000}">
      <text>
        <r>
          <rPr>
            <sz val="8"/>
            <color indexed="81"/>
            <rFont val="Tahoma"/>
            <family val="2"/>
          </rPr>
          <t>Track Colour options are;
Clear Anodised
Black
White
White Birch
Please note; 
All Blinds are supplied 
with a Clear Anodised Wand.</t>
        </r>
      </text>
    </comment>
    <comment ref="O46" authorId="0" shapeId="0" xr:uid="{00000000-0006-0000-0700-0000DE010000}">
      <text>
        <r>
          <rPr>
            <sz val="8"/>
            <color indexed="81"/>
            <rFont val="Tahoma"/>
            <family val="2"/>
          </rPr>
          <t xml:space="preserve">
Finish options;
Sewn In Pocket
Bottom Rail</t>
        </r>
      </text>
    </comment>
    <comment ref="P46" authorId="0" shapeId="0" xr:uid="{00000000-0006-0000-0700-0000DF010000}">
      <text>
        <r>
          <rPr>
            <sz val="8"/>
            <color indexed="81"/>
            <rFont val="Tahoma"/>
            <family val="2"/>
          </rPr>
          <t xml:space="preserve">
Bottom Rail Colour options;
Bright Silver
Clear Anodised
Metallic Black
Mocha
White
White Birch</t>
        </r>
      </text>
    </comment>
    <comment ref="Q46" authorId="0" shapeId="0" xr:uid="{00000000-0006-0000-0700-0000E0010000}">
      <text>
        <r>
          <rPr>
            <sz val="8"/>
            <color indexed="81"/>
            <rFont val="Tahoma"/>
            <family val="2"/>
          </rPr>
          <t>When
 Standard or Common 
is selected the 
Pelmet Colour 
must be entered.</t>
        </r>
      </text>
    </comment>
    <comment ref="D47" authorId="0" shapeId="0" xr:uid="{00000000-0006-0000-0700-0000E1010000}">
      <text>
        <r>
          <rPr>
            <sz val="8"/>
            <color indexed="81"/>
            <rFont val="Tahoma"/>
            <family val="2"/>
          </rPr>
          <t>Fabric options are;
Amalfi
Como (Blockout)
Como (Translucent)
Florence
London
Maui
Milan
Pompeii
Rome (Blockout)
Rome (Translucent)
Sunscreen</t>
        </r>
      </text>
    </comment>
    <comment ref="E47" authorId="0" shapeId="0" xr:uid="{00000000-0006-0000-0700-0000E2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47" authorId="0" shapeId="0" xr:uid="{00000000-0006-0000-0700-0000E3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7" authorId="0" shapeId="0" xr:uid="{00000000-0006-0000-0700-0000E4010000}">
      <text>
        <r>
          <rPr>
            <sz val="8"/>
            <color indexed="81"/>
            <rFont val="Tahoma"/>
            <family val="2"/>
          </rPr>
          <t xml:space="preserve">Minimum Height/Drop is 500mm.
Maximum Height/Drop is 3000mm. </t>
        </r>
      </text>
    </comment>
    <comment ref="H47" authorId="0" shapeId="0" xr:uid="{00000000-0006-0000-0700-0000E5010000}">
      <text>
        <r>
          <rPr>
            <sz val="8"/>
            <color indexed="81"/>
            <rFont val="Tahoma"/>
            <family val="2"/>
          </rPr>
          <t xml:space="preserve">
Panel Quantities 
options;
2
3
4
5
6
7
9
Please note; 
Minimum Panel Width is 400mm.
Maximum Panel Width is 1000mm.</t>
        </r>
      </text>
    </comment>
    <comment ref="I47" authorId="0" shapeId="0" xr:uid="{00000000-0006-0000-0700-0000E6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47" authorId="0" shapeId="0" xr:uid="{00000000-0006-0000-0700-0000E7010000}">
      <text>
        <r>
          <rPr>
            <sz val="8"/>
            <color indexed="81"/>
            <rFont val="Tahoma"/>
            <family val="2"/>
          </rPr>
          <t>When selecting a
Corner or Bay 
Window Type, 
the 
CMB Corner WS 
or 
CMB Bay WS 
must be completed.</t>
        </r>
      </text>
    </comment>
    <comment ref="L47" authorId="0" shapeId="0" xr:uid="{00000000-0006-0000-0700-0000E8010000}">
      <text>
        <r>
          <rPr>
            <sz val="8"/>
            <color indexed="81"/>
            <rFont val="Tahoma"/>
            <family val="2"/>
          </rPr>
          <t>ACT 
Actual Measurements
You have made the allowances.
NAM
No Allowances Made 
The factory will make the deductions.</t>
        </r>
      </text>
    </comment>
    <comment ref="N47" authorId="0" shapeId="0" xr:uid="{00000000-0006-0000-0700-0000E9010000}">
      <text>
        <r>
          <rPr>
            <sz val="8"/>
            <color indexed="81"/>
            <rFont val="Tahoma"/>
            <family val="2"/>
          </rPr>
          <t>Track Colour options are;
Clear Anodised
Black
White
White Birch
Please note; 
All Blinds are supplied 
with a Clear Anodised Wand.</t>
        </r>
      </text>
    </comment>
    <comment ref="O47" authorId="0" shapeId="0" xr:uid="{00000000-0006-0000-0700-0000EA010000}">
      <text>
        <r>
          <rPr>
            <sz val="8"/>
            <color indexed="81"/>
            <rFont val="Tahoma"/>
            <family val="2"/>
          </rPr>
          <t xml:space="preserve">
Finish options;
Sewn In Pocket
Bottom Rail</t>
        </r>
      </text>
    </comment>
    <comment ref="P47" authorId="0" shapeId="0" xr:uid="{00000000-0006-0000-0700-0000EB010000}">
      <text>
        <r>
          <rPr>
            <sz val="8"/>
            <color indexed="81"/>
            <rFont val="Tahoma"/>
            <family val="2"/>
          </rPr>
          <t xml:space="preserve">
Bottom Rail Colour options;
Bright Silver
Clear Anodised
Metallic Black
Mocha
White
White Birch</t>
        </r>
      </text>
    </comment>
    <comment ref="Q47" authorId="0" shapeId="0" xr:uid="{00000000-0006-0000-0700-0000EC010000}">
      <text>
        <r>
          <rPr>
            <sz val="8"/>
            <color indexed="81"/>
            <rFont val="Tahoma"/>
            <family val="2"/>
          </rPr>
          <t>When
 Standard or Common 
is selected the 
Pelmet Colour 
must be entered.</t>
        </r>
      </text>
    </comment>
    <comment ref="D48" authorId="0" shapeId="0" xr:uid="{00000000-0006-0000-0700-0000ED010000}">
      <text>
        <r>
          <rPr>
            <sz val="8"/>
            <color indexed="81"/>
            <rFont val="Tahoma"/>
            <family val="2"/>
          </rPr>
          <t>Fabric options are;
Amalfi
Como (Blockout)
Como (Translucent)
Florence
London
Maui
Milan
Pompeii
Rome (Blockout)
Rome (Translucent)
Sunscreen</t>
        </r>
      </text>
    </comment>
    <comment ref="E48" authorId="0" shapeId="0" xr:uid="{00000000-0006-0000-0700-0000EE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48" authorId="0" shapeId="0" xr:uid="{00000000-0006-0000-0700-0000EF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8" authorId="0" shapeId="0" xr:uid="{00000000-0006-0000-0700-0000F0010000}">
      <text>
        <r>
          <rPr>
            <sz val="8"/>
            <color indexed="81"/>
            <rFont val="Tahoma"/>
            <family val="2"/>
          </rPr>
          <t xml:space="preserve">Minimum Height/Drop is 500mm.
Maximum Height/Drop is 3000mm. </t>
        </r>
      </text>
    </comment>
    <comment ref="H48" authorId="0" shapeId="0" xr:uid="{00000000-0006-0000-0700-0000F1010000}">
      <text>
        <r>
          <rPr>
            <sz val="8"/>
            <color indexed="81"/>
            <rFont val="Tahoma"/>
            <family val="2"/>
          </rPr>
          <t xml:space="preserve">
Panel Quantities 
options;
2
3
4
5
6
7
9
Please note; 
Minimum Panel Width is 400mm.
Maximum Panel Width is 1000mm.</t>
        </r>
      </text>
    </comment>
    <comment ref="I48" authorId="0" shapeId="0" xr:uid="{00000000-0006-0000-0700-0000F2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48" authorId="0" shapeId="0" xr:uid="{00000000-0006-0000-0700-0000F3010000}">
      <text>
        <r>
          <rPr>
            <sz val="8"/>
            <color indexed="81"/>
            <rFont val="Tahoma"/>
            <family val="2"/>
          </rPr>
          <t>When selecting a
Corner or Bay 
Window Type, 
the 
CMB Corner WS 
or 
CMB Bay WS 
must be completed.</t>
        </r>
      </text>
    </comment>
    <comment ref="L48" authorId="0" shapeId="0" xr:uid="{00000000-0006-0000-0700-0000F4010000}">
      <text>
        <r>
          <rPr>
            <sz val="8"/>
            <color indexed="81"/>
            <rFont val="Tahoma"/>
            <family val="2"/>
          </rPr>
          <t>ACT 
Actual Measurements
You have made the allowances.
NAM
No Allowances Made 
The factory will make the deductions.</t>
        </r>
      </text>
    </comment>
    <comment ref="N48" authorId="0" shapeId="0" xr:uid="{00000000-0006-0000-0700-0000F5010000}">
      <text>
        <r>
          <rPr>
            <sz val="8"/>
            <color indexed="81"/>
            <rFont val="Tahoma"/>
            <family val="2"/>
          </rPr>
          <t>Track Colour options are;
Clear Anodised
Black
White
White Birch
Please note; 
All Blinds are supplied 
with a Clear Anodised Wand.</t>
        </r>
      </text>
    </comment>
    <comment ref="O48" authorId="0" shapeId="0" xr:uid="{00000000-0006-0000-0700-0000F6010000}">
      <text>
        <r>
          <rPr>
            <sz val="8"/>
            <color indexed="81"/>
            <rFont val="Tahoma"/>
            <family val="2"/>
          </rPr>
          <t xml:space="preserve">
Finish options;
Sewn In Pocket
Bottom Rail</t>
        </r>
      </text>
    </comment>
    <comment ref="P48" authorId="0" shapeId="0" xr:uid="{00000000-0006-0000-0700-0000F7010000}">
      <text>
        <r>
          <rPr>
            <sz val="8"/>
            <color indexed="81"/>
            <rFont val="Tahoma"/>
            <family val="2"/>
          </rPr>
          <t xml:space="preserve">
Bottom Rail Colour options;
Bright Silver
Clear Anodised
Metallic Black
Mocha
White
White Birch</t>
        </r>
      </text>
    </comment>
    <comment ref="Q48" authorId="0" shapeId="0" xr:uid="{00000000-0006-0000-0700-0000F8010000}">
      <text>
        <r>
          <rPr>
            <sz val="8"/>
            <color indexed="81"/>
            <rFont val="Tahoma"/>
            <family val="2"/>
          </rPr>
          <t>When
 Standard or Common 
is selected the 
Pelmet Colour 
must be entered.</t>
        </r>
      </text>
    </comment>
    <comment ref="D49" authorId="0" shapeId="0" xr:uid="{00000000-0006-0000-0700-0000F9010000}">
      <text>
        <r>
          <rPr>
            <sz val="8"/>
            <color indexed="81"/>
            <rFont val="Tahoma"/>
            <family val="2"/>
          </rPr>
          <t>Fabric options are;
Amalfi
Como (Blockout)
Como (Translucent)
Florence
London
Maui
Milan
Pompeii
Rome (Blockout)
Rome (Translucent)
Sunscreen</t>
        </r>
      </text>
    </comment>
    <comment ref="E49" authorId="0" shapeId="0" xr:uid="{00000000-0006-0000-0700-0000FA01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49" authorId="0" shapeId="0" xr:uid="{00000000-0006-0000-0700-0000FB01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49" authorId="0" shapeId="0" xr:uid="{00000000-0006-0000-0700-0000FC010000}">
      <text>
        <r>
          <rPr>
            <sz val="8"/>
            <color indexed="81"/>
            <rFont val="Tahoma"/>
            <family val="2"/>
          </rPr>
          <t xml:space="preserve">Minimum Height/Drop is 500mm.
Maximum Height/Drop is 3000mm. </t>
        </r>
      </text>
    </comment>
    <comment ref="H49" authorId="0" shapeId="0" xr:uid="{00000000-0006-0000-0700-0000FD010000}">
      <text>
        <r>
          <rPr>
            <sz val="8"/>
            <color indexed="81"/>
            <rFont val="Tahoma"/>
            <family val="2"/>
          </rPr>
          <t xml:space="preserve">
Panel Quantities 
options;
2
3
4
5
6
7
9
Please note; 
Minimum Panel Width is 400mm.
Maximum Panel Width is 1000mm.</t>
        </r>
      </text>
    </comment>
    <comment ref="I49" authorId="0" shapeId="0" xr:uid="{00000000-0006-0000-0700-0000FE01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49" authorId="0" shapeId="0" xr:uid="{00000000-0006-0000-0700-0000FF010000}">
      <text>
        <r>
          <rPr>
            <sz val="8"/>
            <color indexed="81"/>
            <rFont val="Tahoma"/>
            <family val="2"/>
          </rPr>
          <t>When selecting a
Corner or Bay 
Window Type, 
the 
CMB Corner WS 
or 
CMB Bay WS 
must be completed.</t>
        </r>
      </text>
    </comment>
    <comment ref="L49" authorId="0" shapeId="0" xr:uid="{00000000-0006-0000-0700-000000020000}">
      <text>
        <r>
          <rPr>
            <sz val="8"/>
            <color indexed="81"/>
            <rFont val="Tahoma"/>
            <family val="2"/>
          </rPr>
          <t>ACT 
Actual Measurements
You have made the allowances.
NAM
No Allowances Made 
The factory will make the deductions.</t>
        </r>
      </text>
    </comment>
    <comment ref="N49" authorId="0" shapeId="0" xr:uid="{00000000-0006-0000-0700-000001020000}">
      <text>
        <r>
          <rPr>
            <sz val="8"/>
            <color indexed="81"/>
            <rFont val="Tahoma"/>
            <family val="2"/>
          </rPr>
          <t>Track Colour options are;
Clear Anodised
Black
White
White Birch
Please note; 
All Blinds are supplied 
with a Clear Anodised Wand.</t>
        </r>
      </text>
    </comment>
    <comment ref="O49" authorId="0" shapeId="0" xr:uid="{00000000-0006-0000-0700-000002020000}">
      <text>
        <r>
          <rPr>
            <sz val="8"/>
            <color indexed="81"/>
            <rFont val="Tahoma"/>
            <family val="2"/>
          </rPr>
          <t xml:space="preserve">
Finish options;
Sewn In Pocket
Bottom Rail</t>
        </r>
      </text>
    </comment>
    <comment ref="P49" authorId="0" shapeId="0" xr:uid="{00000000-0006-0000-0700-000003020000}">
      <text>
        <r>
          <rPr>
            <sz val="8"/>
            <color indexed="81"/>
            <rFont val="Tahoma"/>
            <family val="2"/>
          </rPr>
          <t xml:space="preserve">
Bottom Rail Colour options;
Bright Silver
Clear Anodised
Metallic Black
Mocha
White
White Birch</t>
        </r>
      </text>
    </comment>
    <comment ref="Q49" authorId="0" shapeId="0" xr:uid="{00000000-0006-0000-0700-000004020000}">
      <text>
        <r>
          <rPr>
            <sz val="8"/>
            <color indexed="81"/>
            <rFont val="Tahoma"/>
            <family val="2"/>
          </rPr>
          <t>When
 Standard or Common 
is selected the 
Pelmet Colour 
must be entered.</t>
        </r>
      </text>
    </comment>
    <comment ref="D50" authorId="0" shapeId="0" xr:uid="{00000000-0006-0000-0700-000005020000}">
      <text>
        <r>
          <rPr>
            <sz val="8"/>
            <color indexed="81"/>
            <rFont val="Tahoma"/>
            <family val="2"/>
          </rPr>
          <t>Fabric options are;
Amalfi
Como (Blockout)
Como (Translucent)
Florence
London
Maui
Milan
Pompeii
Rome (Blockout)
Rome (Translucent)
Sunscreen</t>
        </r>
      </text>
    </comment>
    <comment ref="E50" authorId="0" shapeId="0" xr:uid="{00000000-0006-0000-0700-00000602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50" authorId="0" shapeId="0" xr:uid="{00000000-0006-0000-0700-00000702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0" authorId="0" shapeId="0" xr:uid="{00000000-0006-0000-0700-000008020000}">
      <text>
        <r>
          <rPr>
            <sz val="8"/>
            <color indexed="81"/>
            <rFont val="Tahoma"/>
            <family val="2"/>
          </rPr>
          <t xml:space="preserve">Minimum Height/Drop is 500mm.
Maximum Height/Drop is 3000mm. </t>
        </r>
      </text>
    </comment>
    <comment ref="H50" authorId="0" shapeId="0" xr:uid="{00000000-0006-0000-0700-000009020000}">
      <text>
        <r>
          <rPr>
            <sz val="8"/>
            <color indexed="81"/>
            <rFont val="Tahoma"/>
            <family val="2"/>
          </rPr>
          <t xml:space="preserve">
Panel Quantities 
options;
2
3
4
5
6
7
9
Please note; 
Minimum Panel Width is 400mm.
Maximum Panel Width is 1000mm.</t>
        </r>
      </text>
    </comment>
    <comment ref="I50" authorId="0" shapeId="0" xr:uid="{00000000-0006-0000-0700-00000A02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50" authorId="0" shapeId="0" xr:uid="{00000000-0006-0000-0700-00000B020000}">
      <text>
        <r>
          <rPr>
            <sz val="8"/>
            <color indexed="81"/>
            <rFont val="Tahoma"/>
            <family val="2"/>
          </rPr>
          <t>When selecting a
Corner or Bay 
Window Type, 
the 
CMB Corner WS 
or 
CMB Bay WS 
must be completed.</t>
        </r>
      </text>
    </comment>
    <comment ref="L50" authorId="0" shapeId="0" xr:uid="{00000000-0006-0000-0700-00000C020000}">
      <text>
        <r>
          <rPr>
            <sz val="8"/>
            <color indexed="81"/>
            <rFont val="Tahoma"/>
            <family val="2"/>
          </rPr>
          <t>ACT 
Actual Measurements
You have made the allowances.
NAM
No Allowances Made 
The factory will make the deductions.</t>
        </r>
      </text>
    </comment>
    <comment ref="N50" authorId="0" shapeId="0" xr:uid="{00000000-0006-0000-0700-00000D020000}">
      <text>
        <r>
          <rPr>
            <sz val="8"/>
            <color indexed="81"/>
            <rFont val="Tahoma"/>
            <family val="2"/>
          </rPr>
          <t>Track Colour options are;
Clear Anodised
Black
White
White Birch
Please note; 
All Blinds are supplied 
with a Clear Anodised Wand.</t>
        </r>
      </text>
    </comment>
    <comment ref="O50" authorId="0" shapeId="0" xr:uid="{00000000-0006-0000-0700-00000E020000}">
      <text>
        <r>
          <rPr>
            <sz val="8"/>
            <color indexed="81"/>
            <rFont val="Tahoma"/>
            <family val="2"/>
          </rPr>
          <t xml:space="preserve">
Finish options;
Sewn In Pocket
Bottom Rail</t>
        </r>
      </text>
    </comment>
    <comment ref="P50" authorId="0" shapeId="0" xr:uid="{00000000-0006-0000-0700-00000F020000}">
      <text>
        <r>
          <rPr>
            <sz val="8"/>
            <color indexed="81"/>
            <rFont val="Tahoma"/>
            <family val="2"/>
          </rPr>
          <t xml:space="preserve">
Bottom Rail Colour options;
Bright Silver
Clear Anodised
Metallic Black
Mocha
White
White Birch</t>
        </r>
      </text>
    </comment>
    <comment ref="Q50" authorId="0" shapeId="0" xr:uid="{00000000-0006-0000-0700-000010020000}">
      <text>
        <r>
          <rPr>
            <sz val="8"/>
            <color indexed="81"/>
            <rFont val="Tahoma"/>
            <family val="2"/>
          </rPr>
          <t>When
 Standard or Common 
is selected the 
Pelmet Colour 
must be entered.</t>
        </r>
      </text>
    </comment>
    <comment ref="D51" authorId="0" shapeId="0" xr:uid="{00000000-0006-0000-0700-000011020000}">
      <text>
        <r>
          <rPr>
            <sz val="8"/>
            <color indexed="81"/>
            <rFont val="Tahoma"/>
            <family val="2"/>
          </rPr>
          <t>Fabric options are;
Amalfi
Como (Blockout)
Como (Translucent)
Florence
London
Maui
Milan
Pompeii
Rome (Blockout)
Rome (Translucent)
Sunscreen</t>
        </r>
      </text>
    </comment>
    <comment ref="E51" authorId="0" shapeId="0" xr:uid="{00000000-0006-0000-0700-00001202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51" authorId="0" shapeId="0" xr:uid="{00000000-0006-0000-0700-00001302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1" authorId="0" shapeId="0" xr:uid="{00000000-0006-0000-0700-000014020000}">
      <text>
        <r>
          <rPr>
            <sz val="8"/>
            <color indexed="81"/>
            <rFont val="Tahoma"/>
            <family val="2"/>
          </rPr>
          <t xml:space="preserve">Minimum Height/Drop is 500mm.
Maximum Height/Drop is 3000mm. </t>
        </r>
      </text>
    </comment>
    <comment ref="H51" authorId="0" shapeId="0" xr:uid="{00000000-0006-0000-0700-000015020000}">
      <text>
        <r>
          <rPr>
            <sz val="8"/>
            <color indexed="81"/>
            <rFont val="Tahoma"/>
            <family val="2"/>
          </rPr>
          <t xml:space="preserve">
Panel Quantities 
options;
2
3
4
5
6
7
9
Please note; 
Minimum Panel Width is 400mm.
Maximum Panel Width is 1000mm.</t>
        </r>
      </text>
    </comment>
    <comment ref="I51" authorId="0" shapeId="0" xr:uid="{00000000-0006-0000-0700-00001602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51" authorId="0" shapeId="0" xr:uid="{00000000-0006-0000-0700-000017020000}">
      <text>
        <r>
          <rPr>
            <sz val="8"/>
            <color indexed="81"/>
            <rFont val="Tahoma"/>
            <family val="2"/>
          </rPr>
          <t>When selecting a
Corner or Bay 
Window Type, 
the 
CMB Corner WS 
or 
CMB Bay WS 
must be completed.</t>
        </r>
      </text>
    </comment>
    <comment ref="L51" authorId="0" shapeId="0" xr:uid="{00000000-0006-0000-0700-000018020000}">
      <text>
        <r>
          <rPr>
            <sz val="8"/>
            <color indexed="81"/>
            <rFont val="Tahoma"/>
            <family val="2"/>
          </rPr>
          <t>ACT 
Actual Measurements
You have made the allowances.
NAM
No Allowances Made 
The factory will make the deductions.</t>
        </r>
      </text>
    </comment>
    <comment ref="N51" authorId="0" shapeId="0" xr:uid="{00000000-0006-0000-0700-000019020000}">
      <text>
        <r>
          <rPr>
            <sz val="8"/>
            <color indexed="81"/>
            <rFont val="Tahoma"/>
            <family val="2"/>
          </rPr>
          <t>Track Colour options are;
Clear Anodised
Black
White
White Birch
Please note; 
All Blinds are supplied 
with a Clear Anodised Wand.</t>
        </r>
      </text>
    </comment>
    <comment ref="O51" authorId="0" shapeId="0" xr:uid="{00000000-0006-0000-0700-00001A020000}">
      <text>
        <r>
          <rPr>
            <sz val="8"/>
            <color indexed="81"/>
            <rFont val="Tahoma"/>
            <family val="2"/>
          </rPr>
          <t xml:space="preserve">
Finish options;
Sewn In Pocket
Bottom Rail</t>
        </r>
      </text>
    </comment>
    <comment ref="P51" authorId="0" shapeId="0" xr:uid="{00000000-0006-0000-0700-00001B020000}">
      <text>
        <r>
          <rPr>
            <sz val="8"/>
            <color indexed="81"/>
            <rFont val="Tahoma"/>
            <family val="2"/>
          </rPr>
          <t xml:space="preserve">
Bottom Rail Colour options;
Bright Silver
Clear Anodised
Metallic Black
Mocha
White
White Birch</t>
        </r>
      </text>
    </comment>
    <comment ref="Q51" authorId="0" shapeId="0" xr:uid="{00000000-0006-0000-0700-00001C020000}">
      <text>
        <r>
          <rPr>
            <sz val="8"/>
            <color indexed="81"/>
            <rFont val="Tahoma"/>
            <family val="2"/>
          </rPr>
          <t>When
 Standard or Common 
is selected the 
Pelmet Colour 
must be entered.</t>
        </r>
      </text>
    </comment>
    <comment ref="D52" authorId="0" shapeId="0" xr:uid="{00000000-0006-0000-0700-00001D020000}">
      <text>
        <r>
          <rPr>
            <sz val="8"/>
            <color indexed="81"/>
            <rFont val="Tahoma"/>
            <family val="2"/>
          </rPr>
          <t>Fabric options are;
Amalfi
Como (Blockout)
Como (Translucent)
Florence
London
Maui
Milan
Pompeii
Rome (Blockout)
Rome (Translucent)
Sunscreen</t>
        </r>
      </text>
    </comment>
    <comment ref="E52" authorId="0" shapeId="0" xr:uid="{00000000-0006-0000-0700-00001E02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52" authorId="0" shapeId="0" xr:uid="{00000000-0006-0000-0700-00001F02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2" authorId="0" shapeId="0" xr:uid="{00000000-0006-0000-0700-000020020000}">
      <text>
        <r>
          <rPr>
            <sz val="8"/>
            <color indexed="81"/>
            <rFont val="Tahoma"/>
            <family val="2"/>
          </rPr>
          <t xml:space="preserve">Minimum Height/Drop is 500mm.
Maximum Height/Drop is 3000mm. </t>
        </r>
      </text>
    </comment>
    <comment ref="H52" authorId="0" shapeId="0" xr:uid="{00000000-0006-0000-0700-000021020000}">
      <text>
        <r>
          <rPr>
            <sz val="8"/>
            <color indexed="81"/>
            <rFont val="Tahoma"/>
            <family val="2"/>
          </rPr>
          <t xml:space="preserve">
Panel Quantities 
options;
2
3
4
5
6
7
9
Please note; 
Minimum Panel Width is 400mm.
Maximum Panel Width is 1000mm.</t>
        </r>
      </text>
    </comment>
    <comment ref="I52" authorId="0" shapeId="0" xr:uid="{00000000-0006-0000-0700-00002202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52" authorId="0" shapeId="0" xr:uid="{00000000-0006-0000-0700-000023020000}">
      <text>
        <r>
          <rPr>
            <sz val="8"/>
            <color indexed="81"/>
            <rFont val="Tahoma"/>
            <family val="2"/>
          </rPr>
          <t>When selecting a
Corner or Bay 
Window Type, 
the 
CMB Corner WS 
or 
CMB Bay WS 
must be completed.</t>
        </r>
      </text>
    </comment>
    <comment ref="L52" authorId="0" shapeId="0" xr:uid="{00000000-0006-0000-0700-000024020000}">
      <text>
        <r>
          <rPr>
            <sz val="8"/>
            <color indexed="81"/>
            <rFont val="Tahoma"/>
            <family val="2"/>
          </rPr>
          <t>ACT 
Actual Measurements
You have made the allowances.
NAM
No Allowances Made 
The factory will make the deductions.</t>
        </r>
      </text>
    </comment>
    <comment ref="N52" authorId="0" shapeId="0" xr:uid="{00000000-0006-0000-0700-000025020000}">
      <text>
        <r>
          <rPr>
            <sz val="8"/>
            <color indexed="81"/>
            <rFont val="Tahoma"/>
            <family val="2"/>
          </rPr>
          <t>Track Colour options are;
Clear Anodised
Black
White
White Birch
Please note; 
All Blinds are supplied 
with a Clear Anodised Wand.</t>
        </r>
      </text>
    </comment>
    <comment ref="O52" authorId="0" shapeId="0" xr:uid="{00000000-0006-0000-0700-000026020000}">
      <text>
        <r>
          <rPr>
            <sz val="8"/>
            <color indexed="81"/>
            <rFont val="Tahoma"/>
            <family val="2"/>
          </rPr>
          <t xml:space="preserve">
Finish options;
Sewn In Pocket
Bottom Rail</t>
        </r>
      </text>
    </comment>
    <comment ref="P52" authorId="0" shapeId="0" xr:uid="{00000000-0006-0000-0700-000027020000}">
      <text>
        <r>
          <rPr>
            <sz val="8"/>
            <color indexed="81"/>
            <rFont val="Tahoma"/>
            <family val="2"/>
          </rPr>
          <t xml:space="preserve">
Bottom Rail Colour options;
Bright Silver
Clear Anodised
Metallic Black
Mocha
White
White Birch</t>
        </r>
      </text>
    </comment>
    <comment ref="Q52" authorId="0" shapeId="0" xr:uid="{00000000-0006-0000-0700-000028020000}">
      <text>
        <r>
          <rPr>
            <sz val="8"/>
            <color indexed="81"/>
            <rFont val="Tahoma"/>
            <family val="2"/>
          </rPr>
          <t>When
 Standard or Common 
is selected the 
Pelmet Colour 
must be entered.</t>
        </r>
      </text>
    </comment>
    <comment ref="D53" authorId="0" shapeId="0" xr:uid="{00000000-0006-0000-0700-000029020000}">
      <text>
        <r>
          <rPr>
            <sz val="8"/>
            <color indexed="81"/>
            <rFont val="Tahoma"/>
            <family val="2"/>
          </rPr>
          <t>Fabric options are;
Amalfi
Como (Blockout)
Como (Translucent)
Florence
London
Maui
Milan
Pompeii
Rome (Blockout)
Rome (Translucent)
Sunscreen</t>
        </r>
      </text>
    </comment>
    <comment ref="E53" authorId="0" shapeId="0" xr:uid="{00000000-0006-0000-0700-00002A02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53" authorId="0" shapeId="0" xr:uid="{00000000-0006-0000-0700-00002B02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3" authorId="0" shapeId="0" xr:uid="{00000000-0006-0000-0700-00002C020000}">
      <text>
        <r>
          <rPr>
            <sz val="8"/>
            <color indexed="81"/>
            <rFont val="Tahoma"/>
            <family val="2"/>
          </rPr>
          <t xml:space="preserve">Minimum Height/Drop is 500mm.
Maximum Height/Drop is 3000mm. </t>
        </r>
      </text>
    </comment>
    <comment ref="H53" authorId="0" shapeId="0" xr:uid="{00000000-0006-0000-0700-00002D020000}">
      <text>
        <r>
          <rPr>
            <sz val="8"/>
            <color indexed="81"/>
            <rFont val="Tahoma"/>
            <family val="2"/>
          </rPr>
          <t xml:space="preserve">
Panel Quantities 
options;
2
3
4
5
6
7
9
Please note; 
Minimum Panel Width is 400mm.
Maximum Panel Width is 1000mm.</t>
        </r>
      </text>
    </comment>
    <comment ref="I53" authorId="0" shapeId="0" xr:uid="{00000000-0006-0000-0700-00002E02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53" authorId="0" shapeId="0" xr:uid="{00000000-0006-0000-0700-00002F020000}">
      <text>
        <r>
          <rPr>
            <sz val="8"/>
            <color indexed="81"/>
            <rFont val="Tahoma"/>
            <family val="2"/>
          </rPr>
          <t>When selecting a
Corner or Bay 
Window Type, 
the 
CMB Corner WS 
or 
CMB Bay WS 
must be completed.</t>
        </r>
      </text>
    </comment>
    <comment ref="L53" authorId="0" shapeId="0" xr:uid="{00000000-0006-0000-0700-000030020000}">
      <text>
        <r>
          <rPr>
            <sz val="8"/>
            <color indexed="81"/>
            <rFont val="Tahoma"/>
            <family val="2"/>
          </rPr>
          <t>ACT 
Actual Measurements
You have made the allowances.
NAM
No Allowances Made 
The factory will make the deductions.</t>
        </r>
      </text>
    </comment>
    <comment ref="N53" authorId="0" shapeId="0" xr:uid="{00000000-0006-0000-0700-000031020000}">
      <text>
        <r>
          <rPr>
            <sz val="8"/>
            <color indexed="81"/>
            <rFont val="Tahoma"/>
            <family val="2"/>
          </rPr>
          <t>Track Colour options are;
Clear Anodised
Black
White
White Birch
Please note; 
All Blinds are supplied 
with a Clear Anodised Wand.</t>
        </r>
      </text>
    </comment>
    <comment ref="O53" authorId="0" shapeId="0" xr:uid="{00000000-0006-0000-0700-000032020000}">
      <text>
        <r>
          <rPr>
            <sz val="8"/>
            <color indexed="81"/>
            <rFont val="Tahoma"/>
            <family val="2"/>
          </rPr>
          <t xml:space="preserve">
Finish options;
Sewn In Pocket
Bottom Rail</t>
        </r>
      </text>
    </comment>
    <comment ref="P53" authorId="0" shapeId="0" xr:uid="{00000000-0006-0000-0700-000033020000}">
      <text>
        <r>
          <rPr>
            <sz val="8"/>
            <color indexed="81"/>
            <rFont val="Tahoma"/>
            <family val="2"/>
          </rPr>
          <t xml:space="preserve">
Bottom Rail Colour options;
Bright Silver
Clear Anodised
Metallic Black
Mocha
White
White Birch</t>
        </r>
      </text>
    </comment>
    <comment ref="Q53" authorId="0" shapeId="0" xr:uid="{00000000-0006-0000-0700-000034020000}">
      <text>
        <r>
          <rPr>
            <sz val="8"/>
            <color indexed="81"/>
            <rFont val="Tahoma"/>
            <family val="2"/>
          </rPr>
          <t>When
 Standard or Common 
is selected the 
Pelmet Colour 
must be entered.</t>
        </r>
      </text>
    </comment>
    <comment ref="D54" authorId="0" shapeId="0" xr:uid="{00000000-0006-0000-0700-000035020000}">
      <text>
        <r>
          <rPr>
            <sz val="8"/>
            <color indexed="81"/>
            <rFont val="Tahoma"/>
            <family val="2"/>
          </rPr>
          <t>Fabric options are;
Amalfi
Como (Blockout)
Como (Translucent)
Florence
London
Maui
Milan
Pompeii
Rome (Blockout)
Rome (Translucent)
Sunscreen</t>
        </r>
      </text>
    </comment>
    <comment ref="E54" authorId="0" shapeId="0" xr:uid="{00000000-0006-0000-0700-00003602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54" authorId="0" shapeId="0" xr:uid="{00000000-0006-0000-0700-00003702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4" authorId="0" shapeId="0" xr:uid="{00000000-0006-0000-0700-000038020000}">
      <text>
        <r>
          <rPr>
            <sz val="8"/>
            <color indexed="81"/>
            <rFont val="Tahoma"/>
            <family val="2"/>
          </rPr>
          <t xml:space="preserve">Minimum Height/Drop is 500mm.
Maximum Height/Drop is 3000mm. </t>
        </r>
      </text>
    </comment>
    <comment ref="H54" authorId="0" shapeId="0" xr:uid="{00000000-0006-0000-0700-000039020000}">
      <text>
        <r>
          <rPr>
            <sz val="8"/>
            <color indexed="81"/>
            <rFont val="Tahoma"/>
            <family val="2"/>
          </rPr>
          <t xml:space="preserve">
Panel Quantities 
options;
2
3
4
5
6
7
9
Please note; 
Minimum Panel Width is 400mm.
Maximum Panel Width is 1000mm.</t>
        </r>
      </text>
    </comment>
    <comment ref="I54" authorId="0" shapeId="0" xr:uid="{00000000-0006-0000-0700-00003A02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54" authorId="0" shapeId="0" xr:uid="{00000000-0006-0000-0700-00003B020000}">
      <text>
        <r>
          <rPr>
            <sz val="8"/>
            <color indexed="81"/>
            <rFont val="Tahoma"/>
            <family val="2"/>
          </rPr>
          <t>When selecting a
Corner or Bay 
Window Type, 
the 
CMB Corner WS 
or 
CMB Bay WS 
must be completed.</t>
        </r>
      </text>
    </comment>
    <comment ref="L54" authorId="0" shapeId="0" xr:uid="{00000000-0006-0000-0700-00003C020000}">
      <text>
        <r>
          <rPr>
            <sz val="8"/>
            <color indexed="81"/>
            <rFont val="Tahoma"/>
            <family val="2"/>
          </rPr>
          <t>ACT 
Actual Measurements
You have made the allowances.
NAM
No Allowances Made 
The factory will make the deductions.</t>
        </r>
      </text>
    </comment>
    <comment ref="N54" authorId="0" shapeId="0" xr:uid="{00000000-0006-0000-0700-00003D020000}">
      <text>
        <r>
          <rPr>
            <sz val="8"/>
            <color indexed="81"/>
            <rFont val="Tahoma"/>
            <family val="2"/>
          </rPr>
          <t>Track Colour options are;
Clear Anodised
Black
White
White Birch
Please note; 
All Blinds are supplied 
with a Clear Anodised Wand.</t>
        </r>
      </text>
    </comment>
    <comment ref="O54" authorId="0" shapeId="0" xr:uid="{00000000-0006-0000-0700-00003E020000}">
      <text>
        <r>
          <rPr>
            <sz val="8"/>
            <color indexed="81"/>
            <rFont val="Tahoma"/>
            <family val="2"/>
          </rPr>
          <t xml:space="preserve">
Finish options;
Sewn In Pocket
Bottom Rail</t>
        </r>
      </text>
    </comment>
    <comment ref="P54" authorId="0" shapeId="0" xr:uid="{00000000-0006-0000-0700-00003F020000}">
      <text>
        <r>
          <rPr>
            <sz val="8"/>
            <color indexed="81"/>
            <rFont val="Tahoma"/>
            <family val="2"/>
          </rPr>
          <t xml:space="preserve">
Bottom Rail Colour options;
Bright Silver
Clear Anodised
Metallic Black
Mocha
White
White Birch</t>
        </r>
      </text>
    </comment>
    <comment ref="Q54" authorId="0" shapeId="0" xr:uid="{00000000-0006-0000-0700-000040020000}">
      <text>
        <r>
          <rPr>
            <sz val="8"/>
            <color indexed="81"/>
            <rFont val="Tahoma"/>
            <family val="2"/>
          </rPr>
          <t>When
 Standard or Common 
is selected the 
Pelmet Colour 
must be entered.</t>
        </r>
      </text>
    </comment>
    <comment ref="D55" authorId="0" shapeId="0" xr:uid="{00000000-0006-0000-0700-000041020000}">
      <text>
        <r>
          <rPr>
            <sz val="8"/>
            <color indexed="81"/>
            <rFont val="Tahoma"/>
            <family val="2"/>
          </rPr>
          <t>Fabric options are;
Amalfi
Como (Blockout)
Como (Translucent)
Florence
London
Maui
Milan
Pompeii
Rome (Blockout)
Rome (Translucent)
Sunscreen</t>
        </r>
      </text>
    </comment>
    <comment ref="E55" authorId="0" shapeId="0" xr:uid="{00000000-0006-0000-0700-00004202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55" authorId="0" shapeId="0" xr:uid="{00000000-0006-0000-0700-00004302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5" authorId="0" shapeId="0" xr:uid="{00000000-0006-0000-0700-000044020000}">
      <text>
        <r>
          <rPr>
            <sz val="8"/>
            <color indexed="81"/>
            <rFont val="Tahoma"/>
            <family val="2"/>
          </rPr>
          <t xml:space="preserve">Minimum Height/Drop is 500mm.
Maximum Height/Drop is 3000mm. </t>
        </r>
      </text>
    </comment>
    <comment ref="H55" authorId="0" shapeId="0" xr:uid="{00000000-0006-0000-0700-000045020000}">
      <text>
        <r>
          <rPr>
            <sz val="8"/>
            <color indexed="81"/>
            <rFont val="Tahoma"/>
            <family val="2"/>
          </rPr>
          <t xml:space="preserve">
Panel Quantities 
options;
2
3
4
5
6
7
9
Please note; 
Minimum Panel Width is 400mm.
Maximum Panel Width is 1000mm.</t>
        </r>
      </text>
    </comment>
    <comment ref="I55" authorId="0" shapeId="0" xr:uid="{00000000-0006-0000-0700-00004602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55" authorId="0" shapeId="0" xr:uid="{00000000-0006-0000-0700-000047020000}">
      <text>
        <r>
          <rPr>
            <sz val="8"/>
            <color indexed="81"/>
            <rFont val="Tahoma"/>
            <family val="2"/>
          </rPr>
          <t>When selecting a
Corner or Bay 
Window Type, 
the 
CMB Corner WS 
or 
CMB Bay WS 
must be completed.</t>
        </r>
      </text>
    </comment>
    <comment ref="L55" authorId="0" shapeId="0" xr:uid="{00000000-0006-0000-0700-000048020000}">
      <text>
        <r>
          <rPr>
            <sz val="8"/>
            <color indexed="81"/>
            <rFont val="Tahoma"/>
            <family val="2"/>
          </rPr>
          <t>ACT 
Actual Measurements
You have made the allowances.
NAM
No Allowances Made 
The factory will make the deductions.</t>
        </r>
      </text>
    </comment>
    <comment ref="N55" authorId="0" shapeId="0" xr:uid="{00000000-0006-0000-0700-000049020000}">
      <text>
        <r>
          <rPr>
            <sz val="8"/>
            <color indexed="81"/>
            <rFont val="Tahoma"/>
            <family val="2"/>
          </rPr>
          <t>Track Colour options are;
Clear Anodised
Black
White
White Birch
Please note; 
All Blinds are supplied 
with a Clear Anodised Wand.</t>
        </r>
      </text>
    </comment>
    <comment ref="O55" authorId="0" shapeId="0" xr:uid="{00000000-0006-0000-0700-00004A020000}">
      <text>
        <r>
          <rPr>
            <sz val="8"/>
            <color indexed="81"/>
            <rFont val="Tahoma"/>
            <family val="2"/>
          </rPr>
          <t xml:space="preserve">
Finish options;
Sewn In Pocket
Bottom Rail</t>
        </r>
      </text>
    </comment>
    <comment ref="P55" authorId="0" shapeId="0" xr:uid="{00000000-0006-0000-0700-00004B020000}">
      <text>
        <r>
          <rPr>
            <sz val="8"/>
            <color indexed="81"/>
            <rFont val="Tahoma"/>
            <family val="2"/>
          </rPr>
          <t xml:space="preserve">
Bottom Rail Colour options;
Bright Silver
Clear Anodised
Metallic Black
Mocha
White
White Birch</t>
        </r>
      </text>
    </comment>
    <comment ref="Q55" authorId="0" shapeId="0" xr:uid="{00000000-0006-0000-0700-00004C020000}">
      <text>
        <r>
          <rPr>
            <sz val="8"/>
            <color indexed="81"/>
            <rFont val="Tahoma"/>
            <family val="2"/>
          </rPr>
          <t>When
 Standard or Common 
is selected the 
Pelmet Colour 
must be entered.</t>
        </r>
      </text>
    </comment>
    <comment ref="D56" authorId="0" shapeId="0" xr:uid="{00000000-0006-0000-0700-00004D020000}">
      <text>
        <r>
          <rPr>
            <sz val="8"/>
            <color indexed="81"/>
            <rFont val="Tahoma"/>
            <family val="2"/>
          </rPr>
          <t>Fabric options are;
Amalfi
Como (Blockout)
Como (Translucent)
Florence
London
Maui
Milan
Pompeii
Rome (Blockout)
Rome (Translucent)
Sunscreen</t>
        </r>
      </text>
    </comment>
    <comment ref="E56" authorId="0" shapeId="0" xr:uid="{00000000-0006-0000-0700-00004E02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56" authorId="0" shapeId="0" xr:uid="{00000000-0006-0000-0700-00004F02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6" authorId="0" shapeId="0" xr:uid="{00000000-0006-0000-0700-000050020000}">
      <text>
        <r>
          <rPr>
            <sz val="8"/>
            <color indexed="81"/>
            <rFont val="Tahoma"/>
            <family val="2"/>
          </rPr>
          <t xml:space="preserve">Minimum Height/Drop is 500mm.
Maximum Height/Drop is 3000mm. </t>
        </r>
      </text>
    </comment>
    <comment ref="H56" authorId="0" shapeId="0" xr:uid="{00000000-0006-0000-0700-000051020000}">
      <text>
        <r>
          <rPr>
            <sz val="8"/>
            <color indexed="81"/>
            <rFont val="Tahoma"/>
            <family val="2"/>
          </rPr>
          <t xml:space="preserve">
Panel Quantities 
options;
2
3
4
5
6
7
9
Please note; 
Minimum Panel Width is 400mm.
Maximum Panel Width is 1000mm.</t>
        </r>
      </text>
    </comment>
    <comment ref="I56" authorId="0" shapeId="0" xr:uid="{00000000-0006-0000-0700-00005202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56" authorId="0" shapeId="0" xr:uid="{00000000-0006-0000-0700-000053020000}">
      <text>
        <r>
          <rPr>
            <sz val="8"/>
            <color indexed="81"/>
            <rFont val="Tahoma"/>
            <family val="2"/>
          </rPr>
          <t>When selecting a
Corner or Bay 
Window Type, 
the 
CMB Corner WS 
or 
CMB Bay WS 
must be completed.</t>
        </r>
      </text>
    </comment>
    <comment ref="L56" authorId="0" shapeId="0" xr:uid="{00000000-0006-0000-0700-000054020000}">
      <text>
        <r>
          <rPr>
            <sz val="8"/>
            <color indexed="81"/>
            <rFont val="Tahoma"/>
            <family val="2"/>
          </rPr>
          <t>ACT 
Actual Measurements
You have made the allowances.
NAM
No Allowances Made 
The factory will make the deductions.</t>
        </r>
      </text>
    </comment>
    <comment ref="N56" authorId="0" shapeId="0" xr:uid="{00000000-0006-0000-0700-000055020000}">
      <text>
        <r>
          <rPr>
            <sz val="8"/>
            <color indexed="81"/>
            <rFont val="Tahoma"/>
            <family val="2"/>
          </rPr>
          <t>Track Colour options are;
Clear Anodised
Black
White
White Birch
Please note; 
All Blinds are supplied 
with a Clear Anodised Wand.</t>
        </r>
      </text>
    </comment>
    <comment ref="O56" authorId="0" shapeId="0" xr:uid="{00000000-0006-0000-0700-000056020000}">
      <text>
        <r>
          <rPr>
            <sz val="8"/>
            <color indexed="81"/>
            <rFont val="Tahoma"/>
            <family val="2"/>
          </rPr>
          <t xml:space="preserve">
Finish options;
Sewn In Pocket
Bottom Rail</t>
        </r>
      </text>
    </comment>
    <comment ref="P56" authorId="0" shapeId="0" xr:uid="{00000000-0006-0000-0700-000057020000}">
      <text>
        <r>
          <rPr>
            <sz val="8"/>
            <color indexed="81"/>
            <rFont val="Tahoma"/>
            <family val="2"/>
          </rPr>
          <t xml:space="preserve">
Bottom Rail Colour options;
Bright Silver
Clear Anodised
Metallic Black
Mocha
White
White Birch</t>
        </r>
      </text>
    </comment>
    <comment ref="Q56" authorId="0" shapeId="0" xr:uid="{00000000-0006-0000-0700-000058020000}">
      <text>
        <r>
          <rPr>
            <sz val="8"/>
            <color indexed="81"/>
            <rFont val="Tahoma"/>
            <family val="2"/>
          </rPr>
          <t>When
 Standard or Common 
is selected the 
Pelmet Colour 
must be entered.</t>
        </r>
      </text>
    </comment>
    <comment ref="D57" authorId="0" shapeId="0" xr:uid="{00000000-0006-0000-0700-000059020000}">
      <text>
        <r>
          <rPr>
            <sz val="8"/>
            <color indexed="81"/>
            <rFont val="Tahoma"/>
            <family val="2"/>
          </rPr>
          <t>Fabric options are;
Amalfi
Como (Blockout)
Como (Translucent)
Florence
London
Maui
Milan
Pompeii
Rome (Blockout)
Rome (Translucent)
Sunscreen</t>
        </r>
      </text>
    </comment>
    <comment ref="E57" authorId="0" shapeId="0" xr:uid="{00000000-0006-0000-0700-00005A020000}">
      <text>
        <r>
          <rPr>
            <sz val="8"/>
            <color indexed="81"/>
            <rFont val="Tahoma"/>
            <family val="2"/>
          </rPr>
          <t>Colour can only be selected once the Fabric has been entered.
Colours available;
Amalfi; Black, Grey, Ice, Latte, Oyster
Como (Blockout); Black, Charcoal, Chocolate, Coffee, Vanilla, White
Como (Translucent); Black, Charcoal, Chocolate, Coffee, Vanilla, White
Florence; Almond, Black, Steel Grey, Vanilla, White
London; Biscuit, Dune, Dusk, Linen, Natural, Onyx, White Talc 
Maui; Espresso, Latte, Off White, Pebble, Sand
Milan; Black, Bone, Latte, Oyster, Papyrus, Parchment, Sand, Shadow, Silk, Stone, Truffle, White
Pompeii; Brown, Ivory, Linen, Pearl, Sand, Slate, Snow, Stone
Rome (Blockout); Charcoal, Chinchilla, Marshmallow, Stone, White 
Rome (Translucent); Charcoal, Chinchilla, Marshmallow, Stone, White 
Sunscreen; Bronze, Charcoal, Fox, Jasper, Pumice, Slate, Storm, Vanilla, White</t>
        </r>
      </text>
    </comment>
    <comment ref="F57" authorId="0" shapeId="0" xr:uid="{00000000-0006-0000-0700-00005B020000}">
      <text>
        <r>
          <rPr>
            <sz val="8"/>
            <color indexed="81"/>
            <rFont val="Tahoma"/>
            <family val="2"/>
          </rPr>
          <t xml:space="preserve">Minimum &amp; Maximum Widths; 
For 3 Track options; 
Minimum Width is 1200mm. 
Maximum Width is 3000mm. 
For 6 Track options; 
Minimum Width is 1600mm. 
Maximum Width is 5500mm.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G57" authorId="0" shapeId="0" xr:uid="{00000000-0006-0000-0700-00005C020000}">
      <text>
        <r>
          <rPr>
            <sz val="8"/>
            <color indexed="81"/>
            <rFont val="Tahoma"/>
            <family val="2"/>
          </rPr>
          <t xml:space="preserve">Minimum Height/Drop is 500mm.
Maximum Height/Drop is 3000mm. </t>
        </r>
      </text>
    </comment>
    <comment ref="H57" authorId="0" shapeId="0" xr:uid="{00000000-0006-0000-0700-00005D020000}">
      <text>
        <r>
          <rPr>
            <sz val="8"/>
            <color indexed="81"/>
            <rFont val="Tahoma"/>
            <family val="2"/>
          </rPr>
          <t xml:space="preserve">
Panel Quantities 
options;
2
3
4
5
6
7
9
Please note; 
Minimum Panel Width is 400mm.
Maximum Panel Width is 1000mm.</t>
        </r>
      </text>
    </comment>
    <comment ref="I57" authorId="0" shapeId="0" xr:uid="{00000000-0006-0000-0700-00005E020000}">
      <text>
        <r>
          <rPr>
            <sz val="8"/>
            <color indexed="81"/>
            <rFont val="Tahoma"/>
            <family val="2"/>
          </rPr>
          <t>Panel Layout can only be selected once the Panel Quantity has been entered.
Please refer to the Panel Layout Configuration Guide for available options.
Options available;
Panel Quantity 2
2 Panels, 3 Track, Left Stack
2 Panels, 3 Track, Right Stack
Panel Quantity 3
3 Panels, 3 Track, Left Stack
3 Panels, 3 Track, Right Stack
3 Panels, 3 Track, Centre Opening
Panel Quantity 4
4 Panels, 6 Track, Left Stack
4 Panels, 6 Track, Right Stack
Panel Quantity 5
5 Panels, 6 Track, Left Stack
5 Panels, 6 Track, Right Stack
5 Panels, 6 Track, Centre Opening
Panel Quantity 6
6 Panels, 6 Track, Left Stack
6 Panels, 6 Track, Right Stack
Panel Quantity 7
7 Panels, 6 Track, Centre Opening
Panel Quantity 9
9 Panels, 6 Track, Centre Opening</t>
        </r>
      </text>
    </comment>
    <comment ref="J57" authorId="0" shapeId="0" xr:uid="{00000000-0006-0000-0700-00005F020000}">
      <text>
        <r>
          <rPr>
            <sz val="8"/>
            <color indexed="81"/>
            <rFont val="Tahoma"/>
            <family val="2"/>
          </rPr>
          <t>When selecting a
Corner or Bay 
Window Type, 
the 
CMB Corner WS 
or 
CMB Bay WS 
must be completed.</t>
        </r>
      </text>
    </comment>
    <comment ref="L57" authorId="0" shapeId="0" xr:uid="{00000000-0006-0000-0700-000060020000}">
      <text>
        <r>
          <rPr>
            <sz val="8"/>
            <color indexed="81"/>
            <rFont val="Tahoma"/>
            <family val="2"/>
          </rPr>
          <t>ACT 
Actual Measurements
You have made the allowances.
NAM
No Allowances Made 
The factory will make the deductions.</t>
        </r>
      </text>
    </comment>
    <comment ref="N57" authorId="0" shapeId="0" xr:uid="{00000000-0006-0000-0700-000061020000}">
      <text>
        <r>
          <rPr>
            <sz val="8"/>
            <color indexed="81"/>
            <rFont val="Tahoma"/>
            <family val="2"/>
          </rPr>
          <t>Track Colour options are;
Clear Anodised
Black
White
White Birch
Please note; 
All Blinds are supplied 
with a Clear Anodised Wand.</t>
        </r>
      </text>
    </comment>
    <comment ref="O57" authorId="0" shapeId="0" xr:uid="{00000000-0006-0000-0700-000062020000}">
      <text>
        <r>
          <rPr>
            <sz val="8"/>
            <color indexed="81"/>
            <rFont val="Tahoma"/>
            <family val="2"/>
          </rPr>
          <t xml:space="preserve">
Finish options;
Sewn In Pocket
Bottom Rail</t>
        </r>
      </text>
    </comment>
    <comment ref="P57" authorId="0" shapeId="0" xr:uid="{00000000-0006-0000-0700-000063020000}">
      <text>
        <r>
          <rPr>
            <sz val="8"/>
            <color indexed="81"/>
            <rFont val="Tahoma"/>
            <family val="2"/>
          </rPr>
          <t xml:space="preserve">
Bottom Rail Colour options;
Bright Silver
Clear Anodised
Metallic Black
Mocha
White
White Birch</t>
        </r>
      </text>
    </comment>
    <comment ref="Q57" authorId="0" shapeId="0" xr:uid="{00000000-0006-0000-0700-000064020000}">
      <text>
        <r>
          <rPr>
            <sz val="8"/>
            <color indexed="81"/>
            <rFont val="Tahoma"/>
            <family val="2"/>
          </rPr>
          <t>When
 Standard or Common 
is selected the 
Pelmet Colour 
must be entered.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D7" authorId="0" shapeId="0" xr:uid="{00000000-0006-0000-0800-000001000000}">
      <text>
        <r>
          <rPr>
            <sz val="8"/>
            <color indexed="81"/>
            <rFont val="Tahoma"/>
            <family val="2"/>
          </rPr>
          <t>The Products options are;
Multi Shade
Roma Shade
Triple Shade</t>
        </r>
      </text>
    </comment>
    <comment ref="E7" authorId="0" shapeId="0" xr:uid="{33676BFA-BF85-4E6B-BD9C-9B1C5589E8AE}">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7" authorId="0" shapeId="0" xr:uid="{00000000-0006-0000-0800-000003000000}">
      <text>
        <r>
          <rPr>
            <sz val="8"/>
            <color indexed="81"/>
            <rFont val="Tahoma"/>
            <family val="2"/>
          </rPr>
          <t>The Colour can only be selected 
once the Product Type &amp; Finish has 
been entered.
Please refer to the Swatches.</t>
        </r>
      </text>
    </comment>
    <comment ref="G7" authorId="0" shapeId="0" xr:uid="{7A92BB13-78E5-4A5A-9DB4-7C2230A72B58}">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7" authorId="0" shapeId="0" xr:uid="{00000000-0006-0000-0800-000005000000}">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7" authorId="0" shapeId="0" xr:uid="{00000000-0006-0000-0800-000006000000}">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7" authorId="0" shapeId="0" xr:uid="{00000000-0006-0000-0800-000007000000}">
      <text>
        <r>
          <rPr>
            <sz val="8"/>
            <color indexed="81"/>
            <rFont val="Tahoma"/>
            <family val="2"/>
          </rPr>
          <t>The Fitting options are;
Face Fit
Recess Fit</t>
        </r>
      </text>
    </comment>
    <comment ref="K7" authorId="0" shapeId="0" xr:uid="{00000000-0006-0000-0800-000008000000}">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7" authorId="0" shapeId="0" xr:uid="{00000000-0006-0000-0800-000009000000}">
      <text>
        <r>
          <rPr>
            <sz val="8"/>
            <color indexed="81"/>
            <rFont val="Tahoma"/>
            <family val="2"/>
          </rPr>
          <t>The Head Box/Rail 
Colours for 
Multi Shades &amp; Triple Shades are;
Default
Beige
Black
Dark Brown
Grey
Ivory
Light Brown
White
The Head Box/Rail 
Colours for 
Roma Shades are;
N/A</t>
        </r>
      </text>
    </comment>
    <comment ref="M7" authorId="0" shapeId="0" xr:uid="{2C910A08-7B24-413B-868C-A804FBDC1FAE}">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7" authorId="0" shapeId="0" xr:uid="{00000000-0006-0000-0800-00000B000000}">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7" authorId="0" shapeId="0" xr:uid="{00000000-0006-0000-0800-00000C000000}">
      <text>
        <r>
          <rPr>
            <sz val="8"/>
            <color indexed="81"/>
            <rFont val="Tahoma"/>
            <family val="2"/>
          </rPr>
          <t>The Chain Length 
options are; 
Default
500mm
750mm
1000mm
1250mm
1500mm
2000mm
Motorised;
N/A</t>
        </r>
      </text>
    </comment>
    <comment ref="P7" authorId="0" shapeId="0" xr:uid="{00000000-0006-0000-0800-00000D000000}">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7" authorId="0" shapeId="0" xr:uid="{00000000-0006-0000-0800-00000E000000}">
      <text>
        <r>
          <rPr>
            <sz val="8"/>
            <color indexed="81"/>
            <rFont val="Tahoma"/>
            <family val="2"/>
          </rPr>
          <t>For Multi Shade and
Triple Shade,  
the  Fabric Insert  
options are;
Yes
For Roma Shade 
the  Fabric Insert  
options are;
N/A</t>
        </r>
      </text>
    </comment>
    <comment ref="R7" authorId="0" shapeId="0" xr:uid="{00000000-0006-0000-0800-00000F000000}">
      <text>
        <r>
          <rPr>
            <sz val="8"/>
            <color indexed="81"/>
            <rFont val="Tahoma"/>
            <family val="2"/>
          </rPr>
          <t>For Multi Shade, 
the options are;
Standard
Over Roll
For Triple Shade, 
the options are;
Standard
For Roma Shade 
the  options are;
N/A</t>
        </r>
      </text>
    </comment>
    <comment ref="T7" authorId="0" shapeId="0" xr:uid="{00000000-0006-0000-0800-000010000000}">
      <text>
        <r>
          <rPr>
            <sz val="8"/>
            <color indexed="81"/>
            <rFont val="Tahoma"/>
            <family val="2"/>
          </rPr>
          <t>Please use this section 
to specify 
any Special Requirements
for the Line/Order.</t>
        </r>
      </text>
    </comment>
    <comment ref="D8" authorId="0" shapeId="0" xr:uid="{C8EA8411-BB4B-4D19-8DA1-C451591584C3}">
      <text>
        <r>
          <rPr>
            <sz val="8"/>
            <color indexed="81"/>
            <rFont val="Tahoma"/>
            <family val="2"/>
          </rPr>
          <t>The Products options are;
Multi Shade
Roma Shade
Triple Shade</t>
        </r>
      </text>
    </comment>
    <comment ref="E8" authorId="0" shapeId="0" xr:uid="{24656F43-8DB4-4B2B-A6D0-6BFEB8DA4210}">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8" authorId="0" shapeId="0" xr:uid="{EEEE8610-7A9A-4428-9513-53FBC08B3E14}">
      <text>
        <r>
          <rPr>
            <sz val="8"/>
            <color indexed="81"/>
            <rFont val="Tahoma"/>
            <family val="2"/>
          </rPr>
          <t>The Colour can only be selected 
once the Product Type &amp; Finish has 
been entered.
Please refer to the Swatches.</t>
        </r>
      </text>
    </comment>
    <comment ref="G8" authorId="0" shapeId="0" xr:uid="{F82912B9-9628-456F-B7A7-F84D7269001F}">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8" authorId="0" shapeId="0" xr:uid="{6598D2DE-D5B7-4081-A4AF-7F255889D2FA}">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8" authorId="0" shapeId="0" xr:uid="{8D8381DA-BE1F-49B2-A112-5D78927BFE38}">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8" authorId="0" shapeId="0" xr:uid="{6779D256-D5AC-4078-AD3C-448F8070EAB5}">
      <text>
        <r>
          <rPr>
            <sz val="8"/>
            <color indexed="81"/>
            <rFont val="Tahoma"/>
            <family val="2"/>
          </rPr>
          <t>The Fitting options are;
Face Fit
Recess Fit</t>
        </r>
      </text>
    </comment>
    <comment ref="K8" authorId="0" shapeId="0" xr:uid="{7F61EE25-4834-4890-8291-64258AA2499B}">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8" authorId="0" shapeId="0" xr:uid="{22410EC1-CAB7-4FD5-9307-405D4C24FA30}">
      <text>
        <r>
          <rPr>
            <sz val="8"/>
            <color indexed="81"/>
            <rFont val="Tahoma"/>
            <family val="2"/>
          </rPr>
          <t>The Head Box/Rail 
Colours for 
Multi Shades &amp; Triple Shades are;
Default
Beige
Black
Dark Brown
Grey
Ivory
Light Brown
White
The Head Box/Rail 
Colours for 
Roma Shades are;
N/A</t>
        </r>
      </text>
    </comment>
    <comment ref="M8" authorId="0" shapeId="0" xr:uid="{8769CEB7-EB46-428C-9D90-FB7434F92089}">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8" authorId="0" shapeId="0" xr:uid="{F94D40CE-52BA-4B64-A0E8-6AC070F382B5}">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8" authorId="0" shapeId="0" xr:uid="{01F7E110-1B6C-4DF8-8F4B-344FF8831572}">
      <text>
        <r>
          <rPr>
            <sz val="8"/>
            <color indexed="81"/>
            <rFont val="Tahoma"/>
            <family val="2"/>
          </rPr>
          <t>The Chain Length 
options are; 
Default
500mm
750mm
1000mm
1250mm
1500mm
2000mm
Motorised;
N/A</t>
        </r>
      </text>
    </comment>
    <comment ref="P8" authorId="0" shapeId="0" xr:uid="{C78C039D-7826-4B0E-A28E-30F528EA51BE}">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8" authorId="0" shapeId="0" xr:uid="{B83BDE29-A73F-4284-A60F-38E8BB8D1083}">
      <text>
        <r>
          <rPr>
            <sz val="8"/>
            <color indexed="81"/>
            <rFont val="Tahoma"/>
            <family val="2"/>
          </rPr>
          <t>For Multi Shade and
Triple Shade,  
the  Fabric Insert  
options are;
Yes
For Roma Shade 
the  Fabric Insert  
options are;
N/A</t>
        </r>
      </text>
    </comment>
    <comment ref="R8" authorId="0" shapeId="0" xr:uid="{36036279-C7C2-4EF1-B03B-A52517B0C805}">
      <text>
        <r>
          <rPr>
            <sz val="8"/>
            <color indexed="81"/>
            <rFont val="Tahoma"/>
            <family val="2"/>
          </rPr>
          <t>For Multi Shade, 
the options are;
Standard
Over Roll
For Triple Shade, 
the options are;
Standard
For Roma Shade 
the  options are;
N/A</t>
        </r>
      </text>
    </comment>
    <comment ref="T8" authorId="0" shapeId="0" xr:uid="{00000000-0006-0000-0800-000020000000}">
      <text>
        <r>
          <rPr>
            <sz val="8"/>
            <color indexed="81"/>
            <rFont val="Tahoma"/>
            <family val="2"/>
          </rPr>
          <t>Please use this section 
to specify 
any Special Requirements
for the Line/Order.</t>
        </r>
      </text>
    </comment>
    <comment ref="D9" authorId="0" shapeId="0" xr:uid="{58E3811A-1E6C-43BC-BFEE-C0F94DD6239C}">
      <text>
        <r>
          <rPr>
            <sz val="8"/>
            <color indexed="81"/>
            <rFont val="Tahoma"/>
            <family val="2"/>
          </rPr>
          <t>The Products options are;
Multi Shade
Roma Shade
Triple Shade</t>
        </r>
      </text>
    </comment>
    <comment ref="E9" authorId="0" shapeId="0" xr:uid="{87C3D1F2-A303-4CD7-9C47-EC242823AF7B}">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9" authorId="0" shapeId="0" xr:uid="{7C7189FD-D22B-41CB-9310-3AE672D46DC9}">
      <text>
        <r>
          <rPr>
            <sz val="8"/>
            <color indexed="81"/>
            <rFont val="Tahoma"/>
            <family val="2"/>
          </rPr>
          <t>The Colour can only be selected 
once the Product Type &amp; Finish has 
been entered.
Please refer to the Swatches.</t>
        </r>
      </text>
    </comment>
    <comment ref="G9" authorId="0" shapeId="0" xr:uid="{35133868-30FD-4342-898F-0CD249497AFC}">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9" authorId="0" shapeId="0" xr:uid="{6457016E-105D-4418-8747-6B0473BCE036}">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9" authorId="0" shapeId="0" xr:uid="{BA8E8E44-83CE-44C7-95CD-1253B60EA535}">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9" authorId="0" shapeId="0" xr:uid="{21BD1957-18D0-4B69-AB4F-31F8D1C0AD07}">
      <text>
        <r>
          <rPr>
            <sz val="8"/>
            <color indexed="81"/>
            <rFont val="Tahoma"/>
            <family val="2"/>
          </rPr>
          <t>The Fitting options are;
Face Fit
Recess Fit</t>
        </r>
      </text>
    </comment>
    <comment ref="K9" authorId="0" shapeId="0" xr:uid="{7C77E278-7014-4288-AAA4-78A287D82976}">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9" authorId="0" shapeId="0" xr:uid="{9D24DFC0-16EB-4735-8D29-964515B04A44}">
      <text>
        <r>
          <rPr>
            <sz val="8"/>
            <color indexed="81"/>
            <rFont val="Tahoma"/>
            <family val="2"/>
          </rPr>
          <t>The Head Box/Rail 
Colours for 
Multi Shades &amp; Triple Shades are;
Default
Beige
Black
Dark Brown
Grey
Ivory
Light Brown
White
The Head Box/Rail 
Colours for 
Roma Shades are;
N/A</t>
        </r>
      </text>
    </comment>
    <comment ref="M9" authorId="0" shapeId="0" xr:uid="{463C3352-43DD-458E-A36C-F14C7B4F57DB}">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9" authorId="0" shapeId="0" xr:uid="{D925C8C5-CD48-47FE-9632-181E8728E176}">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9" authorId="0" shapeId="0" xr:uid="{603EC7F3-F86F-4641-87A5-D6E2ABFB9B25}">
      <text>
        <r>
          <rPr>
            <sz val="8"/>
            <color indexed="81"/>
            <rFont val="Tahoma"/>
            <family val="2"/>
          </rPr>
          <t>The Chain Length 
options are; 
Default
500mm
750mm
1000mm
1250mm
1500mm
2000mm
Motorised;
N/A</t>
        </r>
      </text>
    </comment>
    <comment ref="P9" authorId="0" shapeId="0" xr:uid="{E1E05D44-2401-482F-95D1-164FBA3D0164}">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9" authorId="0" shapeId="0" xr:uid="{8649A63F-6FCF-47CE-82E9-30F5A458C9C6}">
      <text>
        <r>
          <rPr>
            <sz val="8"/>
            <color indexed="81"/>
            <rFont val="Tahoma"/>
            <family val="2"/>
          </rPr>
          <t>For Multi Shade and
Triple Shade,  
the  Fabric Insert  
options are;
Yes
For Roma Shade 
the  Fabric Insert  
options are;
N/A</t>
        </r>
      </text>
    </comment>
    <comment ref="R9" authorId="0" shapeId="0" xr:uid="{10F36D24-0C2E-4FE3-8DA6-49FF64FC48FC}">
      <text>
        <r>
          <rPr>
            <sz val="8"/>
            <color indexed="81"/>
            <rFont val="Tahoma"/>
            <family val="2"/>
          </rPr>
          <t>For Multi Shade, 
the options are;
Standard
Over Roll
For Triple Shade, 
the options are;
Standard
For Roma Shade 
the  options are;
N/A</t>
        </r>
      </text>
    </comment>
    <comment ref="T9" authorId="0" shapeId="0" xr:uid="{00000000-0006-0000-0800-000030000000}">
      <text>
        <r>
          <rPr>
            <sz val="8"/>
            <color indexed="81"/>
            <rFont val="Tahoma"/>
            <family val="2"/>
          </rPr>
          <t>Please use this section 
to specify 
any Special Requirements
for the Line/Order.</t>
        </r>
      </text>
    </comment>
    <comment ref="D10" authorId="0" shapeId="0" xr:uid="{8B7409A2-E279-4604-8855-952AABD36338}">
      <text>
        <r>
          <rPr>
            <sz val="8"/>
            <color indexed="81"/>
            <rFont val="Tahoma"/>
            <family val="2"/>
          </rPr>
          <t>The Products options are;
Multi Shade
Roma Shade
Triple Shade</t>
        </r>
      </text>
    </comment>
    <comment ref="E10" authorId="0" shapeId="0" xr:uid="{178C887B-B55A-4BBE-9825-C53266707CF3}">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10" authorId="0" shapeId="0" xr:uid="{656526A5-CC55-40DD-B60E-D4E008C4C572}">
      <text>
        <r>
          <rPr>
            <sz val="8"/>
            <color indexed="81"/>
            <rFont val="Tahoma"/>
            <family val="2"/>
          </rPr>
          <t>The Colour can only be selected 
once the Product Type &amp; Finish has 
been entered.
Please refer to the Swatches.</t>
        </r>
      </text>
    </comment>
    <comment ref="G10" authorId="0" shapeId="0" xr:uid="{B74252E1-0A81-4D1E-9308-A61FBCD8054C}">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0" authorId="0" shapeId="0" xr:uid="{41768AD0-9CB2-4AD2-B2B8-36D99AEE4A6C}">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10" authorId="0" shapeId="0" xr:uid="{7806892F-D682-47D5-81BF-037B134E2A43}">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10" authorId="0" shapeId="0" xr:uid="{F17175BC-1724-43E3-9C44-241B79B25DC0}">
      <text>
        <r>
          <rPr>
            <sz val="8"/>
            <color indexed="81"/>
            <rFont val="Tahoma"/>
            <family val="2"/>
          </rPr>
          <t>The Fitting options are;
Face Fit
Recess Fit</t>
        </r>
      </text>
    </comment>
    <comment ref="K10" authorId="0" shapeId="0" xr:uid="{BBAEFCC1-7FDE-4981-8ECC-D74D9B1CEBD0}">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0" authorId="0" shapeId="0" xr:uid="{BB8CA7EE-CFDA-4EA1-ABD4-84225A08D7D5}">
      <text>
        <r>
          <rPr>
            <sz val="8"/>
            <color indexed="81"/>
            <rFont val="Tahoma"/>
            <family val="2"/>
          </rPr>
          <t>The Head Box/Rail 
Colours for 
Multi Shades &amp; Triple Shades are;
Default
Beige
Black
Dark Brown
Grey
Ivory
Light Brown
White
The Head Box/Rail 
Colours for 
Roma Shades are;
N/A</t>
        </r>
      </text>
    </comment>
    <comment ref="M10" authorId="0" shapeId="0" xr:uid="{FA2F0465-762E-4BBD-9BBD-D164BE62B47F}">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10" authorId="0" shapeId="0" xr:uid="{F6C03CB4-8EBA-4938-92E2-EA37F7F017BD}">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10" authorId="0" shapeId="0" xr:uid="{B54C122A-2FDA-4D43-B121-578F41D9B7A2}">
      <text>
        <r>
          <rPr>
            <sz val="8"/>
            <color indexed="81"/>
            <rFont val="Tahoma"/>
            <family val="2"/>
          </rPr>
          <t>The Chain Length 
options are; 
Default
500mm
750mm
1000mm
1250mm
1500mm
2000mm
Motorised;
N/A</t>
        </r>
      </text>
    </comment>
    <comment ref="P10" authorId="0" shapeId="0" xr:uid="{F28572D8-4C3C-4B23-817E-F242B3EE796F}">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10" authorId="0" shapeId="0" xr:uid="{300B7755-4E7E-4881-95CE-418EC8F497C4}">
      <text>
        <r>
          <rPr>
            <sz val="8"/>
            <color indexed="81"/>
            <rFont val="Tahoma"/>
            <family val="2"/>
          </rPr>
          <t>For Multi Shade and
Triple Shade,  
the  Fabric Insert  
options are;
Yes
For Roma Shade 
the  Fabric Insert  
options are;
N/A</t>
        </r>
      </text>
    </comment>
    <comment ref="R10" authorId="0" shapeId="0" xr:uid="{B94B2257-A51A-4128-AD5E-F07DA60F5204}">
      <text>
        <r>
          <rPr>
            <sz val="8"/>
            <color indexed="81"/>
            <rFont val="Tahoma"/>
            <family val="2"/>
          </rPr>
          <t>For Multi Shade, 
the options are;
Standard
Over Roll
For Triple Shade, 
the options are;
Standard
For Roma Shade 
the  options are;
N/A</t>
        </r>
      </text>
    </comment>
    <comment ref="T10" authorId="0" shapeId="0" xr:uid="{00000000-0006-0000-0800-000040000000}">
      <text>
        <r>
          <rPr>
            <sz val="8"/>
            <color indexed="81"/>
            <rFont val="Tahoma"/>
            <family val="2"/>
          </rPr>
          <t>Please use this section 
to specify 
any Special Requirements
for the Line/Order.</t>
        </r>
      </text>
    </comment>
    <comment ref="D11" authorId="0" shapeId="0" xr:uid="{D2691BAA-2C0E-473C-85CE-5D8DAD24F054}">
      <text>
        <r>
          <rPr>
            <sz val="8"/>
            <color indexed="81"/>
            <rFont val="Tahoma"/>
            <family val="2"/>
          </rPr>
          <t>The Products options are;
Multi Shade
Roma Shade
Triple Shade</t>
        </r>
      </text>
    </comment>
    <comment ref="E11" authorId="0" shapeId="0" xr:uid="{B9B80C9D-C48B-4071-B6A3-DC1C29E8069D}">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11" authorId="0" shapeId="0" xr:uid="{AB1313E4-5F7F-4942-8250-F7F87E2FBB52}">
      <text>
        <r>
          <rPr>
            <sz val="8"/>
            <color indexed="81"/>
            <rFont val="Tahoma"/>
            <family val="2"/>
          </rPr>
          <t>The Colour can only be selected 
once the Product Type &amp; Finish has 
been entered.
Please refer to the Swatches.</t>
        </r>
      </text>
    </comment>
    <comment ref="G11" authorId="0" shapeId="0" xr:uid="{D89D541E-B85A-4F5E-BBDF-5E28F262C38E}">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1" authorId="0" shapeId="0" xr:uid="{29478CA6-5942-4DEC-9261-02B653663759}">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11" authorId="0" shapeId="0" xr:uid="{A204C869-496B-4DF9-AD02-3E213450D473}">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11" authorId="0" shapeId="0" xr:uid="{AC1207EE-F292-4B65-9C51-D6BDEAAAD35E}">
      <text>
        <r>
          <rPr>
            <sz val="8"/>
            <color indexed="81"/>
            <rFont val="Tahoma"/>
            <family val="2"/>
          </rPr>
          <t>The Fitting options are;
Face Fit
Recess Fit</t>
        </r>
      </text>
    </comment>
    <comment ref="K11" authorId="0" shapeId="0" xr:uid="{77E3C094-E254-4DE6-9FEA-CFB6F7FDB967}">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1" authorId="0" shapeId="0" xr:uid="{0D3AAA1A-51CE-46D2-B592-05C99AA215FC}">
      <text>
        <r>
          <rPr>
            <sz val="8"/>
            <color indexed="81"/>
            <rFont val="Tahoma"/>
            <family val="2"/>
          </rPr>
          <t>The Head Box/Rail 
Colours for 
Multi Shades &amp; Triple Shades are;
Default
Beige
Black
Dark Brown
Grey
Ivory
Light Brown
White
The Head Box/Rail 
Colours for 
Roma Shades are;
N/A</t>
        </r>
      </text>
    </comment>
    <comment ref="M11" authorId="0" shapeId="0" xr:uid="{2800ECFE-A2A4-4CDE-8F0D-4DFC19EEA6D9}">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11" authorId="0" shapeId="0" xr:uid="{451A8B45-6FF9-4E4E-B8AA-0C7F6F44F486}">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11" authorId="0" shapeId="0" xr:uid="{0A33324B-46BB-477C-B850-81B2EFC58A7D}">
      <text>
        <r>
          <rPr>
            <sz val="8"/>
            <color indexed="81"/>
            <rFont val="Tahoma"/>
            <family val="2"/>
          </rPr>
          <t>The Chain Length 
options are; 
Default
500mm
750mm
1000mm
1250mm
1500mm
2000mm
Motorised;
N/A</t>
        </r>
      </text>
    </comment>
    <comment ref="P11" authorId="0" shapeId="0" xr:uid="{F980A649-A295-4573-B981-879B674CAD4B}">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11" authorId="0" shapeId="0" xr:uid="{C4978B1B-070B-4060-BBEB-1AB2BE9A0467}">
      <text>
        <r>
          <rPr>
            <sz val="8"/>
            <color indexed="81"/>
            <rFont val="Tahoma"/>
            <family val="2"/>
          </rPr>
          <t>For Multi Shade and
Triple Shade,  
the  Fabric Insert  
options are;
Yes
For Roma Shade 
the  Fabric Insert  
options are;
N/A</t>
        </r>
      </text>
    </comment>
    <comment ref="R11" authorId="0" shapeId="0" xr:uid="{8EBED5C8-C339-437C-B593-5E26EB475C6F}">
      <text>
        <r>
          <rPr>
            <sz val="8"/>
            <color indexed="81"/>
            <rFont val="Tahoma"/>
            <family val="2"/>
          </rPr>
          <t>For Multi Shade, 
the options are;
Standard
Over Roll
For Triple Shade, 
the options are;
Standard
For Roma Shade 
the  options are;
N/A</t>
        </r>
      </text>
    </comment>
    <comment ref="T11" authorId="0" shapeId="0" xr:uid="{00000000-0006-0000-0800-000050000000}">
      <text>
        <r>
          <rPr>
            <sz val="8"/>
            <color indexed="81"/>
            <rFont val="Tahoma"/>
            <family val="2"/>
          </rPr>
          <t>Please use this section 
to specify 
any Special Requirements
for the Line/Order.</t>
        </r>
      </text>
    </comment>
    <comment ref="D12" authorId="0" shapeId="0" xr:uid="{53686027-834B-4AC1-99FD-1E97319F8110}">
      <text>
        <r>
          <rPr>
            <sz val="8"/>
            <color indexed="81"/>
            <rFont val="Tahoma"/>
            <family val="2"/>
          </rPr>
          <t>The Products options are;
Multi Shade
Roma Shade
Triple Shade</t>
        </r>
      </text>
    </comment>
    <comment ref="E12" authorId="0" shapeId="0" xr:uid="{008203C7-B7EE-43F7-8A58-29AD5F39EF66}">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12" authorId="0" shapeId="0" xr:uid="{9522A794-3B38-4EED-B230-90705E93608B}">
      <text>
        <r>
          <rPr>
            <sz val="8"/>
            <color indexed="81"/>
            <rFont val="Tahoma"/>
            <family val="2"/>
          </rPr>
          <t>The Colour can only be selected 
once the Product Type &amp; Finish has 
been entered.
Please refer to the Swatches.</t>
        </r>
      </text>
    </comment>
    <comment ref="G12" authorId="0" shapeId="0" xr:uid="{BB15F9B6-07C3-409A-854E-D0203DF1ABCF}">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2" authorId="0" shapeId="0" xr:uid="{0376C924-E043-4AD6-B04E-87D0D5C40ED9}">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12" authorId="0" shapeId="0" xr:uid="{1552CCBC-BA04-48AA-890A-3D805997D083}">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12" authorId="0" shapeId="0" xr:uid="{47E5181E-D587-475C-B637-8F8B75DA33EA}">
      <text>
        <r>
          <rPr>
            <sz val="8"/>
            <color indexed="81"/>
            <rFont val="Tahoma"/>
            <family val="2"/>
          </rPr>
          <t>The Fitting options are;
Face Fit
Recess Fit</t>
        </r>
      </text>
    </comment>
    <comment ref="K12" authorId="0" shapeId="0" xr:uid="{9922B492-36A0-488E-A1AB-344275F8A3F9}">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2" authorId="0" shapeId="0" xr:uid="{10621BA9-D436-401A-AF38-838252672FCA}">
      <text>
        <r>
          <rPr>
            <sz val="8"/>
            <color indexed="81"/>
            <rFont val="Tahoma"/>
            <family val="2"/>
          </rPr>
          <t>The Head Box/Rail 
Colours for 
Multi Shades &amp; Triple Shades are;
Default
Beige
Black
Dark Brown
Grey
Ivory
Light Brown
White
The Head Box/Rail 
Colours for 
Roma Shades are;
N/A</t>
        </r>
      </text>
    </comment>
    <comment ref="M12" authorId="0" shapeId="0" xr:uid="{36EA541E-FB79-431B-8081-DF6F2C861160}">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12" authorId="0" shapeId="0" xr:uid="{B4871C20-E5A1-4538-81C2-7028898272A5}">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12" authorId="0" shapeId="0" xr:uid="{11F11D05-8BCC-461F-A880-37F344C0A4FE}">
      <text>
        <r>
          <rPr>
            <sz val="8"/>
            <color indexed="81"/>
            <rFont val="Tahoma"/>
            <family val="2"/>
          </rPr>
          <t>The Chain Length 
options are; 
Default
500mm
750mm
1000mm
1250mm
1500mm
2000mm
Motorised;
N/A</t>
        </r>
      </text>
    </comment>
    <comment ref="P12" authorId="0" shapeId="0" xr:uid="{A4145C66-EB03-45A9-91DB-64B1B33BBEAE}">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12" authorId="0" shapeId="0" xr:uid="{4E109617-640E-4ADF-9DAC-7F0A0BBB5873}">
      <text>
        <r>
          <rPr>
            <sz val="8"/>
            <color indexed="81"/>
            <rFont val="Tahoma"/>
            <family val="2"/>
          </rPr>
          <t>For Multi Shade and
Triple Shade,  
the  Fabric Insert  
options are;
Yes
For Roma Shade 
the  Fabric Insert  
options are;
N/A</t>
        </r>
      </text>
    </comment>
    <comment ref="R12" authorId="0" shapeId="0" xr:uid="{622C145A-2B1A-4A1E-B5A3-6F0E9F07120A}">
      <text>
        <r>
          <rPr>
            <sz val="8"/>
            <color indexed="81"/>
            <rFont val="Tahoma"/>
            <family val="2"/>
          </rPr>
          <t>For Multi Shade, 
the options are;
Standard
Over Roll
For Triple Shade, 
the options are;
Standard
For Roma Shade 
the  options are;
N/A</t>
        </r>
      </text>
    </comment>
    <comment ref="T12" authorId="0" shapeId="0" xr:uid="{00000000-0006-0000-0800-000060000000}">
      <text>
        <r>
          <rPr>
            <sz val="8"/>
            <color indexed="81"/>
            <rFont val="Tahoma"/>
            <family val="2"/>
          </rPr>
          <t>Please use this section 
to specify 
any Special Requirements
for the Line/Order.</t>
        </r>
      </text>
    </comment>
    <comment ref="D13" authorId="0" shapeId="0" xr:uid="{CBC8FA02-69FE-4F43-9F54-3205B23CAD10}">
      <text>
        <r>
          <rPr>
            <sz val="8"/>
            <color indexed="81"/>
            <rFont val="Tahoma"/>
            <family val="2"/>
          </rPr>
          <t>The Products options are;
Multi Shade
Roma Shade
Triple Shade</t>
        </r>
      </text>
    </comment>
    <comment ref="E13" authorId="0" shapeId="0" xr:uid="{6B9C0BED-BA59-45AC-8B93-07B411FF1FB9}">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13" authorId="0" shapeId="0" xr:uid="{1CE40189-3515-4A3F-8E20-5EA345F6F63B}">
      <text>
        <r>
          <rPr>
            <sz val="8"/>
            <color indexed="81"/>
            <rFont val="Tahoma"/>
            <family val="2"/>
          </rPr>
          <t>The Colour can only be selected 
once the Product Type &amp; Finish has 
been entered.
Please refer to the Swatches.</t>
        </r>
      </text>
    </comment>
    <comment ref="G13" authorId="0" shapeId="0" xr:uid="{26C7F4F1-8D0B-4369-9C2D-B91A6E046404}">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3" authorId="0" shapeId="0" xr:uid="{D35E66FA-298B-4DAE-ADF5-BE09CE6B64CC}">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13" authorId="0" shapeId="0" xr:uid="{F3A23465-5EAE-49B7-801D-20932EA5F7C1}">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13" authorId="0" shapeId="0" xr:uid="{AD2BF419-8690-48B3-AEDA-76B2EFA3705A}">
      <text>
        <r>
          <rPr>
            <sz val="8"/>
            <color indexed="81"/>
            <rFont val="Tahoma"/>
            <family val="2"/>
          </rPr>
          <t>The Fitting options are;
Face Fit
Recess Fit</t>
        </r>
      </text>
    </comment>
    <comment ref="K13" authorId="0" shapeId="0" xr:uid="{54145ED8-EF4D-49CF-B9C4-182B1DA5D2FC}">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3" authorId="0" shapeId="0" xr:uid="{F7E27D51-D5ED-493D-A5DA-79CA755B7E35}">
      <text>
        <r>
          <rPr>
            <sz val="8"/>
            <color indexed="81"/>
            <rFont val="Tahoma"/>
            <family val="2"/>
          </rPr>
          <t>The Head Box/Rail 
Colours for 
Multi Shades &amp; Triple Shades are;
Default
Beige
Black
Dark Brown
Grey
Ivory
Light Brown
White
The Head Box/Rail 
Colours for 
Roma Shades are;
N/A</t>
        </r>
      </text>
    </comment>
    <comment ref="M13" authorId="0" shapeId="0" xr:uid="{E7D363A7-F483-4DAE-896B-8FE3F346C45A}">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13" authorId="0" shapeId="0" xr:uid="{4609935E-7D53-465F-939C-439AC20A75CD}">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13" authorId="0" shapeId="0" xr:uid="{7174EAD1-C97C-4A1F-B38D-7E481F2C53C6}">
      <text>
        <r>
          <rPr>
            <sz val="8"/>
            <color indexed="81"/>
            <rFont val="Tahoma"/>
            <family val="2"/>
          </rPr>
          <t>The Chain Length 
options are; 
Default
500mm
750mm
1000mm
1250mm
1500mm
2000mm
Motorised;
N/A</t>
        </r>
      </text>
    </comment>
    <comment ref="P13" authorId="0" shapeId="0" xr:uid="{3987B6F0-CC51-48DB-95A1-46B9E76B7CA5}">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13" authorId="0" shapeId="0" xr:uid="{C6965C52-FBC7-4AF9-9C2D-1B410A75273D}">
      <text>
        <r>
          <rPr>
            <sz val="8"/>
            <color indexed="81"/>
            <rFont val="Tahoma"/>
            <family val="2"/>
          </rPr>
          <t>For Multi Shade and
Triple Shade,  
the  Fabric Insert  
options are;
Yes
For Roma Shade 
the  Fabric Insert  
options are;
N/A</t>
        </r>
      </text>
    </comment>
    <comment ref="R13" authorId="0" shapeId="0" xr:uid="{4D3882C3-E572-452D-90E8-775ED41467F9}">
      <text>
        <r>
          <rPr>
            <sz val="8"/>
            <color indexed="81"/>
            <rFont val="Tahoma"/>
            <family val="2"/>
          </rPr>
          <t>For Multi Shade, 
the options are;
Standard
Over Roll
For Triple Shade, 
the options are;
Standard
For Roma Shade 
the  options are;
N/A</t>
        </r>
      </text>
    </comment>
    <comment ref="T13" authorId="0" shapeId="0" xr:uid="{00000000-0006-0000-0800-000070000000}">
      <text>
        <r>
          <rPr>
            <sz val="8"/>
            <color indexed="81"/>
            <rFont val="Tahoma"/>
            <family val="2"/>
          </rPr>
          <t>Please use this section 
to specify 
any Special Requirements
for the Line/Order.</t>
        </r>
      </text>
    </comment>
    <comment ref="D14" authorId="0" shapeId="0" xr:uid="{9C3991D7-C61B-46D6-8F03-101B37509CEA}">
      <text>
        <r>
          <rPr>
            <sz val="8"/>
            <color indexed="81"/>
            <rFont val="Tahoma"/>
            <family val="2"/>
          </rPr>
          <t>The Products options are;
Multi Shade
Roma Shade
Triple Shade</t>
        </r>
      </text>
    </comment>
    <comment ref="E14" authorId="0" shapeId="0" xr:uid="{8BFBA3FA-7382-4AD7-83AE-955D20499B8A}">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14" authorId="0" shapeId="0" xr:uid="{C6018E02-EA57-4FD3-B40B-AFD3C29AA535}">
      <text>
        <r>
          <rPr>
            <sz val="8"/>
            <color indexed="81"/>
            <rFont val="Tahoma"/>
            <family val="2"/>
          </rPr>
          <t>The Colour can only be selected 
once the Product Type &amp; Finish has 
been entered.
Please refer to the Swatches.</t>
        </r>
      </text>
    </comment>
    <comment ref="G14" authorId="0" shapeId="0" xr:uid="{0D1C270A-3476-40E1-ADC0-EB70BE8D68F0}">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4" authorId="0" shapeId="0" xr:uid="{47734498-B679-4E91-BF67-2958B44E8633}">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14" authorId="0" shapeId="0" xr:uid="{9F9A0B24-2D1F-441C-AB9D-76FC284632E1}">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14" authorId="0" shapeId="0" xr:uid="{702E4282-6480-4A36-85C8-0151CBAE09D9}">
      <text>
        <r>
          <rPr>
            <sz val="8"/>
            <color indexed="81"/>
            <rFont val="Tahoma"/>
            <family val="2"/>
          </rPr>
          <t>The Fitting options are;
Face Fit
Recess Fit</t>
        </r>
      </text>
    </comment>
    <comment ref="K14" authorId="0" shapeId="0" xr:uid="{2A76B6ED-50F0-475B-9CF7-E4848790D4B1}">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4" authorId="0" shapeId="0" xr:uid="{E52F6CD2-8D5C-48E0-AA37-292F2E965C7C}">
      <text>
        <r>
          <rPr>
            <sz val="8"/>
            <color indexed="81"/>
            <rFont val="Tahoma"/>
            <family val="2"/>
          </rPr>
          <t>The Head Box/Rail 
Colours for 
Multi Shades &amp; Triple Shades are;
Default
Beige
Black
Dark Brown
Grey
Ivory
Light Brown
White
The Head Box/Rail 
Colours for 
Roma Shades are;
N/A</t>
        </r>
      </text>
    </comment>
    <comment ref="M14" authorId="0" shapeId="0" xr:uid="{03AC9D6B-4756-469C-8F75-E4487B03A653}">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14" authorId="0" shapeId="0" xr:uid="{F0558582-49D9-43B9-BCAF-F81AF3F0DACB}">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14" authorId="0" shapeId="0" xr:uid="{3BA5D290-045E-4213-897E-7BDAB572EC3C}">
      <text>
        <r>
          <rPr>
            <sz val="8"/>
            <color indexed="81"/>
            <rFont val="Tahoma"/>
            <family val="2"/>
          </rPr>
          <t>The Chain Length 
options are; 
Default
500mm
750mm
1000mm
1250mm
1500mm
2000mm
Motorised;
N/A</t>
        </r>
      </text>
    </comment>
    <comment ref="P14" authorId="0" shapeId="0" xr:uid="{6DCEFD36-537F-4834-9BD9-C1D3EF4CDE2A}">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14" authorId="0" shapeId="0" xr:uid="{5188D9B5-0C03-4044-BA22-34A8213564F2}">
      <text>
        <r>
          <rPr>
            <sz val="8"/>
            <color indexed="81"/>
            <rFont val="Tahoma"/>
            <family val="2"/>
          </rPr>
          <t>For Multi Shade and
Triple Shade,  
the  Fabric Insert  
options are;
Yes
For Roma Shade 
the  Fabric Insert  
options are;
N/A</t>
        </r>
      </text>
    </comment>
    <comment ref="R14" authorId="0" shapeId="0" xr:uid="{965769D7-2931-4F21-AEB5-3E5E81230E8B}">
      <text>
        <r>
          <rPr>
            <sz val="8"/>
            <color indexed="81"/>
            <rFont val="Tahoma"/>
            <family val="2"/>
          </rPr>
          <t>For Multi Shade, 
the options are;
Standard
Over Roll
For Triple Shade, 
the options are;
Standard
For Roma Shade 
the  options are;
N/A</t>
        </r>
      </text>
    </comment>
    <comment ref="T14" authorId="0" shapeId="0" xr:uid="{00000000-0006-0000-0800-000080000000}">
      <text>
        <r>
          <rPr>
            <sz val="8"/>
            <color indexed="81"/>
            <rFont val="Tahoma"/>
            <family val="2"/>
          </rPr>
          <t>Please use this section 
to specify 
any Special Requirements
for the Line/Order.</t>
        </r>
      </text>
    </comment>
    <comment ref="D15" authorId="0" shapeId="0" xr:uid="{344D924A-21A2-4AAC-9CAC-CEA91A09AD55}">
      <text>
        <r>
          <rPr>
            <sz val="8"/>
            <color indexed="81"/>
            <rFont val="Tahoma"/>
            <family val="2"/>
          </rPr>
          <t>The Products options are;
Multi Shade
Roma Shade
Triple Shade</t>
        </r>
      </text>
    </comment>
    <comment ref="E15" authorId="0" shapeId="0" xr:uid="{9E7CFC5A-1991-4572-BC17-540F507C6009}">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15" authorId="0" shapeId="0" xr:uid="{07B8E650-8B9E-415F-B978-AE48FCD007AA}">
      <text>
        <r>
          <rPr>
            <sz val="8"/>
            <color indexed="81"/>
            <rFont val="Tahoma"/>
            <family val="2"/>
          </rPr>
          <t>The Colour can only be selected 
once the Product Type &amp; Finish has 
been entered.
Please refer to the Swatches.</t>
        </r>
      </text>
    </comment>
    <comment ref="G15" authorId="0" shapeId="0" xr:uid="{9AC5B3BE-CF90-43CA-98C0-635D2779628A}">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5" authorId="0" shapeId="0" xr:uid="{5102EADA-96D7-4E37-A981-540618A878C0}">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15" authorId="0" shapeId="0" xr:uid="{7A4D91DE-F56B-4134-87A7-723101DD7EC8}">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15" authorId="0" shapeId="0" xr:uid="{A54F4BEE-5997-46FC-91A5-293687E06E45}">
      <text>
        <r>
          <rPr>
            <sz val="8"/>
            <color indexed="81"/>
            <rFont val="Tahoma"/>
            <family val="2"/>
          </rPr>
          <t>The Fitting options are;
Face Fit
Recess Fit</t>
        </r>
      </text>
    </comment>
    <comment ref="K15" authorId="0" shapeId="0" xr:uid="{437A735D-41F5-4504-B0D4-844DC5B0607D}">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5" authorId="0" shapeId="0" xr:uid="{F741A7E0-FB8C-4077-8EFF-B98B4B9E0407}">
      <text>
        <r>
          <rPr>
            <sz val="8"/>
            <color indexed="81"/>
            <rFont val="Tahoma"/>
            <family val="2"/>
          </rPr>
          <t>The Head Box/Rail 
Colours for 
Multi Shades &amp; Triple Shades are;
Default
Beige
Black
Dark Brown
Grey
Ivory
Light Brown
White
The Head Box/Rail 
Colours for 
Roma Shades are;
N/A</t>
        </r>
      </text>
    </comment>
    <comment ref="M15" authorId="0" shapeId="0" xr:uid="{02022E3C-71B5-4A8D-BDE1-A43246708600}">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15" authorId="0" shapeId="0" xr:uid="{4B9F2003-6EA5-4DB4-8FBA-9DA38AADADF0}">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15" authorId="0" shapeId="0" xr:uid="{0736FBDA-A8A7-4420-8C9E-6FEDDB6451D6}">
      <text>
        <r>
          <rPr>
            <sz val="8"/>
            <color indexed="81"/>
            <rFont val="Tahoma"/>
            <family val="2"/>
          </rPr>
          <t>The Chain Length 
options are; 
Default
500mm
750mm
1000mm
1250mm
1500mm
2000mm
Motorised;
N/A</t>
        </r>
      </text>
    </comment>
    <comment ref="P15" authorId="0" shapeId="0" xr:uid="{717682AF-B5C1-4FFB-8265-F0E7E0012791}">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15" authorId="0" shapeId="0" xr:uid="{2A9B3B4D-E52A-4BA0-8325-E03F1605CD6A}">
      <text>
        <r>
          <rPr>
            <sz val="8"/>
            <color indexed="81"/>
            <rFont val="Tahoma"/>
            <family val="2"/>
          </rPr>
          <t>For Multi Shade and
Triple Shade,  
the  Fabric Insert  
options are;
Yes
For Roma Shade 
the  Fabric Insert  
options are;
N/A</t>
        </r>
      </text>
    </comment>
    <comment ref="R15" authorId="0" shapeId="0" xr:uid="{AC4A3D4B-AE99-4DA7-92CE-26D583A7A33A}">
      <text>
        <r>
          <rPr>
            <sz val="8"/>
            <color indexed="81"/>
            <rFont val="Tahoma"/>
            <family val="2"/>
          </rPr>
          <t>For Multi Shade, 
the options are;
Standard
Over Roll
For Triple Shade, 
the options are;
Standard
For Roma Shade 
the  options are;
N/A</t>
        </r>
      </text>
    </comment>
    <comment ref="T15" authorId="0" shapeId="0" xr:uid="{00000000-0006-0000-0800-000090000000}">
      <text>
        <r>
          <rPr>
            <sz val="8"/>
            <color indexed="81"/>
            <rFont val="Tahoma"/>
            <family val="2"/>
          </rPr>
          <t>Please use this section 
to specify 
any Special Requirements
for the Line/Order.</t>
        </r>
      </text>
    </comment>
    <comment ref="D16" authorId="0" shapeId="0" xr:uid="{50BEF5F5-100B-4F3E-A9BE-6B41E761327A}">
      <text>
        <r>
          <rPr>
            <sz val="8"/>
            <color indexed="81"/>
            <rFont val="Tahoma"/>
            <family val="2"/>
          </rPr>
          <t>The Products options are;
Multi Shade
Roma Shade
Triple Shade</t>
        </r>
      </text>
    </comment>
    <comment ref="E16" authorId="0" shapeId="0" xr:uid="{BF0C2118-D5BA-4A93-B7D7-C5C2B8F42E4B}">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16" authorId="0" shapeId="0" xr:uid="{04EB3348-A897-47AE-85FE-7FB1FF616CB2}">
      <text>
        <r>
          <rPr>
            <sz val="8"/>
            <color indexed="81"/>
            <rFont val="Tahoma"/>
            <family val="2"/>
          </rPr>
          <t>The Colour can only be selected 
once the Product Type &amp; Finish has 
been entered.
Please refer to the Swatches.</t>
        </r>
      </text>
    </comment>
    <comment ref="G16" authorId="0" shapeId="0" xr:uid="{EF96475E-9521-467D-9021-0C30CD644F99}">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6" authorId="0" shapeId="0" xr:uid="{3745C342-5F47-4AE5-BA6C-D1BA9595F914}">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16" authorId="0" shapeId="0" xr:uid="{1C71937C-B045-4AED-B03E-02C63BB029F7}">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16" authorId="0" shapeId="0" xr:uid="{117157BC-EB6C-4A5D-98A5-1383FA591BE9}">
      <text>
        <r>
          <rPr>
            <sz val="8"/>
            <color indexed="81"/>
            <rFont val="Tahoma"/>
            <family val="2"/>
          </rPr>
          <t>The Fitting options are;
Face Fit
Recess Fit</t>
        </r>
      </text>
    </comment>
    <comment ref="K16" authorId="0" shapeId="0" xr:uid="{29681BEE-EA10-4AE6-8156-B62F3AF0763B}">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6" authorId="0" shapeId="0" xr:uid="{C24F1A2E-5484-4B1E-BFC5-7F42B7C73F0C}">
      <text>
        <r>
          <rPr>
            <sz val="8"/>
            <color indexed="81"/>
            <rFont val="Tahoma"/>
            <family val="2"/>
          </rPr>
          <t>The Head Box/Rail 
Colours for 
Multi Shades &amp; Triple Shades are;
Default
Beige
Black
Dark Brown
Grey
Ivory
Light Brown
White
The Head Box/Rail 
Colours for 
Roma Shades are;
N/A</t>
        </r>
      </text>
    </comment>
    <comment ref="M16" authorId="0" shapeId="0" xr:uid="{D5724394-B949-481A-8ECE-957042C3AD83}">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16" authorId="0" shapeId="0" xr:uid="{18467CB4-680F-4F2F-9C44-3EEC307FC275}">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16" authorId="0" shapeId="0" xr:uid="{D17C1B56-E58F-4A43-9C8C-91ED49583D43}">
      <text>
        <r>
          <rPr>
            <sz val="8"/>
            <color indexed="81"/>
            <rFont val="Tahoma"/>
            <family val="2"/>
          </rPr>
          <t>The Chain Length 
options are; 
Default
500mm
750mm
1000mm
1250mm
1500mm
2000mm
Motorised;
N/A</t>
        </r>
      </text>
    </comment>
    <comment ref="P16" authorId="0" shapeId="0" xr:uid="{3F403F94-0FA6-4DC6-974E-11A8881901B7}">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16" authorId="0" shapeId="0" xr:uid="{A8D8D107-C34D-4317-AD9C-B3D1944F1EB3}">
      <text>
        <r>
          <rPr>
            <sz val="8"/>
            <color indexed="81"/>
            <rFont val="Tahoma"/>
            <family val="2"/>
          </rPr>
          <t>For Multi Shade and
Triple Shade,  
the  Fabric Insert  
options are;
Yes
For Roma Shade 
the  Fabric Insert  
options are;
N/A</t>
        </r>
      </text>
    </comment>
    <comment ref="R16" authorId="0" shapeId="0" xr:uid="{9049A243-B968-48B5-AAF8-914C400DA2A0}">
      <text>
        <r>
          <rPr>
            <sz val="8"/>
            <color indexed="81"/>
            <rFont val="Tahoma"/>
            <family val="2"/>
          </rPr>
          <t>For Multi Shade, 
the options are;
Standard
Over Roll
For Triple Shade, 
the options are;
Standard
For Roma Shade 
the  options are;
N/A</t>
        </r>
      </text>
    </comment>
    <comment ref="T16" authorId="0" shapeId="0" xr:uid="{00000000-0006-0000-0800-0000A0000000}">
      <text>
        <r>
          <rPr>
            <sz val="8"/>
            <color indexed="81"/>
            <rFont val="Tahoma"/>
            <family val="2"/>
          </rPr>
          <t>Please use this section 
to specify 
any Special Requirements
for the Line/Order.</t>
        </r>
      </text>
    </comment>
    <comment ref="D17" authorId="0" shapeId="0" xr:uid="{7721B7DB-470E-4C98-AC89-CF93B32CDE09}">
      <text>
        <r>
          <rPr>
            <sz val="8"/>
            <color indexed="81"/>
            <rFont val="Tahoma"/>
            <family val="2"/>
          </rPr>
          <t>The Products options are;
Multi Shade
Roma Shade
Triple Shade</t>
        </r>
      </text>
    </comment>
    <comment ref="E17" authorId="0" shapeId="0" xr:uid="{27721C05-A620-480D-BA0E-3862A08A071E}">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17" authorId="0" shapeId="0" xr:uid="{C35602B6-CE98-49F4-B11E-E1C122A11203}">
      <text>
        <r>
          <rPr>
            <sz val="8"/>
            <color indexed="81"/>
            <rFont val="Tahoma"/>
            <family val="2"/>
          </rPr>
          <t>The Colour can only be selected 
once the Product Type &amp; Finish has 
been entered.
Please refer to the Swatches.</t>
        </r>
      </text>
    </comment>
    <comment ref="G17" authorId="0" shapeId="0" xr:uid="{AE584AFC-3D21-488F-986C-6DEF291245D2}">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7" authorId="0" shapeId="0" xr:uid="{E590C755-FF54-44E6-BDB0-92F787D894C5}">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17" authorId="0" shapeId="0" xr:uid="{A5F2D8D2-0047-49B6-B398-96C52B2FEE28}">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17" authorId="0" shapeId="0" xr:uid="{CAC4639C-1E4C-433F-B740-0DD9DAC8D348}">
      <text>
        <r>
          <rPr>
            <sz val="8"/>
            <color indexed="81"/>
            <rFont val="Tahoma"/>
            <family val="2"/>
          </rPr>
          <t>The Fitting options are;
Face Fit
Recess Fit</t>
        </r>
      </text>
    </comment>
    <comment ref="K17" authorId="0" shapeId="0" xr:uid="{6AA474D6-B7BC-4B00-9BDE-6409E705DE01}">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7" authorId="0" shapeId="0" xr:uid="{9CCD0971-A870-4FF7-9AB5-E9A986D900E9}">
      <text>
        <r>
          <rPr>
            <sz val="8"/>
            <color indexed="81"/>
            <rFont val="Tahoma"/>
            <family val="2"/>
          </rPr>
          <t>The Head Box/Rail 
Colours for 
Multi Shades &amp; Triple Shades are;
Default
Beige
Black
Dark Brown
Grey
Ivory
Light Brown
White
The Head Box/Rail 
Colours for 
Roma Shades are;
N/A</t>
        </r>
      </text>
    </comment>
    <comment ref="M17" authorId="0" shapeId="0" xr:uid="{48DD22D6-5D21-4C70-859D-B06EFF389C2F}">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17" authorId="0" shapeId="0" xr:uid="{92A37A04-1EAD-4C60-8422-233C95F88BA3}">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17" authorId="0" shapeId="0" xr:uid="{99BF10D0-14A1-4DD2-B91A-27AFBF052D81}">
      <text>
        <r>
          <rPr>
            <sz val="8"/>
            <color indexed="81"/>
            <rFont val="Tahoma"/>
            <family val="2"/>
          </rPr>
          <t>The Chain Length 
options are; 
Default
500mm
750mm
1000mm
1250mm
1500mm
2000mm
Motorised;
N/A</t>
        </r>
      </text>
    </comment>
    <comment ref="P17" authorId="0" shapeId="0" xr:uid="{80E92D3C-009D-4E40-B658-1AECDEB7FC98}">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17" authorId="0" shapeId="0" xr:uid="{648D7C41-63E5-4B06-A1A4-90128F1234B5}">
      <text>
        <r>
          <rPr>
            <sz val="8"/>
            <color indexed="81"/>
            <rFont val="Tahoma"/>
            <family val="2"/>
          </rPr>
          <t>For Multi Shade and
Triple Shade,  
the  Fabric Insert  
options are;
Yes
For Roma Shade 
the  Fabric Insert  
options are;
N/A</t>
        </r>
      </text>
    </comment>
    <comment ref="R17" authorId="0" shapeId="0" xr:uid="{A5230E2C-850A-4C37-8B44-2928B689FACB}">
      <text>
        <r>
          <rPr>
            <sz val="8"/>
            <color indexed="81"/>
            <rFont val="Tahoma"/>
            <family val="2"/>
          </rPr>
          <t>For Multi Shade, 
the options are;
Standard
Over Roll
For Triple Shade, 
the options are;
Standard
For Roma Shade 
the  options are;
N/A</t>
        </r>
      </text>
    </comment>
    <comment ref="T17" authorId="0" shapeId="0" xr:uid="{00000000-0006-0000-0800-0000B0000000}">
      <text>
        <r>
          <rPr>
            <sz val="8"/>
            <color indexed="81"/>
            <rFont val="Tahoma"/>
            <family val="2"/>
          </rPr>
          <t>Please use this section 
to specify 
any Special Requirements
for the Line/Order.</t>
        </r>
      </text>
    </comment>
    <comment ref="D18" authorId="0" shapeId="0" xr:uid="{10F80D27-517A-41F6-8893-52C8A3C88564}">
      <text>
        <r>
          <rPr>
            <sz val="8"/>
            <color indexed="81"/>
            <rFont val="Tahoma"/>
            <family val="2"/>
          </rPr>
          <t>The Products options are;
Multi Shade
Roma Shade
Triple Shade</t>
        </r>
      </text>
    </comment>
    <comment ref="E18" authorId="0" shapeId="0" xr:uid="{745AFF54-4C59-478A-B5D1-8C65886F3822}">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18" authorId="0" shapeId="0" xr:uid="{528BAE96-5FEF-400A-8511-59CA014545E3}">
      <text>
        <r>
          <rPr>
            <sz val="8"/>
            <color indexed="81"/>
            <rFont val="Tahoma"/>
            <family val="2"/>
          </rPr>
          <t>The Colour can only be selected 
once the Product Type &amp; Finish has 
been entered.
Please refer to the Swatches.</t>
        </r>
      </text>
    </comment>
    <comment ref="G18" authorId="0" shapeId="0" xr:uid="{A7BEAA11-FD21-4DDD-A34F-4D95F2C52D17}">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8" authorId="0" shapeId="0" xr:uid="{34C21BAD-36F0-462B-B218-99B03B4C5826}">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18" authorId="0" shapeId="0" xr:uid="{300B7943-2F52-4E64-95FF-781BF4187A03}">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18" authorId="0" shapeId="0" xr:uid="{8EAFF961-5350-40AC-BDBF-4C4342DEFCA4}">
      <text>
        <r>
          <rPr>
            <sz val="8"/>
            <color indexed="81"/>
            <rFont val="Tahoma"/>
            <family val="2"/>
          </rPr>
          <t>The Fitting options are;
Face Fit
Recess Fit</t>
        </r>
      </text>
    </comment>
    <comment ref="K18" authorId="0" shapeId="0" xr:uid="{2124314C-F236-4342-803A-A6B41FEF3399}">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8" authorId="0" shapeId="0" xr:uid="{66193A90-715B-4570-AFE1-07DD9BC68374}">
      <text>
        <r>
          <rPr>
            <sz val="8"/>
            <color indexed="81"/>
            <rFont val="Tahoma"/>
            <family val="2"/>
          </rPr>
          <t>The Head Box/Rail 
Colours for 
Multi Shades &amp; Triple Shades are;
Default
Beige
Black
Dark Brown
Grey
Ivory
Light Brown
White
The Head Box/Rail 
Colours for 
Roma Shades are;
N/A</t>
        </r>
      </text>
    </comment>
    <comment ref="M18" authorId="0" shapeId="0" xr:uid="{A27849E5-5A15-45A6-8799-66BAF8B6EFF0}">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18" authorId="0" shapeId="0" xr:uid="{73B6A7DA-55C5-4288-AFDC-68E152B00A39}">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18" authorId="0" shapeId="0" xr:uid="{B5A346BD-EAED-467C-BFA3-81B72DA11D82}">
      <text>
        <r>
          <rPr>
            <sz val="8"/>
            <color indexed="81"/>
            <rFont val="Tahoma"/>
            <family val="2"/>
          </rPr>
          <t>The Chain Length 
options are; 
Default
500mm
750mm
1000mm
1250mm
1500mm
2000mm
Motorised;
N/A</t>
        </r>
      </text>
    </comment>
    <comment ref="P18" authorId="0" shapeId="0" xr:uid="{9322A684-67F3-493A-9145-18B264A9C1B1}">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18" authorId="0" shapeId="0" xr:uid="{469CE7D9-8044-4F00-B511-83DE265E6B23}">
      <text>
        <r>
          <rPr>
            <sz val="8"/>
            <color indexed="81"/>
            <rFont val="Tahoma"/>
            <family val="2"/>
          </rPr>
          <t>For Multi Shade and
Triple Shade,  
the  Fabric Insert  
options are;
Yes
For Roma Shade 
the  Fabric Insert  
options are;
N/A</t>
        </r>
      </text>
    </comment>
    <comment ref="R18" authorId="0" shapeId="0" xr:uid="{A179BA32-981F-4E44-8381-D7B960B18496}">
      <text>
        <r>
          <rPr>
            <sz val="8"/>
            <color indexed="81"/>
            <rFont val="Tahoma"/>
            <family val="2"/>
          </rPr>
          <t>For Multi Shade, 
the options are;
Standard
Over Roll
For Triple Shade, 
the options are;
Standard
For Roma Shade 
the  options are;
N/A</t>
        </r>
      </text>
    </comment>
    <comment ref="T18" authorId="0" shapeId="0" xr:uid="{00000000-0006-0000-0800-0000C0000000}">
      <text>
        <r>
          <rPr>
            <sz val="8"/>
            <color indexed="81"/>
            <rFont val="Tahoma"/>
            <family val="2"/>
          </rPr>
          <t>Please use this section 
to specify 
any Special Requirements
for the Line/Order.</t>
        </r>
      </text>
    </comment>
    <comment ref="D19" authorId="0" shapeId="0" xr:uid="{DFB11FB4-9408-4E2F-8BFE-8B47DA971E62}">
      <text>
        <r>
          <rPr>
            <sz val="8"/>
            <color indexed="81"/>
            <rFont val="Tahoma"/>
            <family val="2"/>
          </rPr>
          <t>The Products options are;
Multi Shade
Roma Shade
Triple Shade</t>
        </r>
      </text>
    </comment>
    <comment ref="E19" authorId="0" shapeId="0" xr:uid="{EAECD8D1-EC12-40B7-AD49-6AA40B6DFBE1}">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19" authorId="0" shapeId="0" xr:uid="{8705B507-2E5B-4C3D-8BD8-74B6D5A3A4E1}">
      <text>
        <r>
          <rPr>
            <sz val="8"/>
            <color indexed="81"/>
            <rFont val="Tahoma"/>
            <family val="2"/>
          </rPr>
          <t>The Colour can only be selected 
once the Product Type &amp; Finish has 
been entered.
Please refer to the Swatches.</t>
        </r>
      </text>
    </comment>
    <comment ref="G19" authorId="0" shapeId="0" xr:uid="{855E1164-EBD9-41C9-B7EF-1E14B6D1D46B}">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19" authorId="0" shapeId="0" xr:uid="{24BC0B36-9592-46CA-9621-A7AA40EECDEE}">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19" authorId="0" shapeId="0" xr:uid="{AAF04E6C-F69B-4056-9596-0A5A228C79D9}">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19" authorId="0" shapeId="0" xr:uid="{05AA8868-A0E6-446D-A2C6-EC240903871B}">
      <text>
        <r>
          <rPr>
            <sz val="8"/>
            <color indexed="81"/>
            <rFont val="Tahoma"/>
            <family val="2"/>
          </rPr>
          <t>The Fitting options are;
Face Fit
Recess Fit</t>
        </r>
      </text>
    </comment>
    <comment ref="K19" authorId="0" shapeId="0" xr:uid="{05F13104-3260-470F-AEC5-02B1ACB19E34}">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9" authorId="0" shapeId="0" xr:uid="{13766E28-05B1-42B8-8658-3C76D3D12E21}">
      <text>
        <r>
          <rPr>
            <sz val="8"/>
            <color indexed="81"/>
            <rFont val="Tahoma"/>
            <family val="2"/>
          </rPr>
          <t>The Head Box/Rail 
Colours for 
Multi Shades &amp; Triple Shades are;
Default
Beige
Black
Dark Brown
Grey
Ivory
Light Brown
White
The Head Box/Rail 
Colours for 
Roma Shades are;
N/A</t>
        </r>
      </text>
    </comment>
    <comment ref="M19" authorId="0" shapeId="0" xr:uid="{071AD1FD-FF1D-4B06-9A9B-A0807651CCAA}">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19" authorId="0" shapeId="0" xr:uid="{A0FB0049-1241-4825-AFA5-4CEFD181FA89}">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19" authorId="0" shapeId="0" xr:uid="{CD01CD18-BB49-4F1F-89FE-37F1930372D2}">
      <text>
        <r>
          <rPr>
            <sz val="8"/>
            <color indexed="81"/>
            <rFont val="Tahoma"/>
            <family val="2"/>
          </rPr>
          <t>The Chain Length 
options are; 
Default
500mm
750mm
1000mm
1250mm
1500mm
2000mm
Motorised;
N/A</t>
        </r>
      </text>
    </comment>
    <comment ref="P19" authorId="0" shapeId="0" xr:uid="{BE2E2940-3791-4262-A82D-ACFFA3C65278}">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19" authorId="0" shapeId="0" xr:uid="{09AF3E04-4022-4AAC-9BD1-035E457945C2}">
      <text>
        <r>
          <rPr>
            <sz val="8"/>
            <color indexed="81"/>
            <rFont val="Tahoma"/>
            <family val="2"/>
          </rPr>
          <t>For Multi Shade and
Triple Shade,  
the  Fabric Insert  
options are;
Yes
For Roma Shade 
the  Fabric Insert  
options are;
N/A</t>
        </r>
      </text>
    </comment>
    <comment ref="R19" authorId="0" shapeId="0" xr:uid="{323D04B0-5CB8-43D3-8D27-C3E62F867DBA}">
      <text>
        <r>
          <rPr>
            <sz val="8"/>
            <color indexed="81"/>
            <rFont val="Tahoma"/>
            <family val="2"/>
          </rPr>
          <t>For Multi Shade, 
the options are;
Standard
Over Roll
For Triple Shade, 
the options are;
Standard
For Roma Shade 
the  options are;
N/A</t>
        </r>
      </text>
    </comment>
    <comment ref="T19" authorId="0" shapeId="0" xr:uid="{00000000-0006-0000-0800-0000D0000000}">
      <text>
        <r>
          <rPr>
            <sz val="8"/>
            <color indexed="81"/>
            <rFont val="Tahoma"/>
            <family val="2"/>
          </rPr>
          <t>Please use this section 
to specify 
any Special Requirements
for the Line/Order.</t>
        </r>
      </text>
    </comment>
    <comment ref="D20" authorId="0" shapeId="0" xr:uid="{0254F831-D7C2-4098-BA1E-7F1B3D9A8F05}">
      <text>
        <r>
          <rPr>
            <sz val="8"/>
            <color indexed="81"/>
            <rFont val="Tahoma"/>
            <family val="2"/>
          </rPr>
          <t>The Products options are;
Multi Shade
Roma Shade
Triple Shade</t>
        </r>
      </text>
    </comment>
    <comment ref="E20" authorId="0" shapeId="0" xr:uid="{78F4C338-76C3-4316-A73F-CC849923B85A}">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20" authorId="0" shapeId="0" xr:uid="{75BA0064-9B2F-41C5-980A-3D9122FE9F2F}">
      <text>
        <r>
          <rPr>
            <sz val="8"/>
            <color indexed="81"/>
            <rFont val="Tahoma"/>
            <family val="2"/>
          </rPr>
          <t>The Colour can only be selected 
once the Product Type &amp; Finish has 
been entered.
Please refer to the Swatches.</t>
        </r>
      </text>
    </comment>
    <comment ref="G20" authorId="0" shapeId="0" xr:uid="{70EE7302-CBD3-4D29-9C39-E28537D82213}">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0" authorId="0" shapeId="0" xr:uid="{77DE1B4B-03D8-4EBA-BFD7-1B48276A0AAF}">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20" authorId="0" shapeId="0" xr:uid="{51EA06FE-1EA6-4371-A6D6-C45B6C471755}">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20" authorId="0" shapeId="0" xr:uid="{A408A909-A628-415F-B313-771182121AC4}">
      <text>
        <r>
          <rPr>
            <sz val="8"/>
            <color indexed="81"/>
            <rFont val="Tahoma"/>
            <family val="2"/>
          </rPr>
          <t>The Fitting options are;
Face Fit
Recess Fit</t>
        </r>
      </text>
    </comment>
    <comment ref="K20" authorId="0" shapeId="0" xr:uid="{91F76DB9-2BDA-4FC4-BC94-807DAE2CFE4A}">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0" authorId="0" shapeId="0" xr:uid="{FC0D727F-6DF9-46C5-A553-6A2463C8D942}">
      <text>
        <r>
          <rPr>
            <sz val="8"/>
            <color indexed="81"/>
            <rFont val="Tahoma"/>
            <family val="2"/>
          </rPr>
          <t>The Head Box/Rail 
Colours for 
Multi Shades &amp; Triple Shades are;
Default
Beige
Black
Dark Brown
Grey
Ivory
Light Brown
White
The Head Box/Rail 
Colours for 
Roma Shades are;
N/A</t>
        </r>
      </text>
    </comment>
    <comment ref="M20" authorId="0" shapeId="0" xr:uid="{621798F8-2451-4781-AFF3-CD18335DE758}">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20" authorId="0" shapeId="0" xr:uid="{D030A6E9-40E2-4C4F-9BA7-9D5363815437}">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20" authorId="0" shapeId="0" xr:uid="{BCA04D39-F311-482F-8BA7-28F59453B3B4}">
      <text>
        <r>
          <rPr>
            <sz val="8"/>
            <color indexed="81"/>
            <rFont val="Tahoma"/>
            <family val="2"/>
          </rPr>
          <t>The Chain Length 
options are; 
Default
500mm
750mm
1000mm
1250mm
1500mm
2000mm
Motorised;
N/A</t>
        </r>
      </text>
    </comment>
    <comment ref="P20" authorId="0" shapeId="0" xr:uid="{29F5DFFA-DCE8-42B1-A4A3-39F3CF1065DB}">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20" authorId="0" shapeId="0" xr:uid="{FC5F30F5-345F-4FF4-89A2-F69A74E9DA80}">
      <text>
        <r>
          <rPr>
            <sz val="8"/>
            <color indexed="81"/>
            <rFont val="Tahoma"/>
            <family val="2"/>
          </rPr>
          <t>For Multi Shade and
Triple Shade,  
the  Fabric Insert  
options are;
Yes
For Roma Shade 
the  Fabric Insert  
options are;
N/A</t>
        </r>
      </text>
    </comment>
    <comment ref="R20" authorId="0" shapeId="0" xr:uid="{4AC3392B-6A61-45EB-9F5C-839B1D31079D}">
      <text>
        <r>
          <rPr>
            <sz val="8"/>
            <color indexed="81"/>
            <rFont val="Tahoma"/>
            <family val="2"/>
          </rPr>
          <t>For Multi Shade, 
the options are;
Standard
Over Roll
For Triple Shade, 
the options are;
Standard
For Roma Shade 
the  options are;
N/A</t>
        </r>
      </text>
    </comment>
    <comment ref="T20" authorId="0" shapeId="0" xr:uid="{00000000-0006-0000-0800-0000E0000000}">
      <text>
        <r>
          <rPr>
            <sz val="8"/>
            <color indexed="81"/>
            <rFont val="Tahoma"/>
            <family val="2"/>
          </rPr>
          <t>Please use this section 
to specify 
any Special Requirements
for the Line/Order.</t>
        </r>
      </text>
    </comment>
    <comment ref="D21" authorId="0" shapeId="0" xr:uid="{0411BBB0-B9C7-4F04-97A8-6B799AE7B6C8}">
      <text>
        <r>
          <rPr>
            <sz val="8"/>
            <color indexed="81"/>
            <rFont val="Tahoma"/>
            <family val="2"/>
          </rPr>
          <t>The Products options are;
Multi Shade
Roma Shade
Triple Shade</t>
        </r>
      </text>
    </comment>
    <comment ref="E21" authorId="0" shapeId="0" xr:uid="{2E98260D-3048-41CB-94B0-BB99E469C76E}">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21" authorId="0" shapeId="0" xr:uid="{F1BB2C63-3A05-4684-BD9F-77D527BDCAF2}">
      <text>
        <r>
          <rPr>
            <sz val="8"/>
            <color indexed="81"/>
            <rFont val="Tahoma"/>
            <family val="2"/>
          </rPr>
          <t>The Colour can only be selected 
once the Product Type &amp; Finish has 
been entered.
Please refer to the Swatches.</t>
        </r>
      </text>
    </comment>
    <comment ref="G21" authorId="0" shapeId="0" xr:uid="{69CEE6E0-9C68-45C9-AF33-6EC41686B85B}">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1" authorId="0" shapeId="0" xr:uid="{D7C6D81F-D691-4855-A308-FCEB9C0F711D}">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21" authorId="0" shapeId="0" xr:uid="{19E86118-BB4F-4F38-BE9C-5461EC88408C}">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21" authorId="0" shapeId="0" xr:uid="{8C47C3C5-C1A1-40E7-B724-82E57912C3CB}">
      <text>
        <r>
          <rPr>
            <sz val="8"/>
            <color indexed="81"/>
            <rFont val="Tahoma"/>
            <family val="2"/>
          </rPr>
          <t>The Fitting options are;
Face Fit
Recess Fit</t>
        </r>
      </text>
    </comment>
    <comment ref="K21" authorId="0" shapeId="0" xr:uid="{CB13FDA7-2508-4DB4-BBD1-D8D00FA0962E}">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1" authorId="0" shapeId="0" xr:uid="{767B670E-625A-45E8-A41F-7415C21C318E}">
      <text>
        <r>
          <rPr>
            <sz val="8"/>
            <color indexed="81"/>
            <rFont val="Tahoma"/>
            <family val="2"/>
          </rPr>
          <t>The Head Box/Rail 
Colours for 
Multi Shades &amp; Triple Shades are;
Default
Beige
Black
Dark Brown
Grey
Ivory
Light Brown
White
The Head Box/Rail 
Colours for 
Roma Shades are;
N/A</t>
        </r>
      </text>
    </comment>
    <comment ref="M21" authorId="0" shapeId="0" xr:uid="{18C39635-7BB3-4331-9447-52FE21B28994}">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21" authorId="0" shapeId="0" xr:uid="{93FD2B3F-658A-47D6-B381-40A7174D64A5}">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21" authorId="0" shapeId="0" xr:uid="{3E6D7277-038B-4F0B-8E6D-B957BA48C69F}">
      <text>
        <r>
          <rPr>
            <sz val="8"/>
            <color indexed="81"/>
            <rFont val="Tahoma"/>
            <family val="2"/>
          </rPr>
          <t>The Chain Length 
options are; 
Default
500mm
750mm
1000mm
1250mm
1500mm
2000mm
Motorised;
N/A</t>
        </r>
      </text>
    </comment>
    <comment ref="P21" authorId="0" shapeId="0" xr:uid="{33D31340-FBF4-4D99-B3EE-CC274CF98738}">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21" authorId="0" shapeId="0" xr:uid="{0A299B22-55EC-42D8-8374-158450168BA0}">
      <text>
        <r>
          <rPr>
            <sz val="8"/>
            <color indexed="81"/>
            <rFont val="Tahoma"/>
            <family val="2"/>
          </rPr>
          <t>For Multi Shade and
Triple Shade,  
the  Fabric Insert  
options are;
Yes
For Roma Shade 
the  Fabric Insert  
options are;
N/A</t>
        </r>
      </text>
    </comment>
    <comment ref="R21" authorId="0" shapeId="0" xr:uid="{A480208F-77AA-4E2C-A067-1E3CE2E5C828}">
      <text>
        <r>
          <rPr>
            <sz val="8"/>
            <color indexed="81"/>
            <rFont val="Tahoma"/>
            <family val="2"/>
          </rPr>
          <t>For Multi Shade, 
the options are;
Standard
Over Roll
For Triple Shade, 
the options are;
Standard
For Roma Shade 
the  options are;
N/A</t>
        </r>
      </text>
    </comment>
    <comment ref="T21" authorId="0" shapeId="0" xr:uid="{00000000-0006-0000-0800-0000F0000000}">
      <text>
        <r>
          <rPr>
            <sz val="8"/>
            <color indexed="81"/>
            <rFont val="Tahoma"/>
            <family val="2"/>
          </rPr>
          <t>Please use this section 
to specify 
any Special Requirements
for the Line/Order.</t>
        </r>
      </text>
    </comment>
    <comment ref="D22" authorId="0" shapeId="0" xr:uid="{30217A56-CA33-4879-BE18-5FF83B878C0A}">
      <text>
        <r>
          <rPr>
            <sz val="8"/>
            <color indexed="81"/>
            <rFont val="Tahoma"/>
            <family val="2"/>
          </rPr>
          <t>The Products options are;
Multi Shade
Roma Shade
Triple Shade</t>
        </r>
      </text>
    </comment>
    <comment ref="E22" authorId="0" shapeId="0" xr:uid="{8E985698-B270-4E1B-AE25-ED086139AF26}">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22" authorId="0" shapeId="0" xr:uid="{9E2BE927-DCB5-419D-AA21-A8E640DBF1DA}">
      <text>
        <r>
          <rPr>
            <sz val="8"/>
            <color indexed="81"/>
            <rFont val="Tahoma"/>
            <family val="2"/>
          </rPr>
          <t>The Colour can only be selected 
once the Product Type &amp; Finish has 
been entered.
Please refer to the Swatches.</t>
        </r>
      </text>
    </comment>
    <comment ref="G22" authorId="0" shapeId="0" xr:uid="{9F4646A6-2473-467D-9EB9-28391FD70310}">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2" authorId="0" shapeId="0" xr:uid="{3C71D430-B50A-415F-B447-6FF0AF0A0909}">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22" authorId="0" shapeId="0" xr:uid="{0C68E662-2D50-4234-96B0-0AAD95DDF1F1}">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22" authorId="0" shapeId="0" xr:uid="{231FAEED-6DE1-4AF1-991F-1D5F3CBC9F5E}">
      <text>
        <r>
          <rPr>
            <sz val="8"/>
            <color indexed="81"/>
            <rFont val="Tahoma"/>
            <family val="2"/>
          </rPr>
          <t>The Fitting options are;
Face Fit
Recess Fit</t>
        </r>
      </text>
    </comment>
    <comment ref="K22" authorId="0" shapeId="0" xr:uid="{78295628-B1A2-4ABF-AA0B-DB48FB325AAC}">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2" authorId="0" shapeId="0" xr:uid="{2FC8D30A-A65A-4542-BFD7-C97BF7B1B2C6}">
      <text>
        <r>
          <rPr>
            <sz val="8"/>
            <color indexed="81"/>
            <rFont val="Tahoma"/>
            <family val="2"/>
          </rPr>
          <t>The Head Box/Rail 
Colours for 
Multi Shades &amp; Triple Shades are;
Default
Beige
Black
Dark Brown
Grey
Ivory
Light Brown
White
The Head Box/Rail 
Colours for 
Roma Shades are;
N/A</t>
        </r>
      </text>
    </comment>
    <comment ref="M22" authorId="0" shapeId="0" xr:uid="{0E06E467-8139-4DA2-B713-2A781759EA04}">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22" authorId="0" shapeId="0" xr:uid="{7FA4A667-7800-4308-A8CF-1ACECBC92061}">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22" authorId="0" shapeId="0" xr:uid="{BB9BD256-D529-42BC-898C-EAE4F59E0145}">
      <text>
        <r>
          <rPr>
            <sz val="8"/>
            <color indexed="81"/>
            <rFont val="Tahoma"/>
            <family val="2"/>
          </rPr>
          <t>The Chain Length 
options are; 
Default
500mm
750mm
1000mm
1250mm
1500mm
2000mm
Motorised;
N/A</t>
        </r>
      </text>
    </comment>
    <comment ref="P22" authorId="0" shapeId="0" xr:uid="{BC138CEB-29D8-45BE-A0F9-E980720750B1}">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22" authorId="0" shapeId="0" xr:uid="{D3A4B6D4-DCD4-4804-8E85-CE6B984E9EDC}">
      <text>
        <r>
          <rPr>
            <sz val="8"/>
            <color indexed="81"/>
            <rFont val="Tahoma"/>
            <family val="2"/>
          </rPr>
          <t>For Multi Shade and
Triple Shade,  
the  Fabric Insert  
options are;
Yes
For Roma Shade 
the  Fabric Insert  
options are;
N/A</t>
        </r>
      </text>
    </comment>
    <comment ref="R22" authorId="0" shapeId="0" xr:uid="{F98252E9-60EF-44B6-A11E-6EC7222AF347}">
      <text>
        <r>
          <rPr>
            <sz val="8"/>
            <color indexed="81"/>
            <rFont val="Tahoma"/>
            <family val="2"/>
          </rPr>
          <t>For Multi Shade, 
the options are;
Standard
Over Roll
For Triple Shade, 
the options are;
Standard
For Roma Shade 
the  options are;
N/A</t>
        </r>
      </text>
    </comment>
    <comment ref="T22" authorId="0" shapeId="0" xr:uid="{00000000-0006-0000-0800-000000010000}">
      <text>
        <r>
          <rPr>
            <sz val="8"/>
            <color indexed="81"/>
            <rFont val="Tahoma"/>
            <family val="2"/>
          </rPr>
          <t>Please use this section 
to specify 
any Special Requirements
for the Line/Order.</t>
        </r>
      </text>
    </comment>
    <comment ref="D23" authorId="0" shapeId="0" xr:uid="{38173A0D-9AA1-4FCC-8E84-0E5056286126}">
      <text>
        <r>
          <rPr>
            <sz val="8"/>
            <color indexed="81"/>
            <rFont val="Tahoma"/>
            <family val="2"/>
          </rPr>
          <t>The Products options are;
Multi Shade
Roma Shade
Triple Shade</t>
        </r>
      </text>
    </comment>
    <comment ref="E23" authorId="0" shapeId="0" xr:uid="{DF3337B7-2483-4515-8925-E369AEF31DCD}">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23" authorId="0" shapeId="0" xr:uid="{61154455-CF9F-4104-82AC-55CA52528E7C}">
      <text>
        <r>
          <rPr>
            <sz val="8"/>
            <color indexed="81"/>
            <rFont val="Tahoma"/>
            <family val="2"/>
          </rPr>
          <t>The Colour can only be selected 
once the Product Type &amp; Finish has 
been entered.
Please refer to the Swatches.</t>
        </r>
      </text>
    </comment>
    <comment ref="G23" authorId="0" shapeId="0" xr:uid="{7763941D-F2F0-41E1-94A7-8EEC7140EAC4}">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3" authorId="0" shapeId="0" xr:uid="{7574261A-552F-410A-A947-4C24E1905DA5}">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23" authorId="0" shapeId="0" xr:uid="{28A87268-48D3-442C-8211-9C5AEB440511}">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23" authorId="0" shapeId="0" xr:uid="{228894DD-E581-460C-BE7A-91E02AA6938C}">
      <text>
        <r>
          <rPr>
            <sz val="8"/>
            <color indexed="81"/>
            <rFont val="Tahoma"/>
            <family val="2"/>
          </rPr>
          <t>The Fitting options are;
Face Fit
Recess Fit</t>
        </r>
      </text>
    </comment>
    <comment ref="K23" authorId="0" shapeId="0" xr:uid="{9F7381B1-E1E7-4C3F-AB7E-84EC3FF4140B}">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3" authorId="0" shapeId="0" xr:uid="{95D02BE6-3DEB-4300-904C-A99A4EB62A00}">
      <text>
        <r>
          <rPr>
            <sz val="8"/>
            <color indexed="81"/>
            <rFont val="Tahoma"/>
            <family val="2"/>
          </rPr>
          <t>The Head Box/Rail 
Colours for 
Multi Shades &amp; Triple Shades are;
Default
Beige
Black
Dark Brown
Grey
Ivory
Light Brown
White
The Head Box/Rail 
Colours for 
Roma Shades are;
N/A</t>
        </r>
      </text>
    </comment>
    <comment ref="M23" authorId="0" shapeId="0" xr:uid="{826470A3-11A8-40E9-9D42-8270611B1F5A}">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23" authorId="0" shapeId="0" xr:uid="{5342397A-59C5-472B-A5A2-4A815206E76F}">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23" authorId="0" shapeId="0" xr:uid="{622571E0-48FC-4D87-8482-B95B5457EDCB}">
      <text>
        <r>
          <rPr>
            <sz val="8"/>
            <color indexed="81"/>
            <rFont val="Tahoma"/>
            <family val="2"/>
          </rPr>
          <t>The Chain Length 
options are; 
Default
500mm
750mm
1000mm
1250mm
1500mm
2000mm
Motorised;
N/A</t>
        </r>
      </text>
    </comment>
    <comment ref="P23" authorId="0" shapeId="0" xr:uid="{384035AE-C88C-46A8-9BD3-59F6B3426D10}">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23" authorId="0" shapeId="0" xr:uid="{84235934-75FB-4AE6-8438-A406E81B4581}">
      <text>
        <r>
          <rPr>
            <sz val="8"/>
            <color indexed="81"/>
            <rFont val="Tahoma"/>
            <family val="2"/>
          </rPr>
          <t>For Multi Shade and
Triple Shade,  
the  Fabric Insert  
options are;
Yes
For Roma Shade 
the  Fabric Insert  
options are;
N/A</t>
        </r>
      </text>
    </comment>
    <comment ref="R23" authorId="0" shapeId="0" xr:uid="{BAE886FB-08AB-4AFA-B45E-2D0E51AF7F42}">
      <text>
        <r>
          <rPr>
            <sz val="8"/>
            <color indexed="81"/>
            <rFont val="Tahoma"/>
            <family val="2"/>
          </rPr>
          <t>For Multi Shade, 
the options are;
Standard
Over Roll
For Triple Shade, 
the options are;
Standard
For Roma Shade 
the  options are;
N/A</t>
        </r>
      </text>
    </comment>
    <comment ref="T23" authorId="0" shapeId="0" xr:uid="{00000000-0006-0000-0800-000010010000}">
      <text>
        <r>
          <rPr>
            <sz val="8"/>
            <color indexed="81"/>
            <rFont val="Tahoma"/>
            <family val="2"/>
          </rPr>
          <t>Please use this section 
to specify 
any Special Requirements
for the Line/Order.</t>
        </r>
      </text>
    </comment>
    <comment ref="D24" authorId="0" shapeId="0" xr:uid="{F49F5AD7-0C52-4CDF-8B1C-7CE25971E577}">
      <text>
        <r>
          <rPr>
            <sz val="8"/>
            <color indexed="81"/>
            <rFont val="Tahoma"/>
            <family val="2"/>
          </rPr>
          <t>The Products options are;
Multi Shade
Roma Shade
Triple Shade</t>
        </r>
      </text>
    </comment>
    <comment ref="E24" authorId="0" shapeId="0" xr:uid="{33CD5018-8D4E-4B51-9351-2A83DA745DB4}">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24" authorId="0" shapeId="0" xr:uid="{208A0A59-F346-473A-8FD0-E18ADD2BD4E7}">
      <text>
        <r>
          <rPr>
            <sz val="8"/>
            <color indexed="81"/>
            <rFont val="Tahoma"/>
            <family val="2"/>
          </rPr>
          <t>The Colour can only be selected 
once the Product Type &amp; Finish has 
been entered.
Please refer to the Swatches.</t>
        </r>
      </text>
    </comment>
    <comment ref="G24" authorId="0" shapeId="0" xr:uid="{B385B441-8741-405A-B7D7-40FDF25678B2}">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4" authorId="0" shapeId="0" xr:uid="{C11EBAAC-3023-4F79-B853-1FBA6908F1AA}">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24" authorId="0" shapeId="0" xr:uid="{A6F7603A-6FEA-4FCD-BCCE-002F41294D8A}">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24" authorId="0" shapeId="0" xr:uid="{99FAABB2-1287-472B-A2D5-7CE3785532F5}">
      <text>
        <r>
          <rPr>
            <sz val="8"/>
            <color indexed="81"/>
            <rFont val="Tahoma"/>
            <family val="2"/>
          </rPr>
          <t>The Fitting options are;
Face Fit
Recess Fit</t>
        </r>
      </text>
    </comment>
    <comment ref="K24" authorId="0" shapeId="0" xr:uid="{F98E1DC0-9BC8-42AC-BA38-500986BDC0AB}">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4" authorId="0" shapeId="0" xr:uid="{ED79027E-4640-4640-8434-CF643A073A89}">
      <text>
        <r>
          <rPr>
            <sz val="8"/>
            <color indexed="81"/>
            <rFont val="Tahoma"/>
            <family val="2"/>
          </rPr>
          <t>The Head Box/Rail 
Colours for 
Multi Shades &amp; Triple Shades are;
Default
Beige
Black
Dark Brown
Grey
Ivory
Light Brown
White
The Head Box/Rail 
Colours for 
Roma Shades are;
N/A</t>
        </r>
      </text>
    </comment>
    <comment ref="M24" authorId="0" shapeId="0" xr:uid="{76D09DD7-35BE-499D-B633-ACE271A8F1DC}">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24" authorId="0" shapeId="0" xr:uid="{A316993D-51B5-4145-B0D3-6355A72C855B}">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24" authorId="0" shapeId="0" xr:uid="{8B8BA993-51CF-4C37-8E89-F3E95445DF97}">
      <text>
        <r>
          <rPr>
            <sz val="8"/>
            <color indexed="81"/>
            <rFont val="Tahoma"/>
            <family val="2"/>
          </rPr>
          <t>The Chain Length 
options are; 
Default
500mm
750mm
1000mm
1250mm
1500mm
2000mm
Motorised;
N/A</t>
        </r>
      </text>
    </comment>
    <comment ref="P24" authorId="0" shapeId="0" xr:uid="{E8E33068-C05C-4520-87E9-018066D3A5AB}">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24" authorId="0" shapeId="0" xr:uid="{6B92DCF6-3D55-4BDB-8762-F5DAAA56F994}">
      <text>
        <r>
          <rPr>
            <sz val="8"/>
            <color indexed="81"/>
            <rFont val="Tahoma"/>
            <family val="2"/>
          </rPr>
          <t>For Multi Shade and
Triple Shade,  
the  Fabric Insert  
options are;
Yes
For Roma Shade 
the  Fabric Insert  
options are;
N/A</t>
        </r>
      </text>
    </comment>
    <comment ref="R24" authorId="0" shapeId="0" xr:uid="{D449A90B-E13F-4346-BB34-A5D283C7A16D}">
      <text>
        <r>
          <rPr>
            <sz val="8"/>
            <color indexed="81"/>
            <rFont val="Tahoma"/>
            <family val="2"/>
          </rPr>
          <t>For Multi Shade, 
the options are;
Standard
Over Roll
For Triple Shade, 
the options are;
Standard
For Roma Shade 
the  options are;
N/A</t>
        </r>
      </text>
    </comment>
    <comment ref="T24" authorId="0" shapeId="0" xr:uid="{00000000-0006-0000-0800-000020010000}">
      <text>
        <r>
          <rPr>
            <sz val="8"/>
            <color indexed="81"/>
            <rFont val="Tahoma"/>
            <family val="2"/>
          </rPr>
          <t>Please use this section 
to specify 
any Special Requirements
for the Line/Order.</t>
        </r>
      </text>
    </comment>
    <comment ref="D25" authorId="0" shapeId="0" xr:uid="{95FFB711-A0E7-4D85-926A-61406E271185}">
      <text>
        <r>
          <rPr>
            <sz val="8"/>
            <color indexed="81"/>
            <rFont val="Tahoma"/>
            <family val="2"/>
          </rPr>
          <t>The Products options are;
Multi Shade
Roma Shade
Triple Shade</t>
        </r>
      </text>
    </comment>
    <comment ref="E25" authorId="0" shapeId="0" xr:uid="{9E411902-8FD3-4F4B-B54D-078B6005BC74}">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25" authorId="0" shapeId="0" xr:uid="{10A021C3-ED51-4322-938D-7F67E313056D}">
      <text>
        <r>
          <rPr>
            <sz val="8"/>
            <color indexed="81"/>
            <rFont val="Tahoma"/>
            <family val="2"/>
          </rPr>
          <t>The Colour can only be selected 
once the Product Type &amp; Finish has 
been entered.
Please refer to the Swatches.</t>
        </r>
      </text>
    </comment>
    <comment ref="G25" authorId="0" shapeId="0" xr:uid="{A7A25E3A-49E1-413F-B29D-A039FF74B5EA}">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5" authorId="0" shapeId="0" xr:uid="{51C7897B-2231-46CE-9F4F-E221813FA952}">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25" authorId="0" shapeId="0" xr:uid="{4CE920CE-99C1-406D-95BC-B4B77989FA6D}">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25" authorId="0" shapeId="0" xr:uid="{576A6265-19B6-42ED-9E69-C3D3BEC64A71}">
      <text>
        <r>
          <rPr>
            <sz val="8"/>
            <color indexed="81"/>
            <rFont val="Tahoma"/>
            <family val="2"/>
          </rPr>
          <t>The Fitting options are;
Face Fit
Recess Fit</t>
        </r>
      </text>
    </comment>
    <comment ref="K25" authorId="0" shapeId="0" xr:uid="{F584F334-FA20-4AAF-B7D0-1211605C80C3}">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5" authorId="0" shapeId="0" xr:uid="{6B832A69-F888-4043-BE3B-722AF5FA105A}">
      <text>
        <r>
          <rPr>
            <sz val="8"/>
            <color indexed="81"/>
            <rFont val="Tahoma"/>
            <family val="2"/>
          </rPr>
          <t>The Head Box/Rail 
Colours for 
Multi Shades &amp; Triple Shades are;
Default
Beige
Black
Dark Brown
Grey
Ivory
Light Brown
White
The Head Box/Rail 
Colours for 
Roma Shades are;
N/A</t>
        </r>
      </text>
    </comment>
    <comment ref="M25" authorId="0" shapeId="0" xr:uid="{C4FF7960-E58C-4EF0-8021-4608535148AF}">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25" authorId="0" shapeId="0" xr:uid="{23DF9F1D-0D5D-4D26-B2F0-002C5E610F8A}">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25" authorId="0" shapeId="0" xr:uid="{6C3B9355-C1C2-4ED0-A7FD-A3FE463D3137}">
      <text>
        <r>
          <rPr>
            <sz val="8"/>
            <color indexed="81"/>
            <rFont val="Tahoma"/>
            <family val="2"/>
          </rPr>
          <t>The Chain Length 
options are; 
Default
500mm
750mm
1000mm
1250mm
1500mm
2000mm
Motorised;
N/A</t>
        </r>
      </text>
    </comment>
    <comment ref="P25" authorId="0" shapeId="0" xr:uid="{493A5FAE-A798-4EB7-AF6C-7E24C8EE6EDF}">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25" authorId="0" shapeId="0" xr:uid="{364C7CF8-CAEB-4E3B-9C11-3738F6C1A1CE}">
      <text>
        <r>
          <rPr>
            <sz val="8"/>
            <color indexed="81"/>
            <rFont val="Tahoma"/>
            <family val="2"/>
          </rPr>
          <t>For Multi Shade and
Triple Shade,  
the  Fabric Insert  
options are;
Yes
For Roma Shade 
the  Fabric Insert  
options are;
N/A</t>
        </r>
      </text>
    </comment>
    <comment ref="R25" authorId="0" shapeId="0" xr:uid="{3E550D87-D43B-4E6F-A580-81567905205C}">
      <text>
        <r>
          <rPr>
            <sz val="8"/>
            <color indexed="81"/>
            <rFont val="Tahoma"/>
            <family val="2"/>
          </rPr>
          <t>For Multi Shade, 
the options are;
Standard
Over Roll
For Triple Shade, 
the options are;
Standard
For Roma Shade 
the  options are;
N/A</t>
        </r>
      </text>
    </comment>
    <comment ref="T25" authorId="0" shapeId="0" xr:uid="{00000000-0006-0000-0800-000030010000}">
      <text>
        <r>
          <rPr>
            <sz val="8"/>
            <color indexed="81"/>
            <rFont val="Tahoma"/>
            <family val="2"/>
          </rPr>
          <t>Please use this section 
to specify 
any Special Requirements
for the Line/Order.</t>
        </r>
      </text>
    </comment>
    <comment ref="D26" authorId="0" shapeId="0" xr:uid="{6C5BA8BF-C8D9-403A-B70B-8B3F942CADE7}">
      <text>
        <r>
          <rPr>
            <sz val="8"/>
            <color indexed="81"/>
            <rFont val="Tahoma"/>
            <family val="2"/>
          </rPr>
          <t>The Products options are;
Multi Shade
Roma Shade
Triple Shade</t>
        </r>
      </text>
    </comment>
    <comment ref="E26" authorId="0" shapeId="0" xr:uid="{CE9798A2-656E-425F-BDE6-C4ABB76CDF3C}">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26" authorId="0" shapeId="0" xr:uid="{A164CECD-6D67-40CD-AE1E-FDFBB377F48B}">
      <text>
        <r>
          <rPr>
            <sz val="8"/>
            <color indexed="81"/>
            <rFont val="Tahoma"/>
            <family val="2"/>
          </rPr>
          <t>The Colour can only be selected 
once the Product Type &amp; Finish has 
been entered.
Please refer to the Swatches.</t>
        </r>
      </text>
    </comment>
    <comment ref="G26" authorId="0" shapeId="0" xr:uid="{3F92E0F6-CC03-408C-B523-C6279248E4C1}">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6" authorId="0" shapeId="0" xr:uid="{EFA84ADE-309D-401C-90E4-264045996AD9}">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26" authorId="0" shapeId="0" xr:uid="{E8AC598F-FD04-448A-88EE-0975503D71D8}">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26" authorId="0" shapeId="0" xr:uid="{17452436-2D7B-4522-B394-58689574B037}">
      <text>
        <r>
          <rPr>
            <sz val="8"/>
            <color indexed="81"/>
            <rFont val="Tahoma"/>
            <family val="2"/>
          </rPr>
          <t>The Fitting options are;
Face Fit
Recess Fit</t>
        </r>
      </text>
    </comment>
    <comment ref="K26" authorId="0" shapeId="0" xr:uid="{C5AF6796-1AA3-49AF-9F51-92ABC5BDD1C1}">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6" authorId="0" shapeId="0" xr:uid="{42D0F267-DA82-43AD-88E8-6905164F87C0}">
      <text>
        <r>
          <rPr>
            <sz val="8"/>
            <color indexed="81"/>
            <rFont val="Tahoma"/>
            <family val="2"/>
          </rPr>
          <t>The Head Box/Rail 
Colours for 
Multi Shades &amp; Triple Shades are;
Default
Beige
Black
Dark Brown
Grey
Ivory
Light Brown
White
The Head Box/Rail 
Colours for 
Roma Shades are;
N/A</t>
        </r>
      </text>
    </comment>
    <comment ref="M26" authorId="0" shapeId="0" xr:uid="{13035644-0823-4B4E-BB11-982FAC5634B2}">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26" authorId="0" shapeId="0" xr:uid="{F6BFBE04-CFA2-4211-B6E6-447410857103}">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26" authorId="0" shapeId="0" xr:uid="{F47CE1F3-EFD4-45E2-A1E8-98ED2758F419}">
      <text>
        <r>
          <rPr>
            <sz val="8"/>
            <color indexed="81"/>
            <rFont val="Tahoma"/>
            <family val="2"/>
          </rPr>
          <t>The Chain Length 
options are; 
Default
500mm
750mm
1000mm
1250mm
1500mm
2000mm
Motorised;
N/A</t>
        </r>
      </text>
    </comment>
    <comment ref="P26" authorId="0" shapeId="0" xr:uid="{1AA0B5FD-321E-45CC-A5F1-7D6751F03C84}">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26" authorId="0" shapeId="0" xr:uid="{F0D42F19-E47A-4F95-A584-570E7DD45331}">
      <text>
        <r>
          <rPr>
            <sz val="8"/>
            <color indexed="81"/>
            <rFont val="Tahoma"/>
            <family val="2"/>
          </rPr>
          <t>For Multi Shade and
Triple Shade,  
the  Fabric Insert  
options are;
Yes
For Roma Shade 
the  Fabric Insert  
options are;
N/A</t>
        </r>
      </text>
    </comment>
    <comment ref="R26" authorId="0" shapeId="0" xr:uid="{1B7D237C-C1E3-4D62-AAAA-4B9771079524}">
      <text>
        <r>
          <rPr>
            <sz val="8"/>
            <color indexed="81"/>
            <rFont val="Tahoma"/>
            <family val="2"/>
          </rPr>
          <t>For Multi Shade, 
the options are;
Standard
Over Roll
For Triple Shade, 
the options are;
Standard
For Roma Shade 
the  options are;
N/A</t>
        </r>
      </text>
    </comment>
    <comment ref="T26" authorId="0" shapeId="0" xr:uid="{00000000-0006-0000-0800-000040010000}">
      <text>
        <r>
          <rPr>
            <sz val="8"/>
            <color indexed="81"/>
            <rFont val="Tahoma"/>
            <family val="2"/>
          </rPr>
          <t>Please use this section 
to specify 
any Special Requirements
for the Line/Order.</t>
        </r>
      </text>
    </comment>
    <comment ref="D27" authorId="0" shapeId="0" xr:uid="{D86F9849-0C2B-4845-B9F5-F26EAF35C421}">
      <text>
        <r>
          <rPr>
            <sz val="8"/>
            <color indexed="81"/>
            <rFont val="Tahoma"/>
            <family val="2"/>
          </rPr>
          <t>The Products options are;
Multi Shade
Roma Shade
Triple Shade</t>
        </r>
      </text>
    </comment>
    <comment ref="E27" authorId="0" shapeId="0" xr:uid="{5DA7F065-F090-4F52-9D6E-84446A81B12F}">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27" authorId="0" shapeId="0" xr:uid="{50D26064-4726-475F-8DD4-3C8184ABBB84}">
      <text>
        <r>
          <rPr>
            <sz val="8"/>
            <color indexed="81"/>
            <rFont val="Tahoma"/>
            <family val="2"/>
          </rPr>
          <t>The Colour can only be selected 
once the Product Type &amp; Finish has 
been entered.
Please refer to the Swatches.</t>
        </r>
      </text>
    </comment>
    <comment ref="G27" authorId="0" shapeId="0" xr:uid="{9EBD4529-C035-42C5-8647-01DD1B4C3386}">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7" authorId="0" shapeId="0" xr:uid="{D50F560C-9D7E-4A56-9FE7-B02BCA534CA2}">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27" authorId="0" shapeId="0" xr:uid="{7918F171-6755-4F39-8378-47537C74A78A}">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27" authorId="0" shapeId="0" xr:uid="{656DD2EE-AF37-4FCA-A1C3-9373B0D64628}">
      <text>
        <r>
          <rPr>
            <sz val="8"/>
            <color indexed="81"/>
            <rFont val="Tahoma"/>
            <family val="2"/>
          </rPr>
          <t>The Fitting options are;
Face Fit
Recess Fit</t>
        </r>
      </text>
    </comment>
    <comment ref="K27" authorId="0" shapeId="0" xr:uid="{D51B1C79-8076-4822-9B6A-B3B3C408788C}">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7" authorId="0" shapeId="0" xr:uid="{56A46DE7-B162-4257-BEB9-F425BA67AD44}">
      <text>
        <r>
          <rPr>
            <sz val="8"/>
            <color indexed="81"/>
            <rFont val="Tahoma"/>
            <family val="2"/>
          </rPr>
          <t>The Head Box/Rail 
Colours for 
Multi Shades &amp; Triple Shades are;
Default
Beige
Black
Dark Brown
Grey
Ivory
Light Brown
White
The Head Box/Rail 
Colours for 
Roma Shades are;
N/A</t>
        </r>
      </text>
    </comment>
    <comment ref="M27" authorId="0" shapeId="0" xr:uid="{C7CFB41D-B91F-470E-95CE-F3BD969C6353}">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27" authorId="0" shapeId="0" xr:uid="{F0A2A34A-B05E-4509-BA91-23D5B36EADEC}">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27" authorId="0" shapeId="0" xr:uid="{2B2C4BDF-F32D-4AEE-8598-8DCE76BF14F2}">
      <text>
        <r>
          <rPr>
            <sz val="8"/>
            <color indexed="81"/>
            <rFont val="Tahoma"/>
            <family val="2"/>
          </rPr>
          <t>The Chain Length 
options are; 
Default
500mm
750mm
1000mm
1250mm
1500mm
2000mm
Motorised;
N/A</t>
        </r>
      </text>
    </comment>
    <comment ref="P27" authorId="0" shapeId="0" xr:uid="{36DDD309-E680-468C-9777-1B87F9A9094B}">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27" authorId="0" shapeId="0" xr:uid="{3DD7143D-C84E-4400-B13D-A1779561514D}">
      <text>
        <r>
          <rPr>
            <sz val="8"/>
            <color indexed="81"/>
            <rFont val="Tahoma"/>
            <family val="2"/>
          </rPr>
          <t>For Multi Shade and
Triple Shade,  
the  Fabric Insert  
options are;
Yes
For Roma Shade 
the  Fabric Insert  
options are;
N/A</t>
        </r>
      </text>
    </comment>
    <comment ref="R27" authorId="0" shapeId="0" xr:uid="{A02E5F96-619B-4D2F-81A4-92ACAF42179D}">
      <text>
        <r>
          <rPr>
            <sz val="8"/>
            <color indexed="81"/>
            <rFont val="Tahoma"/>
            <family val="2"/>
          </rPr>
          <t>For Multi Shade, 
the options are;
Standard
Over Roll
For Triple Shade, 
the options are;
Standard
For Roma Shade 
the  options are;
N/A</t>
        </r>
      </text>
    </comment>
    <comment ref="T27" authorId="0" shapeId="0" xr:uid="{00000000-0006-0000-0800-000050010000}">
      <text>
        <r>
          <rPr>
            <sz val="8"/>
            <color indexed="81"/>
            <rFont val="Tahoma"/>
            <family val="2"/>
          </rPr>
          <t>Please use this section 
to specify 
any Special Requirements
for the Line/Order.</t>
        </r>
      </text>
    </comment>
    <comment ref="D28" authorId="0" shapeId="0" xr:uid="{920E499F-3026-48C4-9CD6-5F7DE0E3ED45}">
      <text>
        <r>
          <rPr>
            <sz val="8"/>
            <color indexed="81"/>
            <rFont val="Tahoma"/>
            <family val="2"/>
          </rPr>
          <t>The Products options are;
Multi Shade
Roma Shade
Triple Shade</t>
        </r>
      </text>
    </comment>
    <comment ref="E28" authorId="0" shapeId="0" xr:uid="{FCF1B46D-F4AE-421F-8E9F-F9414361A975}">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28" authorId="0" shapeId="0" xr:uid="{AE0C0F80-1034-4C09-BB4D-579817B9E050}">
      <text>
        <r>
          <rPr>
            <sz val="8"/>
            <color indexed="81"/>
            <rFont val="Tahoma"/>
            <family val="2"/>
          </rPr>
          <t>The Colour can only be selected 
once the Product Type &amp; Finish has 
been entered.
Please refer to the Swatches.</t>
        </r>
      </text>
    </comment>
    <comment ref="G28" authorId="0" shapeId="0" xr:uid="{EAA3ACDA-FAD1-4D52-9A43-1034C06F6827}">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8" authorId="0" shapeId="0" xr:uid="{81CEF88F-9492-4599-8A37-48E9D47FD1B0}">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28" authorId="0" shapeId="0" xr:uid="{32A6CA2A-24B4-4244-8FA8-CE9C1FA20718}">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28" authorId="0" shapeId="0" xr:uid="{841A0D52-AF51-4B08-A333-604CFACFCFB7}">
      <text>
        <r>
          <rPr>
            <sz val="8"/>
            <color indexed="81"/>
            <rFont val="Tahoma"/>
            <family val="2"/>
          </rPr>
          <t>The Fitting options are;
Face Fit
Recess Fit</t>
        </r>
      </text>
    </comment>
    <comment ref="K28" authorId="0" shapeId="0" xr:uid="{664CA9C6-30A3-4CC0-831B-322A8053D5F8}">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8" authorId="0" shapeId="0" xr:uid="{A6EDAD01-5F3F-436F-869A-A06490610920}">
      <text>
        <r>
          <rPr>
            <sz val="8"/>
            <color indexed="81"/>
            <rFont val="Tahoma"/>
            <family val="2"/>
          </rPr>
          <t>The Head Box/Rail 
Colours for 
Multi Shades &amp; Triple Shades are;
Default
Beige
Black
Dark Brown
Grey
Ivory
Light Brown
White
The Head Box/Rail 
Colours for 
Roma Shades are;
N/A</t>
        </r>
      </text>
    </comment>
    <comment ref="M28" authorId="0" shapeId="0" xr:uid="{B9529B72-CE5F-488A-A108-4AD4E8B4F985}">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28" authorId="0" shapeId="0" xr:uid="{4ADE26C2-0C15-4D94-9014-089D2792A288}">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28" authorId="0" shapeId="0" xr:uid="{8278B743-2641-46B4-B6EF-C16B832F8886}">
      <text>
        <r>
          <rPr>
            <sz val="8"/>
            <color indexed="81"/>
            <rFont val="Tahoma"/>
            <family val="2"/>
          </rPr>
          <t>The Chain Length 
options are; 
Default
500mm
750mm
1000mm
1250mm
1500mm
2000mm
Motorised;
N/A</t>
        </r>
      </text>
    </comment>
    <comment ref="P28" authorId="0" shapeId="0" xr:uid="{86FFFFB4-D528-4B77-9000-428BEAA0FA45}">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28" authorId="0" shapeId="0" xr:uid="{FD2C8054-5E31-4B57-82F6-F1F005ECF3B8}">
      <text>
        <r>
          <rPr>
            <sz val="8"/>
            <color indexed="81"/>
            <rFont val="Tahoma"/>
            <family val="2"/>
          </rPr>
          <t>For Multi Shade and
Triple Shade,  
the  Fabric Insert  
options are;
Yes
For Roma Shade 
the  Fabric Insert  
options are;
N/A</t>
        </r>
      </text>
    </comment>
    <comment ref="R28" authorId="0" shapeId="0" xr:uid="{33A96A5F-9B70-416C-BD76-27E6E09216AE}">
      <text>
        <r>
          <rPr>
            <sz val="8"/>
            <color indexed="81"/>
            <rFont val="Tahoma"/>
            <family val="2"/>
          </rPr>
          <t>For Multi Shade, 
the options are;
Standard
Over Roll
For Triple Shade, 
the options are;
Standard
For Roma Shade 
the  options are;
N/A</t>
        </r>
      </text>
    </comment>
    <comment ref="T28" authorId="0" shapeId="0" xr:uid="{00000000-0006-0000-0800-000060010000}">
      <text>
        <r>
          <rPr>
            <sz val="8"/>
            <color indexed="81"/>
            <rFont val="Tahoma"/>
            <family val="2"/>
          </rPr>
          <t>Please use this section 
to specify 
any Special Requirements
for the Line/Order.</t>
        </r>
      </text>
    </comment>
    <comment ref="D29" authorId="0" shapeId="0" xr:uid="{5FEEA917-D0E5-4E03-BF88-20E008548399}">
      <text>
        <r>
          <rPr>
            <sz val="8"/>
            <color indexed="81"/>
            <rFont val="Tahoma"/>
            <family val="2"/>
          </rPr>
          <t>The Products options are;
Multi Shade
Roma Shade
Triple Shade</t>
        </r>
      </text>
    </comment>
    <comment ref="E29" authorId="0" shapeId="0" xr:uid="{D56ED664-2B6F-420E-A1C1-367846810CE6}">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29" authorId="0" shapeId="0" xr:uid="{EC8CF7D7-4DF8-4C03-B900-FCC2F7C11784}">
      <text>
        <r>
          <rPr>
            <sz val="8"/>
            <color indexed="81"/>
            <rFont val="Tahoma"/>
            <family val="2"/>
          </rPr>
          <t>The Colour can only be selected 
once the Product Type &amp; Finish has 
been entered.
Please refer to the Swatches.</t>
        </r>
      </text>
    </comment>
    <comment ref="G29" authorId="0" shapeId="0" xr:uid="{777B6A6B-C0A2-43FB-A194-A496B4C26B8B}">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29" authorId="0" shapeId="0" xr:uid="{278BA82A-B024-44AC-8E70-5279AE7D93CA}">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29" authorId="0" shapeId="0" xr:uid="{0FAEE007-5279-41CB-AB98-C7B57D721293}">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29" authorId="0" shapeId="0" xr:uid="{31C792DC-FEE9-4654-AC6E-79CEABFF4585}">
      <text>
        <r>
          <rPr>
            <sz val="8"/>
            <color indexed="81"/>
            <rFont val="Tahoma"/>
            <family val="2"/>
          </rPr>
          <t>The Fitting options are;
Face Fit
Recess Fit</t>
        </r>
      </text>
    </comment>
    <comment ref="K29" authorId="0" shapeId="0" xr:uid="{9AC6282D-FDBF-4CA1-8AD8-3D951E62B13B}">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9" authorId="0" shapeId="0" xr:uid="{7DEC7857-283F-463B-8427-9C0DC8257FD9}">
      <text>
        <r>
          <rPr>
            <sz val="8"/>
            <color indexed="81"/>
            <rFont val="Tahoma"/>
            <family val="2"/>
          </rPr>
          <t>The Head Box/Rail 
Colours for 
Multi Shades &amp; Triple Shades are;
Default
Beige
Black
Dark Brown
Grey
Ivory
Light Brown
White
The Head Box/Rail 
Colours for 
Roma Shades are;
N/A</t>
        </r>
      </text>
    </comment>
    <comment ref="M29" authorId="0" shapeId="0" xr:uid="{938630E1-5C3F-413E-95E3-8AD4B9EED9FA}">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29" authorId="0" shapeId="0" xr:uid="{48C892F6-96C0-4C5C-A15A-AFC51CE0E714}">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29" authorId="0" shapeId="0" xr:uid="{8E49CF7B-78F3-4FF4-8066-B053CE354E8C}">
      <text>
        <r>
          <rPr>
            <sz val="8"/>
            <color indexed="81"/>
            <rFont val="Tahoma"/>
            <family val="2"/>
          </rPr>
          <t>The Chain Length 
options are; 
Default
500mm
750mm
1000mm
1250mm
1500mm
2000mm
Motorised;
N/A</t>
        </r>
      </text>
    </comment>
    <comment ref="P29" authorId="0" shapeId="0" xr:uid="{DC999269-4C06-42B0-81B2-E66AE0ACB687}">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29" authorId="0" shapeId="0" xr:uid="{67B09930-644D-42CB-B965-8F09D565A5DB}">
      <text>
        <r>
          <rPr>
            <sz val="8"/>
            <color indexed="81"/>
            <rFont val="Tahoma"/>
            <family val="2"/>
          </rPr>
          <t>For Multi Shade and
Triple Shade,  
the  Fabric Insert  
options are;
Yes
For Roma Shade 
the  Fabric Insert  
options are;
N/A</t>
        </r>
      </text>
    </comment>
    <comment ref="R29" authorId="0" shapeId="0" xr:uid="{E1BD073B-504B-46D6-AF68-86207A9BF50F}">
      <text>
        <r>
          <rPr>
            <sz val="8"/>
            <color indexed="81"/>
            <rFont val="Tahoma"/>
            <family val="2"/>
          </rPr>
          <t>For Multi Shade, 
the options are;
Standard
Over Roll
For Triple Shade, 
the options are;
Standard
For Roma Shade 
the  options are;
N/A</t>
        </r>
      </text>
    </comment>
    <comment ref="T29" authorId="0" shapeId="0" xr:uid="{00000000-0006-0000-0800-000070010000}">
      <text>
        <r>
          <rPr>
            <sz val="8"/>
            <color indexed="81"/>
            <rFont val="Tahoma"/>
            <family val="2"/>
          </rPr>
          <t>Please use this section 
to specify 
any Special Requirements
for the Line/Order.</t>
        </r>
      </text>
    </comment>
    <comment ref="D30" authorId="0" shapeId="0" xr:uid="{495AA35F-31E3-4A9B-A49B-AE5BC4A07ED5}">
      <text>
        <r>
          <rPr>
            <sz val="8"/>
            <color indexed="81"/>
            <rFont val="Tahoma"/>
            <family val="2"/>
          </rPr>
          <t>The Products options are;
Multi Shade
Roma Shade
Triple Shade</t>
        </r>
      </text>
    </comment>
    <comment ref="E30" authorId="0" shapeId="0" xr:uid="{E6E81A52-32FA-426F-BB1A-6E065598C037}">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30" authorId="0" shapeId="0" xr:uid="{138DEBB5-5757-4A08-8AF4-C06EC69D7A32}">
      <text>
        <r>
          <rPr>
            <sz val="8"/>
            <color indexed="81"/>
            <rFont val="Tahoma"/>
            <family val="2"/>
          </rPr>
          <t>The Colour can only be selected 
once the Product Type &amp; Finish has 
been entered.
Please refer to the Swatches.</t>
        </r>
      </text>
    </comment>
    <comment ref="G30" authorId="0" shapeId="0" xr:uid="{DF036147-C02B-46B8-9CC7-4142844C1C38}">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0" authorId="0" shapeId="0" xr:uid="{324245D0-9192-4BDE-AC76-24B7CEC33AE0}">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30" authorId="0" shapeId="0" xr:uid="{3E770181-2D47-41FC-A8FC-64F26E694225}">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30" authorId="0" shapeId="0" xr:uid="{18938682-3AAC-4F77-AF33-FD781F34AF6C}">
      <text>
        <r>
          <rPr>
            <sz val="8"/>
            <color indexed="81"/>
            <rFont val="Tahoma"/>
            <family val="2"/>
          </rPr>
          <t>The Fitting options are;
Face Fit
Recess Fit</t>
        </r>
      </text>
    </comment>
    <comment ref="K30" authorId="0" shapeId="0" xr:uid="{FD59B01D-F9D1-4C9F-84C0-E1B7886DA230}">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0" authorId="0" shapeId="0" xr:uid="{AEA1E101-2CA2-4963-884B-D6313C11B919}">
      <text>
        <r>
          <rPr>
            <sz val="8"/>
            <color indexed="81"/>
            <rFont val="Tahoma"/>
            <family val="2"/>
          </rPr>
          <t>The Head Box/Rail 
Colours for 
Multi Shades &amp; Triple Shades are;
Default
Beige
Black
Dark Brown
Grey
Ivory
Light Brown
White
The Head Box/Rail 
Colours for 
Roma Shades are;
N/A</t>
        </r>
      </text>
    </comment>
    <comment ref="M30" authorId="0" shapeId="0" xr:uid="{1D356DB5-A211-4635-BB47-F9F46E7C9B16}">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30" authorId="0" shapeId="0" xr:uid="{44AF39B7-7693-4FE5-B174-6C49C60FAFA7}">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30" authorId="0" shapeId="0" xr:uid="{6DB8934C-8397-4B1B-B004-4C678A119535}">
      <text>
        <r>
          <rPr>
            <sz val="8"/>
            <color indexed="81"/>
            <rFont val="Tahoma"/>
            <family val="2"/>
          </rPr>
          <t>The Chain Length 
options are; 
Default
500mm
750mm
1000mm
1250mm
1500mm
2000mm
Motorised;
N/A</t>
        </r>
      </text>
    </comment>
    <comment ref="P30" authorId="0" shapeId="0" xr:uid="{7E8120D1-BE94-46C0-8081-169810F3DDE6}">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30" authorId="0" shapeId="0" xr:uid="{20FC618D-444A-43BD-ACC6-B52588A639B4}">
      <text>
        <r>
          <rPr>
            <sz val="8"/>
            <color indexed="81"/>
            <rFont val="Tahoma"/>
            <family val="2"/>
          </rPr>
          <t>For Multi Shade and
Triple Shade,  
the  Fabric Insert  
options are;
Yes
For Roma Shade 
the  Fabric Insert  
options are;
N/A</t>
        </r>
      </text>
    </comment>
    <comment ref="R30" authorId="0" shapeId="0" xr:uid="{C383FEF6-EF02-4337-9C4B-5729F07C54DA}">
      <text>
        <r>
          <rPr>
            <sz val="8"/>
            <color indexed="81"/>
            <rFont val="Tahoma"/>
            <family val="2"/>
          </rPr>
          <t>For Multi Shade, 
the options are;
Standard
Over Roll
For Triple Shade, 
the options are;
Standard
For Roma Shade 
the  options are;
N/A</t>
        </r>
      </text>
    </comment>
    <comment ref="T30" authorId="0" shapeId="0" xr:uid="{00000000-0006-0000-0800-000080010000}">
      <text>
        <r>
          <rPr>
            <sz val="8"/>
            <color indexed="81"/>
            <rFont val="Tahoma"/>
            <family val="2"/>
          </rPr>
          <t>Please use this section 
to specify 
any Special Requirements
for the Line/Order.</t>
        </r>
      </text>
    </comment>
    <comment ref="D31" authorId="0" shapeId="0" xr:uid="{5F40586A-6278-47BD-BC31-93AA578991C6}">
      <text>
        <r>
          <rPr>
            <sz val="8"/>
            <color indexed="81"/>
            <rFont val="Tahoma"/>
            <family val="2"/>
          </rPr>
          <t>The Products options are;
Multi Shade
Roma Shade
Triple Shade</t>
        </r>
      </text>
    </comment>
    <comment ref="E31" authorId="0" shapeId="0" xr:uid="{78C8BECC-09ED-4750-A6BD-15AB0299D04D}">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31" authorId="0" shapeId="0" xr:uid="{BBA01AFD-3EDA-46AF-BA05-9FB057426E0F}">
      <text>
        <r>
          <rPr>
            <sz val="8"/>
            <color indexed="81"/>
            <rFont val="Tahoma"/>
            <family val="2"/>
          </rPr>
          <t>The Colour can only be selected 
once the Product Type &amp; Finish has 
been entered.
Please refer to the Swatches.</t>
        </r>
      </text>
    </comment>
    <comment ref="G31" authorId="0" shapeId="0" xr:uid="{1BFA64B1-05F4-4408-97BE-523D15DBDB80}">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1" authorId="0" shapeId="0" xr:uid="{9AEC4C45-DD21-4738-A900-77623EBC311E}">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31" authorId="0" shapeId="0" xr:uid="{2BA0F61E-EC3F-493E-B857-F04E72685042}">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31" authorId="0" shapeId="0" xr:uid="{A9BF2E23-9D6E-4D99-BC55-9F13CBA7663E}">
      <text>
        <r>
          <rPr>
            <sz val="8"/>
            <color indexed="81"/>
            <rFont val="Tahoma"/>
            <family val="2"/>
          </rPr>
          <t>The Fitting options are;
Face Fit
Recess Fit</t>
        </r>
      </text>
    </comment>
    <comment ref="K31" authorId="0" shapeId="0" xr:uid="{A1A9A7BB-2348-4A1A-88C7-4BE1F1DD87D0}">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1" authorId="0" shapeId="0" xr:uid="{0BA4B73D-AF61-45CE-9B6B-0A7DE2A18EE3}">
      <text>
        <r>
          <rPr>
            <sz val="8"/>
            <color indexed="81"/>
            <rFont val="Tahoma"/>
            <family val="2"/>
          </rPr>
          <t>The Head Box/Rail 
Colours for 
Multi Shades &amp; Triple Shades are;
Default
Beige
Black
Dark Brown
Grey
Ivory
Light Brown
White
The Head Box/Rail 
Colours for 
Roma Shades are;
N/A</t>
        </r>
      </text>
    </comment>
    <comment ref="M31" authorId="0" shapeId="0" xr:uid="{C08F1FD1-B1FF-4D4D-949F-CA27C0B50D5A}">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31" authorId="0" shapeId="0" xr:uid="{3E38C45F-29DF-4254-9109-D89CBE3FBE53}">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31" authorId="0" shapeId="0" xr:uid="{A4E21D29-BE02-4D08-89D3-26A1A84AC3E1}">
      <text>
        <r>
          <rPr>
            <sz val="8"/>
            <color indexed="81"/>
            <rFont val="Tahoma"/>
            <family val="2"/>
          </rPr>
          <t>The Chain Length 
options are; 
Default
500mm
750mm
1000mm
1250mm
1500mm
2000mm
Motorised;
N/A</t>
        </r>
      </text>
    </comment>
    <comment ref="P31" authorId="0" shapeId="0" xr:uid="{95F4AD6E-0F60-4EE2-BD74-23FFE0E954BB}">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31" authorId="0" shapeId="0" xr:uid="{2FA9F406-0146-4ABA-ACE0-69171D8CD26D}">
      <text>
        <r>
          <rPr>
            <sz val="8"/>
            <color indexed="81"/>
            <rFont val="Tahoma"/>
            <family val="2"/>
          </rPr>
          <t>For Multi Shade and
Triple Shade,  
the  Fabric Insert  
options are;
Yes
For Roma Shade 
the  Fabric Insert  
options are;
N/A</t>
        </r>
      </text>
    </comment>
    <comment ref="R31" authorId="0" shapeId="0" xr:uid="{5C564825-B5B0-4DDD-AD29-5DEF6093813F}">
      <text>
        <r>
          <rPr>
            <sz val="8"/>
            <color indexed="81"/>
            <rFont val="Tahoma"/>
            <family val="2"/>
          </rPr>
          <t>For Multi Shade, 
the options are;
Standard
Over Roll
For Triple Shade, 
the options are;
Standard
For Roma Shade 
the  options are;
N/A</t>
        </r>
      </text>
    </comment>
    <comment ref="T31" authorId="0" shapeId="0" xr:uid="{00000000-0006-0000-0800-000090010000}">
      <text>
        <r>
          <rPr>
            <sz val="8"/>
            <color indexed="81"/>
            <rFont val="Tahoma"/>
            <family val="2"/>
          </rPr>
          <t>Please use this section 
to specify 
any Special Requirements
for the Line/Order.</t>
        </r>
      </text>
    </comment>
    <comment ref="D32" authorId="0" shapeId="0" xr:uid="{3CFE2A43-5E49-4437-BA17-56040610F620}">
      <text>
        <r>
          <rPr>
            <sz val="8"/>
            <color indexed="81"/>
            <rFont val="Tahoma"/>
            <family val="2"/>
          </rPr>
          <t>The Products options are;
Multi Shade
Roma Shade
Triple Shade</t>
        </r>
      </text>
    </comment>
    <comment ref="E32" authorId="0" shapeId="0" xr:uid="{F20527AB-996B-4EAA-BCCA-386052480A63}">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32" authorId="0" shapeId="0" xr:uid="{29C82DC1-3FB8-40D9-BDF4-D3C5EE6618B5}">
      <text>
        <r>
          <rPr>
            <sz val="8"/>
            <color indexed="81"/>
            <rFont val="Tahoma"/>
            <family val="2"/>
          </rPr>
          <t>The Colour can only be selected 
once the Product Type &amp; Finish has 
been entered.
Please refer to the Swatches.</t>
        </r>
      </text>
    </comment>
    <comment ref="G32" authorId="0" shapeId="0" xr:uid="{B0462AA4-066E-4C19-908A-7F2CCB170406}">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2" authorId="0" shapeId="0" xr:uid="{75976577-9D4B-4CCE-A8DF-93DE8E548483}">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32" authorId="0" shapeId="0" xr:uid="{71C40578-9841-4E65-A8C0-726F608948B3}">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32" authorId="0" shapeId="0" xr:uid="{A948A717-DF0A-41DE-9F1D-D9BCCD91AF6E}">
      <text>
        <r>
          <rPr>
            <sz val="8"/>
            <color indexed="81"/>
            <rFont val="Tahoma"/>
            <family val="2"/>
          </rPr>
          <t>The Fitting options are;
Face Fit
Recess Fit</t>
        </r>
      </text>
    </comment>
    <comment ref="K32" authorId="0" shapeId="0" xr:uid="{E6B39930-7632-4662-89BC-AD90FA554168}">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2" authorId="0" shapeId="0" xr:uid="{69246E52-F54B-4077-93C2-EE5307D0614A}">
      <text>
        <r>
          <rPr>
            <sz val="8"/>
            <color indexed="81"/>
            <rFont val="Tahoma"/>
            <family val="2"/>
          </rPr>
          <t>The Head Box/Rail 
Colours for 
Multi Shades &amp; Triple Shades are;
Default
Beige
Black
Dark Brown
Grey
Ivory
Light Brown
White
The Head Box/Rail 
Colours for 
Roma Shades are;
N/A</t>
        </r>
      </text>
    </comment>
    <comment ref="M32" authorId="0" shapeId="0" xr:uid="{3850F66B-55E8-47FA-8AEF-D9D927B825DE}">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32" authorId="0" shapeId="0" xr:uid="{4722DCD4-D7A2-4DA5-991C-0C3E3946DC7E}">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32" authorId="0" shapeId="0" xr:uid="{C3B7D9D4-3854-4EE8-94FE-C8022C620C29}">
      <text>
        <r>
          <rPr>
            <sz val="8"/>
            <color indexed="81"/>
            <rFont val="Tahoma"/>
            <family val="2"/>
          </rPr>
          <t>The Chain Length 
options are; 
Default
500mm
750mm
1000mm
1250mm
1500mm
2000mm
Motorised;
N/A</t>
        </r>
      </text>
    </comment>
    <comment ref="P32" authorId="0" shapeId="0" xr:uid="{F8D1D282-D5AC-4834-995D-211A1CC24BF8}">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32" authorId="0" shapeId="0" xr:uid="{D72B6103-A880-4649-86C1-3CB5E893B905}">
      <text>
        <r>
          <rPr>
            <sz val="8"/>
            <color indexed="81"/>
            <rFont val="Tahoma"/>
            <family val="2"/>
          </rPr>
          <t>For Multi Shade and
Triple Shade,  
the  Fabric Insert  
options are;
Yes
For Roma Shade 
the  Fabric Insert  
options are;
N/A</t>
        </r>
      </text>
    </comment>
    <comment ref="R32" authorId="0" shapeId="0" xr:uid="{CF0F834D-D923-4223-AF95-C310F1FE13E5}">
      <text>
        <r>
          <rPr>
            <sz val="8"/>
            <color indexed="81"/>
            <rFont val="Tahoma"/>
            <family val="2"/>
          </rPr>
          <t>For Multi Shade, 
the options are;
Standard
Over Roll
For Triple Shade, 
the options are;
Standard
For Roma Shade 
the  options are;
N/A</t>
        </r>
      </text>
    </comment>
    <comment ref="T32" authorId="0" shapeId="0" xr:uid="{00000000-0006-0000-0800-0000A0010000}">
      <text>
        <r>
          <rPr>
            <sz val="8"/>
            <color indexed="81"/>
            <rFont val="Tahoma"/>
            <family val="2"/>
          </rPr>
          <t>Please use this section 
to specify 
any Special Requirements
for the Line/Order.</t>
        </r>
      </text>
    </comment>
    <comment ref="D33" authorId="0" shapeId="0" xr:uid="{CFB8B361-1E43-4F88-839A-C9D491775C95}">
      <text>
        <r>
          <rPr>
            <sz val="8"/>
            <color indexed="81"/>
            <rFont val="Tahoma"/>
            <family val="2"/>
          </rPr>
          <t>The Products options are;
Multi Shade
Roma Shade
Triple Shade</t>
        </r>
      </text>
    </comment>
    <comment ref="E33" authorId="0" shapeId="0" xr:uid="{EA21EB84-7604-40AD-B321-E04B98010A67}">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33" authorId="0" shapeId="0" xr:uid="{D20B4CAD-30A3-4D0B-A74D-32EAB6A07475}">
      <text>
        <r>
          <rPr>
            <sz val="8"/>
            <color indexed="81"/>
            <rFont val="Tahoma"/>
            <family val="2"/>
          </rPr>
          <t>The Colour can only be selected 
once the Product Type &amp; Finish has 
been entered.
Please refer to the Swatches.</t>
        </r>
      </text>
    </comment>
    <comment ref="G33" authorId="0" shapeId="0" xr:uid="{4DA6B93A-66B6-416B-B02D-4B36DB1EB7F1}">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3" authorId="0" shapeId="0" xr:uid="{D937C885-3E3A-4F8C-AD8D-DE4B597D4292}">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33" authorId="0" shapeId="0" xr:uid="{6A8BE9A7-DE00-4AB6-BF52-8A2AA2FCF508}">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33" authorId="0" shapeId="0" xr:uid="{B7D4AA64-5903-4972-8A57-13BB3B72B860}">
      <text>
        <r>
          <rPr>
            <sz val="8"/>
            <color indexed="81"/>
            <rFont val="Tahoma"/>
            <family val="2"/>
          </rPr>
          <t>The Fitting options are;
Face Fit
Recess Fit</t>
        </r>
      </text>
    </comment>
    <comment ref="K33" authorId="0" shapeId="0" xr:uid="{C1DBB40B-253C-4666-87C4-4D710632E308}">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3" authorId="0" shapeId="0" xr:uid="{F3DB76B6-45FF-429A-9278-70596B6AD19A}">
      <text>
        <r>
          <rPr>
            <sz val="8"/>
            <color indexed="81"/>
            <rFont val="Tahoma"/>
            <family val="2"/>
          </rPr>
          <t>The Head Box/Rail 
Colours for 
Multi Shades &amp; Triple Shades are;
Default
Beige
Black
Dark Brown
Grey
Ivory
Light Brown
White
The Head Box/Rail 
Colours for 
Roma Shades are;
N/A</t>
        </r>
      </text>
    </comment>
    <comment ref="M33" authorId="0" shapeId="0" xr:uid="{1BE0A871-6F59-4A6D-90CD-5F7E0F9E63B3}">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33" authorId="0" shapeId="0" xr:uid="{096FFC9A-49D4-4A66-BA07-F63C01E860B6}">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33" authorId="0" shapeId="0" xr:uid="{1F6E62EC-269A-4E1E-BCA5-336CD2EEF8F0}">
      <text>
        <r>
          <rPr>
            <sz val="8"/>
            <color indexed="81"/>
            <rFont val="Tahoma"/>
            <family val="2"/>
          </rPr>
          <t>The Chain Length 
options are; 
Default
500mm
750mm
1000mm
1250mm
1500mm
2000mm
Motorised;
N/A</t>
        </r>
      </text>
    </comment>
    <comment ref="P33" authorId="0" shapeId="0" xr:uid="{C2466E7F-D8CD-482A-813D-2C04CAE6E336}">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33" authorId="0" shapeId="0" xr:uid="{E0BEE98F-9240-45B1-A55A-C374A03D55FB}">
      <text>
        <r>
          <rPr>
            <sz val="8"/>
            <color indexed="81"/>
            <rFont val="Tahoma"/>
            <family val="2"/>
          </rPr>
          <t>For Multi Shade and
Triple Shade,  
the  Fabric Insert  
options are;
Yes
For Roma Shade 
the  Fabric Insert  
options are;
N/A</t>
        </r>
      </text>
    </comment>
    <comment ref="R33" authorId="0" shapeId="0" xr:uid="{431893E1-BBF3-4223-A75A-C95C517695DF}">
      <text>
        <r>
          <rPr>
            <sz val="8"/>
            <color indexed="81"/>
            <rFont val="Tahoma"/>
            <family val="2"/>
          </rPr>
          <t>For Multi Shade, 
the options are;
Standard
Over Roll
For Triple Shade, 
the options are;
Standard
For Roma Shade 
the  options are;
N/A</t>
        </r>
      </text>
    </comment>
    <comment ref="T33" authorId="0" shapeId="0" xr:uid="{00000000-0006-0000-0800-0000B0010000}">
      <text>
        <r>
          <rPr>
            <sz val="8"/>
            <color indexed="81"/>
            <rFont val="Tahoma"/>
            <family val="2"/>
          </rPr>
          <t>Please use this section 
to specify 
any Special Requirements
for the Line/Order.</t>
        </r>
      </text>
    </comment>
    <comment ref="D34" authorId="0" shapeId="0" xr:uid="{A4B60CD9-7571-4081-9C6C-08F7E48D4B2D}">
      <text>
        <r>
          <rPr>
            <sz val="8"/>
            <color indexed="81"/>
            <rFont val="Tahoma"/>
            <family val="2"/>
          </rPr>
          <t>The Products options are;
Multi Shade
Roma Shade
Triple Shade</t>
        </r>
      </text>
    </comment>
    <comment ref="E34" authorId="0" shapeId="0" xr:uid="{B8FEC318-A193-4AFF-B157-CC85D90D5ACE}">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34" authorId="0" shapeId="0" xr:uid="{A6A6D6B8-96D0-426A-A742-3A238E4438C8}">
      <text>
        <r>
          <rPr>
            <sz val="8"/>
            <color indexed="81"/>
            <rFont val="Tahoma"/>
            <family val="2"/>
          </rPr>
          <t>The Colour can only be selected 
once the Product Type &amp; Finish has 
been entered.
Please refer to the Swatches.</t>
        </r>
      </text>
    </comment>
    <comment ref="G34" authorId="0" shapeId="0" xr:uid="{29E79273-4983-484C-ABDF-6863F3792852}">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4" authorId="0" shapeId="0" xr:uid="{FBD8235E-4B05-49E8-BF85-42DDB551CF52}">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34" authorId="0" shapeId="0" xr:uid="{90C44786-7469-45BA-B2BF-35546E1A7508}">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34" authorId="0" shapeId="0" xr:uid="{EBCC419E-6449-4E2C-AC81-1B81B8525B7B}">
      <text>
        <r>
          <rPr>
            <sz val="8"/>
            <color indexed="81"/>
            <rFont val="Tahoma"/>
            <family val="2"/>
          </rPr>
          <t>The Fitting options are;
Face Fit
Recess Fit</t>
        </r>
      </text>
    </comment>
    <comment ref="K34" authorId="0" shapeId="0" xr:uid="{767BCBC1-8123-4732-A483-5B385CA16673}">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4" authorId="0" shapeId="0" xr:uid="{94D64F05-073B-4328-A039-73551D863559}">
      <text>
        <r>
          <rPr>
            <sz val="8"/>
            <color indexed="81"/>
            <rFont val="Tahoma"/>
            <family val="2"/>
          </rPr>
          <t>The Head Box/Rail 
Colours for 
Multi Shades &amp; Triple Shades are;
Default
Beige
Black
Dark Brown
Grey
Ivory
Light Brown
White
The Head Box/Rail 
Colours for 
Roma Shades are;
N/A</t>
        </r>
      </text>
    </comment>
    <comment ref="M34" authorId="0" shapeId="0" xr:uid="{16114E59-1BD6-4F44-A02F-5E5CBD08F0EC}">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34" authorId="0" shapeId="0" xr:uid="{24062BE9-4DED-4536-8108-A793118EC4C5}">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34" authorId="0" shapeId="0" xr:uid="{86182B32-74CC-4856-A1F6-C22A9A05F0EF}">
      <text>
        <r>
          <rPr>
            <sz val="8"/>
            <color indexed="81"/>
            <rFont val="Tahoma"/>
            <family val="2"/>
          </rPr>
          <t>The Chain Length 
options are; 
Default
500mm
750mm
1000mm
1250mm
1500mm
2000mm
Motorised;
N/A</t>
        </r>
      </text>
    </comment>
    <comment ref="P34" authorId="0" shapeId="0" xr:uid="{03C2A167-CC94-4650-8A38-FB52ADA92EAF}">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34" authorId="0" shapeId="0" xr:uid="{39301D4F-E7B2-4064-9F8C-0C6F2244AE23}">
      <text>
        <r>
          <rPr>
            <sz val="8"/>
            <color indexed="81"/>
            <rFont val="Tahoma"/>
            <family val="2"/>
          </rPr>
          <t>For Multi Shade and
Triple Shade,  
the  Fabric Insert  
options are;
Yes
For Roma Shade 
the  Fabric Insert  
options are;
N/A</t>
        </r>
      </text>
    </comment>
    <comment ref="R34" authorId="0" shapeId="0" xr:uid="{D3D8209D-C078-47FF-BA33-4CE12DBDD3FD}">
      <text>
        <r>
          <rPr>
            <sz val="8"/>
            <color indexed="81"/>
            <rFont val="Tahoma"/>
            <family val="2"/>
          </rPr>
          <t>For Multi Shade, 
the options are;
Standard
Over Roll
For Triple Shade, 
the options are;
Standard
For Roma Shade 
the  options are;
N/A</t>
        </r>
      </text>
    </comment>
    <comment ref="T34" authorId="0" shapeId="0" xr:uid="{00000000-0006-0000-0800-0000C0010000}">
      <text>
        <r>
          <rPr>
            <sz val="8"/>
            <color indexed="81"/>
            <rFont val="Tahoma"/>
            <family val="2"/>
          </rPr>
          <t>Please use this section 
to specify 
any Special Requirements
for the Line/Order.</t>
        </r>
      </text>
    </comment>
    <comment ref="D35" authorId="0" shapeId="0" xr:uid="{D3E62FD2-425B-428A-9161-4F984C3C0431}">
      <text>
        <r>
          <rPr>
            <sz val="8"/>
            <color indexed="81"/>
            <rFont val="Tahoma"/>
            <family val="2"/>
          </rPr>
          <t>The Products options are;
Multi Shade
Roma Shade
Triple Shade</t>
        </r>
      </text>
    </comment>
    <comment ref="E35" authorId="0" shapeId="0" xr:uid="{99A98A00-E3D3-4D68-BCB8-6415564F4DDD}">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35" authorId="0" shapeId="0" xr:uid="{9E778F69-5832-4E05-B036-27872C93D865}">
      <text>
        <r>
          <rPr>
            <sz val="8"/>
            <color indexed="81"/>
            <rFont val="Tahoma"/>
            <family val="2"/>
          </rPr>
          <t>The Colour can only be selected 
once the Product Type &amp; Finish has 
been entered.
Please refer to the Swatches.</t>
        </r>
      </text>
    </comment>
    <comment ref="G35" authorId="0" shapeId="0" xr:uid="{FDBB6F65-91FA-4F8D-A53E-0DDB2EA235BC}">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5" authorId="0" shapeId="0" xr:uid="{E0199F4D-BAFC-4F5D-8F2E-7EE6F8434886}">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35" authorId="0" shapeId="0" xr:uid="{0968724A-9962-42C4-998C-BC0BC4F6AC41}">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35" authorId="0" shapeId="0" xr:uid="{EFB286B5-EA1E-4019-AFA5-B83BF5B74223}">
      <text>
        <r>
          <rPr>
            <sz val="8"/>
            <color indexed="81"/>
            <rFont val="Tahoma"/>
            <family val="2"/>
          </rPr>
          <t>The Fitting options are;
Face Fit
Recess Fit</t>
        </r>
      </text>
    </comment>
    <comment ref="K35" authorId="0" shapeId="0" xr:uid="{67EBD80D-A615-4B5C-8256-8D854155EE68}">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5" authorId="0" shapeId="0" xr:uid="{D5941BF6-7FE3-4AAD-84C3-FE68D862F82F}">
      <text>
        <r>
          <rPr>
            <sz val="8"/>
            <color indexed="81"/>
            <rFont val="Tahoma"/>
            <family val="2"/>
          </rPr>
          <t>The Head Box/Rail 
Colours for 
Multi Shades &amp; Triple Shades are;
Default
Beige
Black
Dark Brown
Grey
Ivory
Light Brown
White
The Head Box/Rail 
Colours for 
Roma Shades are;
N/A</t>
        </r>
      </text>
    </comment>
    <comment ref="M35" authorId="0" shapeId="0" xr:uid="{7BB361F9-64DB-4BDD-B879-C57519977E38}">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35" authorId="0" shapeId="0" xr:uid="{0127D55F-9C5C-4340-9D82-D8C8869A63C1}">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35" authorId="0" shapeId="0" xr:uid="{A3915619-7E89-45F8-B63A-5CF02EE677BB}">
      <text>
        <r>
          <rPr>
            <sz val="8"/>
            <color indexed="81"/>
            <rFont val="Tahoma"/>
            <family val="2"/>
          </rPr>
          <t>The Chain Length 
options are; 
Default
500mm
750mm
1000mm
1250mm
1500mm
2000mm
Motorised;
N/A</t>
        </r>
      </text>
    </comment>
    <comment ref="P35" authorId="0" shapeId="0" xr:uid="{A0DACD04-4F14-407E-AD44-7F7ED7175B18}">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35" authorId="0" shapeId="0" xr:uid="{94A262C5-5FD3-46BB-9F1D-E7B8D55649C8}">
      <text>
        <r>
          <rPr>
            <sz val="8"/>
            <color indexed="81"/>
            <rFont val="Tahoma"/>
            <family val="2"/>
          </rPr>
          <t>For Multi Shade and
Triple Shade,  
the  Fabric Insert  
options are;
Yes
For Roma Shade 
the  Fabric Insert  
options are;
N/A</t>
        </r>
      </text>
    </comment>
    <comment ref="R35" authorId="0" shapeId="0" xr:uid="{EE431624-4FAC-4CCA-9B43-6336F8F3883B}">
      <text>
        <r>
          <rPr>
            <sz val="8"/>
            <color indexed="81"/>
            <rFont val="Tahoma"/>
            <family val="2"/>
          </rPr>
          <t>For Multi Shade, 
the options are;
Standard
Over Roll
For Triple Shade, 
the options are;
Standard
For Roma Shade 
the  options are;
N/A</t>
        </r>
      </text>
    </comment>
    <comment ref="T35" authorId="0" shapeId="0" xr:uid="{00000000-0006-0000-0800-0000D0010000}">
      <text>
        <r>
          <rPr>
            <sz val="8"/>
            <color indexed="81"/>
            <rFont val="Tahoma"/>
            <family val="2"/>
          </rPr>
          <t>Please use this section 
to specify 
any Special Requirements
for the Line/Order.</t>
        </r>
      </text>
    </comment>
    <comment ref="D36" authorId="0" shapeId="0" xr:uid="{5A1C182D-C198-47D9-8916-A621D2E5A496}">
      <text>
        <r>
          <rPr>
            <sz val="8"/>
            <color indexed="81"/>
            <rFont val="Tahoma"/>
            <family val="2"/>
          </rPr>
          <t>The Products options are;
Multi Shade
Roma Shade
Triple Shade</t>
        </r>
      </text>
    </comment>
    <comment ref="E36" authorId="0" shapeId="0" xr:uid="{FEA5057F-10EA-4478-8E54-8B2E977305BB}">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36" authorId="0" shapeId="0" xr:uid="{C4259CAC-72D6-4682-9388-40853A363059}">
      <text>
        <r>
          <rPr>
            <sz val="8"/>
            <color indexed="81"/>
            <rFont val="Tahoma"/>
            <family val="2"/>
          </rPr>
          <t>The Colour can only be selected 
once the Product Type &amp; Finish has 
been entered.
Please refer to the Swatches.</t>
        </r>
      </text>
    </comment>
    <comment ref="G36" authorId="0" shapeId="0" xr:uid="{E463AD7E-6A9A-482D-883B-74837C80D17C}">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6" authorId="0" shapeId="0" xr:uid="{4630A91F-1056-4B13-903D-ED6B99794281}">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36" authorId="0" shapeId="0" xr:uid="{7162FAE6-F647-4FB0-B64D-9B78A329DCBF}">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36" authorId="0" shapeId="0" xr:uid="{0247D519-2B6F-412B-A10E-FC247C746C7C}">
      <text>
        <r>
          <rPr>
            <sz val="8"/>
            <color indexed="81"/>
            <rFont val="Tahoma"/>
            <family val="2"/>
          </rPr>
          <t>The Fitting options are;
Face Fit
Recess Fit</t>
        </r>
      </text>
    </comment>
    <comment ref="K36" authorId="0" shapeId="0" xr:uid="{74829D71-56DB-4544-A9CD-6D1CF3BB7288}">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6" authorId="0" shapeId="0" xr:uid="{6D718586-36D6-49F3-88A3-AAE4D736A6B6}">
      <text>
        <r>
          <rPr>
            <sz val="8"/>
            <color indexed="81"/>
            <rFont val="Tahoma"/>
            <family val="2"/>
          </rPr>
          <t>The Head Box/Rail 
Colours for 
Multi Shades &amp; Triple Shades are;
Default
Beige
Black
Dark Brown
Grey
Ivory
Light Brown
White
The Head Box/Rail 
Colours for 
Roma Shades are;
N/A</t>
        </r>
      </text>
    </comment>
    <comment ref="M36" authorId="0" shapeId="0" xr:uid="{CF1C22A6-E0EF-483F-BB0C-CB1A89D70530}">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36" authorId="0" shapeId="0" xr:uid="{A5CCF5D3-6572-442D-994D-C1F1E3C8E28A}">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36" authorId="0" shapeId="0" xr:uid="{CAF5F1BA-8F40-4DE0-A85C-F4093C3D6F3A}">
      <text>
        <r>
          <rPr>
            <sz val="8"/>
            <color indexed="81"/>
            <rFont val="Tahoma"/>
            <family val="2"/>
          </rPr>
          <t>The Chain Length 
options are; 
Default
500mm
750mm
1000mm
1250mm
1500mm
2000mm
Motorised;
N/A</t>
        </r>
      </text>
    </comment>
    <comment ref="P36" authorId="0" shapeId="0" xr:uid="{F175AABB-31A5-43BB-8935-D2E42BF9119A}">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36" authorId="0" shapeId="0" xr:uid="{DD98817D-A39F-462F-81FA-CFE0980131A7}">
      <text>
        <r>
          <rPr>
            <sz val="8"/>
            <color indexed="81"/>
            <rFont val="Tahoma"/>
            <family val="2"/>
          </rPr>
          <t>For Multi Shade and
Triple Shade,  
the  Fabric Insert  
options are;
Yes
For Roma Shade 
the  Fabric Insert  
options are;
N/A</t>
        </r>
      </text>
    </comment>
    <comment ref="R36" authorId="0" shapeId="0" xr:uid="{43D38C31-D4F8-49BA-83E9-2BBE76DE99A1}">
      <text>
        <r>
          <rPr>
            <sz val="8"/>
            <color indexed="81"/>
            <rFont val="Tahoma"/>
            <family val="2"/>
          </rPr>
          <t>For Multi Shade, 
the options are;
Standard
Over Roll
For Triple Shade, 
the options are;
Standard
For Roma Shade 
the  options are;
N/A</t>
        </r>
      </text>
    </comment>
    <comment ref="T36" authorId="0" shapeId="0" xr:uid="{00000000-0006-0000-0800-0000E0010000}">
      <text>
        <r>
          <rPr>
            <sz val="8"/>
            <color indexed="81"/>
            <rFont val="Tahoma"/>
            <family val="2"/>
          </rPr>
          <t>Please use this section 
to specify 
any Special Requirements
for the Line/Order.</t>
        </r>
      </text>
    </comment>
    <comment ref="D37" authorId="0" shapeId="0" xr:uid="{F6701359-DD8C-42FB-945D-F012F4D66D21}">
      <text>
        <r>
          <rPr>
            <sz val="8"/>
            <color indexed="81"/>
            <rFont val="Tahoma"/>
            <family val="2"/>
          </rPr>
          <t>The Products options are;
Multi Shade
Roma Shade
Triple Shade</t>
        </r>
      </text>
    </comment>
    <comment ref="E37" authorId="0" shapeId="0" xr:uid="{30EB0B2B-C404-4F12-9A50-F0168B328A0C}">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37" authorId="0" shapeId="0" xr:uid="{306D23D4-3402-4645-882B-C9A4370D2FA8}">
      <text>
        <r>
          <rPr>
            <sz val="8"/>
            <color indexed="81"/>
            <rFont val="Tahoma"/>
            <family val="2"/>
          </rPr>
          <t>The Colour can only be selected 
once the Product Type &amp; Finish has 
been entered.
Please refer to the Swatches.</t>
        </r>
      </text>
    </comment>
    <comment ref="G37" authorId="0" shapeId="0" xr:uid="{C2789D41-C048-4BBA-9567-C5BEC6D93826}">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7" authorId="0" shapeId="0" xr:uid="{3EAA06B9-440A-46AD-BA77-2283862DF492}">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37" authorId="0" shapeId="0" xr:uid="{648C6D8C-B68A-4CC8-B207-D938BD11671D}">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37" authorId="0" shapeId="0" xr:uid="{F7EEBE94-9CB8-4F5F-AED1-6B7F093B28EA}">
      <text>
        <r>
          <rPr>
            <sz val="8"/>
            <color indexed="81"/>
            <rFont val="Tahoma"/>
            <family val="2"/>
          </rPr>
          <t>The Fitting options are;
Face Fit
Recess Fit</t>
        </r>
      </text>
    </comment>
    <comment ref="K37" authorId="0" shapeId="0" xr:uid="{C351D210-94D4-4D72-B23E-CD29B657120F}">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7" authorId="0" shapeId="0" xr:uid="{17A7D704-AEE1-4D26-A2CF-1FE886F32AFE}">
      <text>
        <r>
          <rPr>
            <sz val="8"/>
            <color indexed="81"/>
            <rFont val="Tahoma"/>
            <family val="2"/>
          </rPr>
          <t>The Head Box/Rail 
Colours for 
Multi Shades &amp; Triple Shades are;
Default
Beige
Black
Dark Brown
Grey
Ivory
Light Brown
White
The Head Box/Rail 
Colours for 
Roma Shades are;
N/A</t>
        </r>
      </text>
    </comment>
    <comment ref="M37" authorId="0" shapeId="0" xr:uid="{A65B40E8-04F2-4629-AD75-244C60ADF95F}">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37" authorId="0" shapeId="0" xr:uid="{F09B39C7-48A6-44A0-9E70-4D5EDED41D38}">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37" authorId="0" shapeId="0" xr:uid="{3A00913C-2FD5-4A1A-86D2-18F853545995}">
      <text>
        <r>
          <rPr>
            <sz val="8"/>
            <color indexed="81"/>
            <rFont val="Tahoma"/>
            <family val="2"/>
          </rPr>
          <t>The Chain Length 
options are; 
Default
500mm
750mm
1000mm
1250mm
1500mm
2000mm
Motorised;
N/A</t>
        </r>
      </text>
    </comment>
    <comment ref="P37" authorId="0" shapeId="0" xr:uid="{017F581D-3C85-42B8-A71D-5CFD4AA58825}">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37" authorId="0" shapeId="0" xr:uid="{34A02131-92D3-46E6-AAC7-3BB80B8DDC54}">
      <text>
        <r>
          <rPr>
            <sz val="8"/>
            <color indexed="81"/>
            <rFont val="Tahoma"/>
            <family val="2"/>
          </rPr>
          <t>For Multi Shade and
Triple Shade,  
the  Fabric Insert  
options are;
Yes
For Roma Shade 
the  Fabric Insert  
options are;
N/A</t>
        </r>
      </text>
    </comment>
    <comment ref="R37" authorId="0" shapeId="0" xr:uid="{984B9CCB-AEF9-4B12-B118-225B28248374}">
      <text>
        <r>
          <rPr>
            <sz val="8"/>
            <color indexed="81"/>
            <rFont val="Tahoma"/>
            <family val="2"/>
          </rPr>
          <t>For Multi Shade, 
the options are;
Standard
Over Roll
For Triple Shade, 
the options are;
Standard
For Roma Shade 
the  options are;
N/A</t>
        </r>
      </text>
    </comment>
    <comment ref="T37" authorId="0" shapeId="0" xr:uid="{00000000-0006-0000-0800-0000F0010000}">
      <text>
        <r>
          <rPr>
            <sz val="8"/>
            <color indexed="81"/>
            <rFont val="Tahoma"/>
            <family val="2"/>
          </rPr>
          <t>Please use this section 
to specify 
any Special Requirements
for the Line/Order.</t>
        </r>
      </text>
    </comment>
    <comment ref="D38" authorId="0" shapeId="0" xr:uid="{103FF71D-81AD-418D-A8F4-ABF3B51314FE}">
      <text>
        <r>
          <rPr>
            <sz val="8"/>
            <color indexed="81"/>
            <rFont val="Tahoma"/>
            <family val="2"/>
          </rPr>
          <t>The Products options are;
Multi Shade
Roma Shade
Triple Shade</t>
        </r>
      </text>
    </comment>
    <comment ref="E38" authorId="0" shapeId="0" xr:uid="{DB9E9AA9-7CF6-47FF-860D-D89BA1A51B62}">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38" authorId="0" shapeId="0" xr:uid="{53626B45-2D20-4785-BD2D-1275F108DB9F}">
      <text>
        <r>
          <rPr>
            <sz val="8"/>
            <color indexed="81"/>
            <rFont val="Tahoma"/>
            <family val="2"/>
          </rPr>
          <t>The Colour can only be selected 
once the Product Type &amp; Finish has 
been entered.
Please refer to the Swatches.</t>
        </r>
      </text>
    </comment>
    <comment ref="G38" authorId="0" shapeId="0" xr:uid="{DA49790E-9E88-4143-A694-2240CC9C5145}">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8" authorId="0" shapeId="0" xr:uid="{8CED454D-D0F4-47F8-A46D-6EF3DC176E56}">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38" authorId="0" shapeId="0" xr:uid="{4BE45C42-16AC-47AC-A8DF-3806AEAE2593}">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38" authorId="0" shapeId="0" xr:uid="{1FA08B8B-C87E-40E9-9632-46F3D0A1997C}">
      <text>
        <r>
          <rPr>
            <sz val="8"/>
            <color indexed="81"/>
            <rFont val="Tahoma"/>
            <family val="2"/>
          </rPr>
          <t>The Fitting options are;
Face Fit
Recess Fit</t>
        </r>
      </text>
    </comment>
    <comment ref="K38" authorId="0" shapeId="0" xr:uid="{58EE3CDB-9E5C-4030-BF7E-C7F879C6D0CC}">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8" authorId="0" shapeId="0" xr:uid="{931E11A6-2FD1-4608-98CC-7FF0F6FDE2C2}">
      <text>
        <r>
          <rPr>
            <sz val="8"/>
            <color indexed="81"/>
            <rFont val="Tahoma"/>
            <family val="2"/>
          </rPr>
          <t>The Head Box/Rail 
Colours for 
Multi Shades &amp; Triple Shades are;
Default
Beige
Black
Dark Brown
Grey
Ivory
Light Brown
White
The Head Box/Rail 
Colours for 
Roma Shades are;
N/A</t>
        </r>
      </text>
    </comment>
    <comment ref="M38" authorId="0" shapeId="0" xr:uid="{72C67FF5-2909-44E2-A8B4-E6F3D5266F6F}">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38" authorId="0" shapeId="0" xr:uid="{20C2DCBB-5357-4CA8-800C-3CC02A436D3F}">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38" authorId="0" shapeId="0" xr:uid="{76A61BC0-EDDE-4C42-BFC7-B4A50E49CEEB}">
      <text>
        <r>
          <rPr>
            <sz val="8"/>
            <color indexed="81"/>
            <rFont val="Tahoma"/>
            <family val="2"/>
          </rPr>
          <t>The Chain Length 
options are; 
Default
500mm
750mm
1000mm
1250mm
1500mm
2000mm
Motorised;
N/A</t>
        </r>
      </text>
    </comment>
    <comment ref="P38" authorId="0" shapeId="0" xr:uid="{C3FB33AE-59FF-456D-B346-E69667D37436}">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38" authorId="0" shapeId="0" xr:uid="{CD2CC838-6EB1-4FD6-A02F-E053FFB1ACF2}">
      <text>
        <r>
          <rPr>
            <sz val="8"/>
            <color indexed="81"/>
            <rFont val="Tahoma"/>
            <family val="2"/>
          </rPr>
          <t>For Multi Shade and
Triple Shade,  
the  Fabric Insert  
options are;
Yes
For Roma Shade 
the  Fabric Insert  
options are;
N/A</t>
        </r>
      </text>
    </comment>
    <comment ref="R38" authorId="0" shapeId="0" xr:uid="{D77A50C4-0A46-4E1D-B255-31314AFFB7A4}">
      <text>
        <r>
          <rPr>
            <sz val="8"/>
            <color indexed="81"/>
            <rFont val="Tahoma"/>
            <family val="2"/>
          </rPr>
          <t>For Multi Shade, 
the options are;
Standard
Over Roll
For Triple Shade, 
the options are;
Standard
For Roma Shade 
the  options are;
N/A</t>
        </r>
      </text>
    </comment>
    <comment ref="T38" authorId="0" shapeId="0" xr:uid="{00000000-0006-0000-0800-000000020000}">
      <text>
        <r>
          <rPr>
            <sz val="8"/>
            <color indexed="81"/>
            <rFont val="Tahoma"/>
            <family val="2"/>
          </rPr>
          <t>Please use this section 
to specify 
any Special Requirements
for the Line/Order.</t>
        </r>
      </text>
    </comment>
    <comment ref="D39" authorId="0" shapeId="0" xr:uid="{863E42BC-4415-4033-ACC5-E1F3E1BE255A}">
      <text>
        <r>
          <rPr>
            <sz val="8"/>
            <color indexed="81"/>
            <rFont val="Tahoma"/>
            <family val="2"/>
          </rPr>
          <t>The Products options are;
Multi Shade
Roma Shade
Triple Shade</t>
        </r>
      </text>
    </comment>
    <comment ref="E39" authorId="0" shapeId="0" xr:uid="{D9162EA0-2CFC-49AB-B927-1BF40ADF860D}">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39" authorId="0" shapeId="0" xr:uid="{86B4F6C2-6263-4A6B-B4AD-FF96AAB54CE7}">
      <text>
        <r>
          <rPr>
            <sz val="8"/>
            <color indexed="81"/>
            <rFont val="Tahoma"/>
            <family val="2"/>
          </rPr>
          <t>The Colour can only be selected 
once the Product Type &amp; Finish has 
been entered.
Please refer to the Swatches.</t>
        </r>
      </text>
    </comment>
    <comment ref="G39" authorId="0" shapeId="0" xr:uid="{1EAFDA6B-0E61-4A20-B5BB-449BB7F863F7}">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39" authorId="0" shapeId="0" xr:uid="{CA703739-E342-44F5-AF75-8AF9D9151841}">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39" authorId="0" shapeId="0" xr:uid="{1D636D1C-964B-473C-B609-B54F6C403AA2}">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39" authorId="0" shapeId="0" xr:uid="{C2D28CBE-BF46-401D-98E3-2F3557FDA520}">
      <text>
        <r>
          <rPr>
            <sz val="8"/>
            <color indexed="81"/>
            <rFont val="Tahoma"/>
            <family val="2"/>
          </rPr>
          <t>The Fitting options are;
Face Fit
Recess Fit</t>
        </r>
      </text>
    </comment>
    <comment ref="K39" authorId="0" shapeId="0" xr:uid="{17379A23-8211-491B-AA81-61886140108E}">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9" authorId="0" shapeId="0" xr:uid="{491E3215-212B-4AA0-B4DD-FF6B6B7F64BB}">
      <text>
        <r>
          <rPr>
            <sz val="8"/>
            <color indexed="81"/>
            <rFont val="Tahoma"/>
            <family val="2"/>
          </rPr>
          <t>The Head Box/Rail 
Colours for 
Multi Shades &amp; Triple Shades are;
Default
Beige
Black
Dark Brown
Grey
Ivory
Light Brown
White
The Head Box/Rail 
Colours for 
Roma Shades are;
N/A</t>
        </r>
      </text>
    </comment>
    <comment ref="M39" authorId="0" shapeId="0" xr:uid="{B701AECE-2BA6-4942-97F9-B33F18D004AA}">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39" authorId="0" shapeId="0" xr:uid="{8277A7FF-DF8E-455C-9827-B78C74D1F140}">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39" authorId="0" shapeId="0" xr:uid="{075ECFA6-8202-4B20-8B4E-111713FDA612}">
      <text>
        <r>
          <rPr>
            <sz val="8"/>
            <color indexed="81"/>
            <rFont val="Tahoma"/>
            <family val="2"/>
          </rPr>
          <t>The Chain Length 
options are; 
Default
500mm
750mm
1000mm
1250mm
1500mm
2000mm
Motorised;
N/A</t>
        </r>
      </text>
    </comment>
    <comment ref="P39" authorId="0" shapeId="0" xr:uid="{D5530764-68A2-479C-9B4F-EBE30347F409}">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39" authorId="0" shapeId="0" xr:uid="{8B787202-47C2-4C96-A8AA-80C7D6691490}">
      <text>
        <r>
          <rPr>
            <sz val="8"/>
            <color indexed="81"/>
            <rFont val="Tahoma"/>
            <family val="2"/>
          </rPr>
          <t>For Multi Shade and
Triple Shade,  
the  Fabric Insert  
options are;
Yes
For Roma Shade 
the  Fabric Insert  
options are;
N/A</t>
        </r>
      </text>
    </comment>
    <comment ref="R39" authorId="0" shapeId="0" xr:uid="{3148610A-A8DF-4B8B-9956-F3B51B892EDE}">
      <text>
        <r>
          <rPr>
            <sz val="8"/>
            <color indexed="81"/>
            <rFont val="Tahoma"/>
            <family val="2"/>
          </rPr>
          <t>For Multi Shade, 
the options are;
Standard
Over Roll
For Triple Shade, 
the options are;
Standard
For Roma Shade 
the  options are;
N/A</t>
        </r>
      </text>
    </comment>
    <comment ref="T39" authorId="0" shapeId="0" xr:uid="{00000000-0006-0000-0800-000010020000}">
      <text>
        <r>
          <rPr>
            <sz val="8"/>
            <color indexed="81"/>
            <rFont val="Tahoma"/>
            <family val="2"/>
          </rPr>
          <t>Please use this section 
to specify 
any Special Requirements
for the Line/Order.</t>
        </r>
      </text>
    </comment>
    <comment ref="D40" authorId="0" shapeId="0" xr:uid="{4E9C3DD7-7084-4368-80CE-D820681726F5}">
      <text>
        <r>
          <rPr>
            <sz val="8"/>
            <color indexed="81"/>
            <rFont val="Tahoma"/>
            <family val="2"/>
          </rPr>
          <t>The Products options are;
Multi Shade
Roma Shade
Triple Shade</t>
        </r>
      </text>
    </comment>
    <comment ref="E40" authorId="0" shapeId="0" xr:uid="{EC566B47-DAE1-49A2-854D-28FAD33A5854}">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40" authorId="0" shapeId="0" xr:uid="{AFB10A67-650B-4686-9EE2-1FC50AE133A0}">
      <text>
        <r>
          <rPr>
            <sz val="8"/>
            <color indexed="81"/>
            <rFont val="Tahoma"/>
            <family val="2"/>
          </rPr>
          <t>The Colour can only be selected 
once the Product Type &amp; Finish has 
been entered.
Please refer to the Swatches.</t>
        </r>
      </text>
    </comment>
    <comment ref="G40" authorId="0" shapeId="0" xr:uid="{99481BDF-8874-4550-873E-10113915338F}">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0" authorId="0" shapeId="0" xr:uid="{AA2DBF97-802B-4015-A38D-AEB559A6C2C7}">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40" authorId="0" shapeId="0" xr:uid="{D8CC9C09-C7E5-4DD3-9CE8-7A15952EF83E}">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40" authorId="0" shapeId="0" xr:uid="{F2DDA525-38F3-47AA-9EBE-B89F34446CB1}">
      <text>
        <r>
          <rPr>
            <sz val="8"/>
            <color indexed="81"/>
            <rFont val="Tahoma"/>
            <family val="2"/>
          </rPr>
          <t>The Fitting options are;
Face Fit
Recess Fit</t>
        </r>
      </text>
    </comment>
    <comment ref="K40" authorId="0" shapeId="0" xr:uid="{BE8CE41D-1861-49CE-9323-BC49036FC50E}">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0" authorId="0" shapeId="0" xr:uid="{EFA2E01A-D896-49CA-8880-84D274A51F6C}">
      <text>
        <r>
          <rPr>
            <sz val="8"/>
            <color indexed="81"/>
            <rFont val="Tahoma"/>
            <family val="2"/>
          </rPr>
          <t>The Head Box/Rail 
Colours for 
Multi Shades &amp; Triple Shades are;
Default
Beige
Black
Dark Brown
Grey
Ivory
Light Brown
White
The Head Box/Rail 
Colours for 
Roma Shades are;
N/A</t>
        </r>
      </text>
    </comment>
    <comment ref="M40" authorId="0" shapeId="0" xr:uid="{DEA090FD-5DD2-4E6C-9F9A-0AE4B4E3334D}">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40" authorId="0" shapeId="0" xr:uid="{BAE6C839-52F9-4F00-BC9E-CBAB5E686DF5}">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40" authorId="0" shapeId="0" xr:uid="{3EBBFFBA-5301-45BC-BC2D-8DAEE4C92AFD}">
      <text>
        <r>
          <rPr>
            <sz val="8"/>
            <color indexed="81"/>
            <rFont val="Tahoma"/>
            <family val="2"/>
          </rPr>
          <t>The Chain Length 
options are; 
Default
500mm
750mm
1000mm
1250mm
1500mm
2000mm
Motorised;
N/A</t>
        </r>
      </text>
    </comment>
    <comment ref="P40" authorId="0" shapeId="0" xr:uid="{ECD0838C-FA57-4F15-92AF-F6C65285F827}">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40" authorId="0" shapeId="0" xr:uid="{D094198B-F91C-4FC5-8EEB-60783D80A3EA}">
      <text>
        <r>
          <rPr>
            <sz val="8"/>
            <color indexed="81"/>
            <rFont val="Tahoma"/>
            <family val="2"/>
          </rPr>
          <t>For Multi Shade and
Triple Shade,  
the  Fabric Insert  
options are;
Yes
For Roma Shade 
the  Fabric Insert  
options are;
N/A</t>
        </r>
      </text>
    </comment>
    <comment ref="R40" authorId="0" shapeId="0" xr:uid="{7FF7E28F-AB77-4BAF-B0BB-70407189D059}">
      <text>
        <r>
          <rPr>
            <sz val="8"/>
            <color indexed="81"/>
            <rFont val="Tahoma"/>
            <family val="2"/>
          </rPr>
          <t>For Multi Shade, 
the options are;
Standard
Over Roll
For Triple Shade, 
the options are;
Standard
For Roma Shade 
the  options are;
N/A</t>
        </r>
      </text>
    </comment>
    <comment ref="T40" authorId="0" shapeId="0" xr:uid="{00000000-0006-0000-0800-000020020000}">
      <text>
        <r>
          <rPr>
            <sz val="8"/>
            <color indexed="81"/>
            <rFont val="Tahoma"/>
            <family val="2"/>
          </rPr>
          <t>Please use this section 
to specify 
any Special Requirements
for the Line/Order.</t>
        </r>
      </text>
    </comment>
    <comment ref="D41" authorId="0" shapeId="0" xr:uid="{EA2F4DF3-01FD-464C-BE0D-DC7F219C5DE3}">
      <text>
        <r>
          <rPr>
            <sz val="8"/>
            <color indexed="81"/>
            <rFont val="Tahoma"/>
            <family val="2"/>
          </rPr>
          <t>The Products options are;
Multi Shade
Roma Shade
Triple Shade</t>
        </r>
      </text>
    </comment>
    <comment ref="E41" authorId="0" shapeId="0" xr:uid="{D439F674-DE82-4A58-8EF5-628612597012}">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41" authorId="0" shapeId="0" xr:uid="{CBF3113D-9B97-4041-BF8C-792DA631B0D1}">
      <text>
        <r>
          <rPr>
            <sz val="8"/>
            <color indexed="81"/>
            <rFont val="Tahoma"/>
            <family val="2"/>
          </rPr>
          <t>The Colour can only be selected 
once the Product Type &amp; Finish has 
been entered.
Please refer to the Swatches.</t>
        </r>
      </text>
    </comment>
    <comment ref="G41" authorId="0" shapeId="0" xr:uid="{5C0E5417-ADF9-40A6-AC96-9B5F3DAD8F23}">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1" authorId="0" shapeId="0" xr:uid="{7D9F071D-F9E7-4B88-9792-0A8E68A25786}">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41" authorId="0" shapeId="0" xr:uid="{3A9946EB-D9D1-4122-871D-1C25DD78E502}">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41" authorId="0" shapeId="0" xr:uid="{DCA816C8-FDE8-4AD7-BAA7-71057DF03D7E}">
      <text>
        <r>
          <rPr>
            <sz val="8"/>
            <color indexed="81"/>
            <rFont val="Tahoma"/>
            <family val="2"/>
          </rPr>
          <t>The Fitting options are;
Face Fit
Recess Fit</t>
        </r>
      </text>
    </comment>
    <comment ref="K41" authorId="0" shapeId="0" xr:uid="{6BBA1CA3-E52B-4CAE-8D5A-8DA499B64757}">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1" authorId="0" shapeId="0" xr:uid="{93C8BD3B-682C-40BB-BDF6-DA119EFD7506}">
      <text>
        <r>
          <rPr>
            <sz val="8"/>
            <color indexed="81"/>
            <rFont val="Tahoma"/>
            <family val="2"/>
          </rPr>
          <t>The Head Box/Rail 
Colours for 
Multi Shades &amp; Triple Shades are;
Default
Beige
Black
Dark Brown
Grey
Ivory
Light Brown
White
The Head Box/Rail 
Colours for 
Roma Shades are;
N/A</t>
        </r>
      </text>
    </comment>
    <comment ref="M41" authorId="0" shapeId="0" xr:uid="{FBECB61D-D72E-41A1-B007-2BA72FA5F22B}">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41" authorId="0" shapeId="0" xr:uid="{30DA0A6B-0FE0-48E2-8F7A-76C954E2D79D}">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41" authorId="0" shapeId="0" xr:uid="{3F7AC2DB-6354-4C13-8DA1-B4B29C934F99}">
      <text>
        <r>
          <rPr>
            <sz val="8"/>
            <color indexed="81"/>
            <rFont val="Tahoma"/>
            <family val="2"/>
          </rPr>
          <t>The Chain Length 
options are; 
Default
500mm
750mm
1000mm
1250mm
1500mm
2000mm
Motorised;
N/A</t>
        </r>
      </text>
    </comment>
    <comment ref="P41" authorId="0" shapeId="0" xr:uid="{AEF2D6B5-0BD4-426A-B299-40EEF0F94550}">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41" authorId="0" shapeId="0" xr:uid="{15BDFF34-9502-4126-879C-7AFF9F3E14E4}">
      <text>
        <r>
          <rPr>
            <sz val="8"/>
            <color indexed="81"/>
            <rFont val="Tahoma"/>
            <family val="2"/>
          </rPr>
          <t>For Multi Shade and
Triple Shade,  
the  Fabric Insert  
options are;
Yes
For Roma Shade 
the  Fabric Insert  
options are;
N/A</t>
        </r>
      </text>
    </comment>
    <comment ref="R41" authorId="0" shapeId="0" xr:uid="{4ABA259C-101E-4FA8-973E-EC202A75DB7A}">
      <text>
        <r>
          <rPr>
            <sz val="8"/>
            <color indexed="81"/>
            <rFont val="Tahoma"/>
            <family val="2"/>
          </rPr>
          <t>For Multi Shade, 
the options are;
Standard
Over Roll
For Triple Shade, 
the options are;
Standard
For Roma Shade 
the  options are;
N/A</t>
        </r>
      </text>
    </comment>
    <comment ref="T41" authorId="0" shapeId="0" xr:uid="{00000000-0006-0000-0800-000030020000}">
      <text>
        <r>
          <rPr>
            <sz val="8"/>
            <color indexed="81"/>
            <rFont val="Tahoma"/>
            <family val="2"/>
          </rPr>
          <t>Please use this section 
to specify 
any Special Requirements
for the Line/Order.</t>
        </r>
      </text>
    </comment>
    <comment ref="D42" authorId="0" shapeId="0" xr:uid="{48460319-022B-432C-9778-C2257AE19CD1}">
      <text>
        <r>
          <rPr>
            <sz val="8"/>
            <color indexed="81"/>
            <rFont val="Tahoma"/>
            <family val="2"/>
          </rPr>
          <t>The Products options are;
Multi Shade
Roma Shade
Triple Shade</t>
        </r>
      </text>
    </comment>
    <comment ref="E42" authorId="0" shapeId="0" xr:uid="{9977F91D-B491-4E48-91DF-221BFE6B1E2F}">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42" authorId="0" shapeId="0" xr:uid="{630BA414-50F2-4DA9-83CF-E2B6ED4C8390}">
      <text>
        <r>
          <rPr>
            <sz val="8"/>
            <color indexed="81"/>
            <rFont val="Tahoma"/>
            <family val="2"/>
          </rPr>
          <t>The Colour can only be selected 
once the Product Type &amp; Finish has 
been entered.
Please refer to the Swatches.</t>
        </r>
      </text>
    </comment>
    <comment ref="G42" authorId="0" shapeId="0" xr:uid="{1FDF87CB-CE6F-49FD-9D14-574D3672F635}">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2" authorId="0" shapeId="0" xr:uid="{85AD6192-EA5F-40FB-BFF5-9EA6F026F6D1}">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42" authorId="0" shapeId="0" xr:uid="{ABE80F26-B89D-49DC-939B-402DB40CC7DA}">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42" authorId="0" shapeId="0" xr:uid="{B9CBAFE9-6B43-4EAE-92ED-888AD349070D}">
      <text>
        <r>
          <rPr>
            <sz val="8"/>
            <color indexed="81"/>
            <rFont val="Tahoma"/>
            <family val="2"/>
          </rPr>
          <t>The Fitting options are;
Face Fit
Recess Fit</t>
        </r>
      </text>
    </comment>
    <comment ref="K42" authorId="0" shapeId="0" xr:uid="{883D3633-DD4A-47DD-BFA3-7590FF8AF9E0}">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2" authorId="0" shapeId="0" xr:uid="{7E9D43E2-477F-44C6-8441-C1AC9B267F35}">
      <text>
        <r>
          <rPr>
            <sz val="8"/>
            <color indexed="81"/>
            <rFont val="Tahoma"/>
            <family val="2"/>
          </rPr>
          <t>The Head Box/Rail 
Colours for 
Multi Shades &amp; Triple Shades are;
Default
Beige
Black
Dark Brown
Grey
Ivory
Light Brown
White
The Head Box/Rail 
Colours for 
Roma Shades are;
N/A</t>
        </r>
      </text>
    </comment>
    <comment ref="M42" authorId="0" shapeId="0" xr:uid="{96E660F0-F627-4F8E-AD38-B920FD2CA71E}">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42" authorId="0" shapeId="0" xr:uid="{CA746752-F632-4DDD-A636-8C65E78BB486}">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42" authorId="0" shapeId="0" xr:uid="{AE5A6B71-77F8-4142-AC69-3E09B754EA26}">
      <text>
        <r>
          <rPr>
            <sz val="8"/>
            <color indexed="81"/>
            <rFont val="Tahoma"/>
            <family val="2"/>
          </rPr>
          <t>The Chain Length 
options are; 
Default
500mm
750mm
1000mm
1250mm
1500mm
2000mm
Motorised;
N/A</t>
        </r>
      </text>
    </comment>
    <comment ref="P42" authorId="0" shapeId="0" xr:uid="{880F1954-193E-40DD-9B38-955311E55B3F}">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42" authorId="0" shapeId="0" xr:uid="{3B4068D5-082E-4BD3-B77B-13B98D692F94}">
      <text>
        <r>
          <rPr>
            <sz val="8"/>
            <color indexed="81"/>
            <rFont val="Tahoma"/>
            <family val="2"/>
          </rPr>
          <t>For Multi Shade and
Triple Shade,  
the  Fabric Insert  
options are;
Yes
For Roma Shade 
the  Fabric Insert  
options are;
N/A</t>
        </r>
      </text>
    </comment>
    <comment ref="R42" authorId="0" shapeId="0" xr:uid="{C20467F4-F8F3-41AE-824B-3CB6255762C4}">
      <text>
        <r>
          <rPr>
            <sz val="8"/>
            <color indexed="81"/>
            <rFont val="Tahoma"/>
            <family val="2"/>
          </rPr>
          <t>For Multi Shade, 
the options are;
Standard
Over Roll
For Triple Shade, 
the options are;
Standard
For Roma Shade 
the  options are;
N/A</t>
        </r>
      </text>
    </comment>
    <comment ref="T42" authorId="0" shapeId="0" xr:uid="{00000000-0006-0000-0800-000040020000}">
      <text>
        <r>
          <rPr>
            <sz val="8"/>
            <color indexed="81"/>
            <rFont val="Tahoma"/>
            <family val="2"/>
          </rPr>
          <t>Please use this section 
to specify 
any Special Requirements
for the Line/Order.</t>
        </r>
      </text>
    </comment>
    <comment ref="D43" authorId="0" shapeId="0" xr:uid="{FDCDFA0A-205E-4307-A52B-DF73ED6CE563}">
      <text>
        <r>
          <rPr>
            <sz val="8"/>
            <color indexed="81"/>
            <rFont val="Tahoma"/>
            <family val="2"/>
          </rPr>
          <t>The Products options are;
Multi Shade
Roma Shade
Triple Shade</t>
        </r>
      </text>
    </comment>
    <comment ref="E43" authorId="0" shapeId="0" xr:uid="{65B4392D-5728-4204-9964-58F119D6A6D4}">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43" authorId="0" shapeId="0" xr:uid="{40E29A23-27E8-4713-8212-846D1F3B1F4F}">
      <text>
        <r>
          <rPr>
            <sz val="8"/>
            <color indexed="81"/>
            <rFont val="Tahoma"/>
            <family val="2"/>
          </rPr>
          <t>The Colour can only be selected 
once the Product Type &amp; Finish has 
been entered.
Please refer to the Swatches.</t>
        </r>
      </text>
    </comment>
    <comment ref="G43" authorId="0" shapeId="0" xr:uid="{A6D20067-5BCE-4408-9FBF-71346BED85AE}">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3" authorId="0" shapeId="0" xr:uid="{D3CD1762-A820-48B8-96A4-D5A55F269C57}">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43" authorId="0" shapeId="0" xr:uid="{2BA3A823-E40D-4B15-8DA5-B1059D1824CC}">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43" authorId="0" shapeId="0" xr:uid="{992026DB-843A-4372-970A-4D0DCB1B5161}">
      <text>
        <r>
          <rPr>
            <sz val="8"/>
            <color indexed="81"/>
            <rFont val="Tahoma"/>
            <family val="2"/>
          </rPr>
          <t>The Fitting options are;
Face Fit
Recess Fit</t>
        </r>
      </text>
    </comment>
    <comment ref="K43" authorId="0" shapeId="0" xr:uid="{2E59ECE8-B2FC-42BA-852B-936839BB8D83}">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3" authorId="0" shapeId="0" xr:uid="{DB4A47A6-6BB5-4D43-9584-0C90AE460248}">
      <text>
        <r>
          <rPr>
            <sz val="8"/>
            <color indexed="81"/>
            <rFont val="Tahoma"/>
            <family val="2"/>
          </rPr>
          <t>The Head Box/Rail 
Colours for 
Multi Shades &amp; Triple Shades are;
Default
Beige
Black
Dark Brown
Grey
Ivory
Light Brown
White
The Head Box/Rail 
Colours for 
Roma Shades are;
N/A</t>
        </r>
      </text>
    </comment>
    <comment ref="M43" authorId="0" shapeId="0" xr:uid="{4CD4E8C0-2E90-4746-8D90-0B5F776DC025}">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43" authorId="0" shapeId="0" xr:uid="{58D21C03-7326-4772-9922-1EEE40ECBCDE}">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43" authorId="0" shapeId="0" xr:uid="{1AE091D5-7DCD-45FE-9544-23DEA4D00ED8}">
      <text>
        <r>
          <rPr>
            <sz val="8"/>
            <color indexed="81"/>
            <rFont val="Tahoma"/>
            <family val="2"/>
          </rPr>
          <t>The Chain Length 
options are; 
Default
500mm
750mm
1000mm
1250mm
1500mm
2000mm
Motorised;
N/A</t>
        </r>
      </text>
    </comment>
    <comment ref="P43" authorId="0" shapeId="0" xr:uid="{2EE4D046-A857-47F9-8ACD-61C2FA4A0B7D}">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43" authorId="0" shapeId="0" xr:uid="{C928A6A3-7813-4111-84B0-35F81DF44917}">
      <text>
        <r>
          <rPr>
            <sz val="8"/>
            <color indexed="81"/>
            <rFont val="Tahoma"/>
            <family val="2"/>
          </rPr>
          <t>For Multi Shade and
Triple Shade,  
the  Fabric Insert  
options are;
Yes
For Roma Shade 
the  Fabric Insert  
options are;
N/A</t>
        </r>
      </text>
    </comment>
    <comment ref="R43" authorId="0" shapeId="0" xr:uid="{2C35A4AD-0440-48C0-A6D2-B0AADE46CDCA}">
      <text>
        <r>
          <rPr>
            <sz val="8"/>
            <color indexed="81"/>
            <rFont val="Tahoma"/>
            <family val="2"/>
          </rPr>
          <t>For Multi Shade, 
the options are;
Standard
Over Roll
For Triple Shade, 
the options are;
Standard
For Roma Shade 
the  options are;
N/A</t>
        </r>
      </text>
    </comment>
    <comment ref="T43" authorId="0" shapeId="0" xr:uid="{00000000-0006-0000-0800-000050020000}">
      <text>
        <r>
          <rPr>
            <sz val="8"/>
            <color indexed="81"/>
            <rFont val="Tahoma"/>
            <family val="2"/>
          </rPr>
          <t>Please use this section 
to specify 
any Special Requirements
for the Line/Order.</t>
        </r>
      </text>
    </comment>
    <comment ref="D44" authorId="0" shapeId="0" xr:uid="{30FC039F-8C55-419F-8949-C1658609B4E1}">
      <text>
        <r>
          <rPr>
            <sz val="8"/>
            <color indexed="81"/>
            <rFont val="Tahoma"/>
            <family val="2"/>
          </rPr>
          <t>The Products options are;
Multi Shade
Roma Shade
Triple Shade</t>
        </r>
      </text>
    </comment>
    <comment ref="E44" authorId="0" shapeId="0" xr:uid="{EC825E8E-8E3F-4145-9515-BCC62C904AAB}">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44" authorId="0" shapeId="0" xr:uid="{7B5E850A-F4A0-47DF-80FA-9F65292F58B0}">
      <text>
        <r>
          <rPr>
            <sz val="8"/>
            <color indexed="81"/>
            <rFont val="Tahoma"/>
            <family val="2"/>
          </rPr>
          <t>The Colour can only be selected 
once the Product Type &amp; Finish has 
been entered.
Please refer to the Swatches.</t>
        </r>
      </text>
    </comment>
    <comment ref="G44" authorId="0" shapeId="0" xr:uid="{054D4ABF-C2B6-4F41-BA28-BE312E6140DA}">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4" authorId="0" shapeId="0" xr:uid="{3052AF83-C5BD-4529-ACCE-4759033DF29B}">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44" authorId="0" shapeId="0" xr:uid="{CEF0741E-0F27-4656-B678-0AFD4F706BF7}">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44" authorId="0" shapeId="0" xr:uid="{C6E21BD1-2B02-4FDE-8113-70BC0183EBB6}">
      <text>
        <r>
          <rPr>
            <sz val="8"/>
            <color indexed="81"/>
            <rFont val="Tahoma"/>
            <family val="2"/>
          </rPr>
          <t>The Fitting options are;
Face Fit
Recess Fit</t>
        </r>
      </text>
    </comment>
    <comment ref="K44" authorId="0" shapeId="0" xr:uid="{F72B1B08-3A38-44B3-B6AA-47133B40C1D0}">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4" authorId="0" shapeId="0" xr:uid="{B7DE704B-160A-464F-94F6-7E0E9964BF27}">
      <text>
        <r>
          <rPr>
            <sz val="8"/>
            <color indexed="81"/>
            <rFont val="Tahoma"/>
            <family val="2"/>
          </rPr>
          <t>The Head Box/Rail 
Colours for 
Multi Shades &amp; Triple Shades are;
Default
Beige
Black
Dark Brown
Grey
Ivory
Light Brown
White
The Head Box/Rail 
Colours for 
Roma Shades are;
N/A</t>
        </r>
      </text>
    </comment>
    <comment ref="M44" authorId="0" shapeId="0" xr:uid="{6139F955-4FEA-49C6-B0F4-D916ABC6A066}">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44" authorId="0" shapeId="0" xr:uid="{A80590F1-C21A-4703-B8C8-CDF247638B28}">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44" authorId="0" shapeId="0" xr:uid="{D2596612-3CBA-4C99-8C11-E625EC66F173}">
      <text>
        <r>
          <rPr>
            <sz val="8"/>
            <color indexed="81"/>
            <rFont val="Tahoma"/>
            <family val="2"/>
          </rPr>
          <t>The Chain Length 
options are; 
Default
500mm
750mm
1000mm
1250mm
1500mm
2000mm
Motorised;
N/A</t>
        </r>
      </text>
    </comment>
    <comment ref="P44" authorId="0" shapeId="0" xr:uid="{61CDED1A-777F-4AA7-8DD8-5FB622490F57}">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44" authorId="0" shapeId="0" xr:uid="{8409A1FF-5891-464D-85FB-F55D03EE0AC2}">
      <text>
        <r>
          <rPr>
            <sz val="8"/>
            <color indexed="81"/>
            <rFont val="Tahoma"/>
            <family val="2"/>
          </rPr>
          <t>For Multi Shade and
Triple Shade,  
the  Fabric Insert  
options are;
Yes
For Roma Shade 
the  Fabric Insert  
options are;
N/A</t>
        </r>
      </text>
    </comment>
    <comment ref="R44" authorId="0" shapeId="0" xr:uid="{49F26686-B675-4320-81D7-42FD5C6E524E}">
      <text>
        <r>
          <rPr>
            <sz val="8"/>
            <color indexed="81"/>
            <rFont val="Tahoma"/>
            <family val="2"/>
          </rPr>
          <t>For Multi Shade, 
the options are;
Standard
Over Roll
For Triple Shade, 
the options are;
Standard
For Roma Shade 
the  options are;
N/A</t>
        </r>
      </text>
    </comment>
    <comment ref="T44" authorId="0" shapeId="0" xr:uid="{00000000-0006-0000-0800-000060020000}">
      <text>
        <r>
          <rPr>
            <sz val="8"/>
            <color indexed="81"/>
            <rFont val="Tahoma"/>
            <family val="2"/>
          </rPr>
          <t>Please use this section 
to specify 
any Special Requirements
for the Line/Order.</t>
        </r>
      </text>
    </comment>
    <comment ref="D45" authorId="0" shapeId="0" xr:uid="{0E82FBA2-382D-44E3-A0C6-B5A90A77EA1C}">
      <text>
        <r>
          <rPr>
            <sz val="8"/>
            <color indexed="81"/>
            <rFont val="Tahoma"/>
            <family val="2"/>
          </rPr>
          <t>The Products options are;
Multi Shade
Roma Shade
Triple Shade</t>
        </r>
      </text>
    </comment>
    <comment ref="E45" authorId="0" shapeId="0" xr:uid="{58E1086E-651D-47B9-8B51-49A7CF26B180}">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45" authorId="0" shapeId="0" xr:uid="{6B08B70D-3E71-4041-A0E9-ED1F6F6A67E9}">
      <text>
        <r>
          <rPr>
            <sz val="8"/>
            <color indexed="81"/>
            <rFont val="Tahoma"/>
            <family val="2"/>
          </rPr>
          <t>The Colour can only be selected 
once the Product Type &amp; Finish has 
been entered.
Please refer to the Swatches.</t>
        </r>
      </text>
    </comment>
    <comment ref="G45" authorId="0" shapeId="0" xr:uid="{BD984B3D-AB9D-423E-A66E-D379AD184CE7}">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5" authorId="0" shapeId="0" xr:uid="{EC5B2895-8487-42F2-8E43-EC087815732B}">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45" authorId="0" shapeId="0" xr:uid="{CA22CE7E-89BD-4FC0-A888-1222501596B9}">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45" authorId="0" shapeId="0" xr:uid="{5C510D60-4621-4DAF-A14A-4F0BDDCA2415}">
      <text>
        <r>
          <rPr>
            <sz val="8"/>
            <color indexed="81"/>
            <rFont val="Tahoma"/>
            <family val="2"/>
          </rPr>
          <t>The Fitting options are;
Face Fit
Recess Fit</t>
        </r>
      </text>
    </comment>
    <comment ref="K45" authorId="0" shapeId="0" xr:uid="{CE43BA6A-AC5E-4F0D-9B78-2AA3B5A037E8}">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5" authorId="0" shapeId="0" xr:uid="{ECA7306D-7703-4658-8D63-7EACC1643B81}">
      <text>
        <r>
          <rPr>
            <sz val="8"/>
            <color indexed="81"/>
            <rFont val="Tahoma"/>
            <family val="2"/>
          </rPr>
          <t>The Head Box/Rail 
Colours for 
Multi Shades &amp; Triple Shades are;
Default
Beige
Black
Dark Brown
Grey
Ivory
Light Brown
White
The Head Box/Rail 
Colours for 
Roma Shades are;
N/A</t>
        </r>
      </text>
    </comment>
    <comment ref="M45" authorId="0" shapeId="0" xr:uid="{73F1F9BA-BE40-450B-AE92-402293E31103}">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45" authorId="0" shapeId="0" xr:uid="{79D8628A-FE3F-471B-BC2D-EAC48D1159B8}">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45" authorId="0" shapeId="0" xr:uid="{AF2BF332-999F-43B2-A0ED-C50B561E11E5}">
      <text>
        <r>
          <rPr>
            <sz val="8"/>
            <color indexed="81"/>
            <rFont val="Tahoma"/>
            <family val="2"/>
          </rPr>
          <t>The Chain Length 
options are; 
Default
500mm
750mm
1000mm
1250mm
1500mm
2000mm
Motorised;
N/A</t>
        </r>
      </text>
    </comment>
    <comment ref="P45" authorId="0" shapeId="0" xr:uid="{F86AEDE1-BFC1-4136-A88A-BBABA567E783}">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45" authorId="0" shapeId="0" xr:uid="{52BB3B2C-E56D-4BC8-8A8F-3B2BDDCA5F50}">
      <text>
        <r>
          <rPr>
            <sz val="8"/>
            <color indexed="81"/>
            <rFont val="Tahoma"/>
            <family val="2"/>
          </rPr>
          <t>For Multi Shade and
Triple Shade,  
the  Fabric Insert  
options are;
Yes
For Roma Shade 
the  Fabric Insert  
options are;
N/A</t>
        </r>
      </text>
    </comment>
    <comment ref="R45" authorId="0" shapeId="0" xr:uid="{DE0B06A0-7F86-4384-8878-D84C896F7296}">
      <text>
        <r>
          <rPr>
            <sz val="8"/>
            <color indexed="81"/>
            <rFont val="Tahoma"/>
            <family val="2"/>
          </rPr>
          <t>For Multi Shade, 
the options are;
Standard
Over Roll
For Triple Shade, 
the options are;
Standard
For Roma Shade 
the  options are;
N/A</t>
        </r>
      </text>
    </comment>
    <comment ref="T45" authorId="0" shapeId="0" xr:uid="{00000000-0006-0000-0800-000070020000}">
      <text>
        <r>
          <rPr>
            <sz val="8"/>
            <color indexed="81"/>
            <rFont val="Tahoma"/>
            <family val="2"/>
          </rPr>
          <t>Please use this section 
to specify 
any Special Requirements
for the Line/Order.</t>
        </r>
      </text>
    </comment>
    <comment ref="D46" authorId="0" shapeId="0" xr:uid="{03573783-AD04-454C-B240-6A73456C537C}">
      <text>
        <r>
          <rPr>
            <sz val="8"/>
            <color indexed="81"/>
            <rFont val="Tahoma"/>
            <family val="2"/>
          </rPr>
          <t>The Products options are;
Multi Shade
Roma Shade
Triple Shade</t>
        </r>
      </text>
    </comment>
    <comment ref="E46" authorId="0" shapeId="0" xr:uid="{CF3DC6CB-AFE0-42B8-B4A8-52078E03F17D}">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46" authorId="0" shapeId="0" xr:uid="{1A5B7ECB-40DF-43BE-B7BC-174A99C04165}">
      <text>
        <r>
          <rPr>
            <sz val="8"/>
            <color indexed="81"/>
            <rFont val="Tahoma"/>
            <family val="2"/>
          </rPr>
          <t>The Colour can only be selected 
once the Product Type &amp; Finish has 
been entered.
Please refer to the Swatches.</t>
        </r>
      </text>
    </comment>
    <comment ref="G46" authorId="0" shapeId="0" xr:uid="{EABF8CF7-5608-4B76-AFCE-2DD414482EAC}">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6" authorId="0" shapeId="0" xr:uid="{E2EC4A0A-0C8B-44F5-9659-6C2455AF134B}">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46" authorId="0" shapeId="0" xr:uid="{734A3ADD-C2BB-48FB-9949-C5E11CD4429B}">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46" authorId="0" shapeId="0" xr:uid="{D4B4DB79-9C5C-4BFF-A4A9-D82F06E424FD}">
      <text>
        <r>
          <rPr>
            <sz val="8"/>
            <color indexed="81"/>
            <rFont val="Tahoma"/>
            <family val="2"/>
          </rPr>
          <t>The Fitting options are;
Face Fit
Recess Fit</t>
        </r>
      </text>
    </comment>
    <comment ref="K46" authorId="0" shapeId="0" xr:uid="{AF0047B2-38E4-4CCA-8359-49A60A8348B9}">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6" authorId="0" shapeId="0" xr:uid="{99633891-376C-4BED-BA40-2B901E554172}">
      <text>
        <r>
          <rPr>
            <sz val="8"/>
            <color indexed="81"/>
            <rFont val="Tahoma"/>
            <family val="2"/>
          </rPr>
          <t>The Head Box/Rail 
Colours for 
Multi Shades &amp; Triple Shades are;
Default
Beige
Black
Dark Brown
Grey
Ivory
Light Brown
White
The Head Box/Rail 
Colours for 
Roma Shades are;
N/A</t>
        </r>
      </text>
    </comment>
    <comment ref="M46" authorId="0" shapeId="0" xr:uid="{F219ED42-F1C6-4679-90E5-DD1D8893E285}">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46" authorId="0" shapeId="0" xr:uid="{9FA801F5-F796-48AD-90AE-069688DBC95B}">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46" authorId="0" shapeId="0" xr:uid="{010049D3-EE56-4E69-9990-A5980AA82FD1}">
      <text>
        <r>
          <rPr>
            <sz val="8"/>
            <color indexed="81"/>
            <rFont val="Tahoma"/>
            <family val="2"/>
          </rPr>
          <t>The Chain Length 
options are; 
Default
500mm
750mm
1000mm
1250mm
1500mm
2000mm
Motorised;
N/A</t>
        </r>
      </text>
    </comment>
    <comment ref="P46" authorId="0" shapeId="0" xr:uid="{90B2A768-46EA-4887-99C2-C4E5DF3C414B}">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46" authorId="0" shapeId="0" xr:uid="{D52DC2EE-8C33-4665-8BBE-47193028DAAB}">
      <text>
        <r>
          <rPr>
            <sz val="8"/>
            <color indexed="81"/>
            <rFont val="Tahoma"/>
            <family val="2"/>
          </rPr>
          <t>For Multi Shade and
Triple Shade,  
the  Fabric Insert  
options are;
Yes
For Roma Shade 
the  Fabric Insert  
options are;
N/A</t>
        </r>
      </text>
    </comment>
    <comment ref="R46" authorId="0" shapeId="0" xr:uid="{5293D915-40B9-4D39-875E-35C89C970970}">
      <text>
        <r>
          <rPr>
            <sz val="8"/>
            <color indexed="81"/>
            <rFont val="Tahoma"/>
            <family val="2"/>
          </rPr>
          <t>For Multi Shade, 
the options are;
Standard
Over Roll
For Triple Shade, 
the options are;
Standard
For Roma Shade 
the  options are;
N/A</t>
        </r>
      </text>
    </comment>
    <comment ref="T46" authorId="0" shapeId="0" xr:uid="{00000000-0006-0000-0800-000080020000}">
      <text>
        <r>
          <rPr>
            <sz val="8"/>
            <color indexed="81"/>
            <rFont val="Tahoma"/>
            <family val="2"/>
          </rPr>
          <t>Please use this section 
to specify 
any Special Requirements
for the Line/Order.</t>
        </r>
      </text>
    </comment>
    <comment ref="D47" authorId="0" shapeId="0" xr:uid="{EB2238E0-16FA-4949-AC5A-5F200D435A14}">
      <text>
        <r>
          <rPr>
            <sz val="8"/>
            <color indexed="81"/>
            <rFont val="Tahoma"/>
            <family val="2"/>
          </rPr>
          <t>The Products options are;
Multi Shade
Roma Shade
Triple Shade</t>
        </r>
      </text>
    </comment>
    <comment ref="E47" authorId="0" shapeId="0" xr:uid="{4408FB03-41AC-4AF0-AFB6-17B3CD24BDD1}">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47" authorId="0" shapeId="0" xr:uid="{AB8C934E-7C5B-4BF4-BA91-9FF546E424F3}">
      <text>
        <r>
          <rPr>
            <sz val="8"/>
            <color indexed="81"/>
            <rFont val="Tahoma"/>
            <family val="2"/>
          </rPr>
          <t>The Colour can only be selected 
once the Product Type &amp; Finish has 
been entered.
Please refer to the Swatches.</t>
        </r>
      </text>
    </comment>
    <comment ref="G47" authorId="0" shapeId="0" xr:uid="{2C80C2BC-8DED-44CD-8AE4-17E2093FA195}">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7" authorId="0" shapeId="0" xr:uid="{49DE40FB-FD76-41C7-A3A2-99775CEECD90}">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47" authorId="0" shapeId="0" xr:uid="{1038E3F6-229A-4CA1-9C17-2EBCCD5F929A}">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47" authorId="0" shapeId="0" xr:uid="{41F986AD-605A-441F-BC47-70BC2E77740A}">
      <text>
        <r>
          <rPr>
            <sz val="8"/>
            <color indexed="81"/>
            <rFont val="Tahoma"/>
            <family val="2"/>
          </rPr>
          <t>The Fitting options are;
Face Fit
Recess Fit</t>
        </r>
      </text>
    </comment>
    <comment ref="K47" authorId="0" shapeId="0" xr:uid="{2A0C2200-B316-4B2B-A6F3-D6EC95AE29BC}">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7" authorId="0" shapeId="0" xr:uid="{C14525C8-C628-4970-87BF-8E93C332E1E9}">
      <text>
        <r>
          <rPr>
            <sz val="8"/>
            <color indexed="81"/>
            <rFont val="Tahoma"/>
            <family val="2"/>
          </rPr>
          <t>The Head Box/Rail 
Colours for 
Multi Shades &amp; Triple Shades are;
Default
Beige
Black
Dark Brown
Grey
Ivory
Light Brown
White
The Head Box/Rail 
Colours for 
Roma Shades are;
N/A</t>
        </r>
      </text>
    </comment>
    <comment ref="M47" authorId="0" shapeId="0" xr:uid="{A74B47E7-4F76-4804-A0A2-A17CA302C850}">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47" authorId="0" shapeId="0" xr:uid="{0332CD04-C2DB-4232-807A-B02412690721}">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47" authorId="0" shapeId="0" xr:uid="{986F5E1A-217F-42E5-88B1-356B432B75E8}">
      <text>
        <r>
          <rPr>
            <sz val="8"/>
            <color indexed="81"/>
            <rFont val="Tahoma"/>
            <family val="2"/>
          </rPr>
          <t>The Chain Length 
options are; 
Default
500mm
750mm
1000mm
1250mm
1500mm
2000mm
Motorised;
N/A</t>
        </r>
      </text>
    </comment>
    <comment ref="P47" authorId="0" shapeId="0" xr:uid="{98234D40-0333-4F7C-9850-D9F0330E0236}">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47" authorId="0" shapeId="0" xr:uid="{72016267-FD38-4522-9179-5AF5E6215467}">
      <text>
        <r>
          <rPr>
            <sz val="8"/>
            <color indexed="81"/>
            <rFont val="Tahoma"/>
            <family val="2"/>
          </rPr>
          <t>For Multi Shade and
Triple Shade,  
the  Fabric Insert  
options are;
Yes
For Roma Shade 
the  Fabric Insert  
options are;
N/A</t>
        </r>
      </text>
    </comment>
    <comment ref="R47" authorId="0" shapeId="0" xr:uid="{CC1706BB-469D-4C06-AD61-F4CACD627B4C}">
      <text>
        <r>
          <rPr>
            <sz val="8"/>
            <color indexed="81"/>
            <rFont val="Tahoma"/>
            <family val="2"/>
          </rPr>
          <t>For Multi Shade, 
the options are;
Standard
Over Roll
For Triple Shade, 
the options are;
Standard
For Roma Shade 
the  options are;
N/A</t>
        </r>
      </text>
    </comment>
    <comment ref="T47" authorId="0" shapeId="0" xr:uid="{00000000-0006-0000-0800-000090020000}">
      <text>
        <r>
          <rPr>
            <sz val="8"/>
            <color indexed="81"/>
            <rFont val="Tahoma"/>
            <family val="2"/>
          </rPr>
          <t>Please use this section 
to specify 
any Special Requirements
for the Line/Order.</t>
        </r>
      </text>
    </comment>
    <comment ref="D48" authorId="0" shapeId="0" xr:uid="{FE1762B9-FD58-47C5-861B-39CD9AFAF22E}">
      <text>
        <r>
          <rPr>
            <sz val="8"/>
            <color indexed="81"/>
            <rFont val="Tahoma"/>
            <family val="2"/>
          </rPr>
          <t>The Products options are;
Multi Shade
Roma Shade
Triple Shade</t>
        </r>
      </text>
    </comment>
    <comment ref="E48" authorId="0" shapeId="0" xr:uid="{BF15729F-7E89-44A9-8454-B69C772EBC82}">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48" authorId="0" shapeId="0" xr:uid="{1D2B4D15-AF3A-4C3B-9394-07B66B696B7D}">
      <text>
        <r>
          <rPr>
            <sz val="8"/>
            <color indexed="81"/>
            <rFont val="Tahoma"/>
            <family val="2"/>
          </rPr>
          <t>The Colour can only be selected 
once the Product Type &amp; Finish has 
been entered.
Please refer to the Swatches.</t>
        </r>
      </text>
    </comment>
    <comment ref="G48" authorId="0" shapeId="0" xr:uid="{AB3CD601-B74A-4D46-841D-E5E1E3422D46}">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8" authorId="0" shapeId="0" xr:uid="{551037EE-9B68-48BA-A513-291DCDC2F7D7}">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48" authorId="0" shapeId="0" xr:uid="{8677ADAF-E863-4D1F-9DE8-E9378D51B887}">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48" authorId="0" shapeId="0" xr:uid="{287F9057-9D38-4B44-B89D-8E9203C82E3A}">
      <text>
        <r>
          <rPr>
            <sz val="8"/>
            <color indexed="81"/>
            <rFont val="Tahoma"/>
            <family val="2"/>
          </rPr>
          <t>The Fitting options are;
Face Fit
Recess Fit</t>
        </r>
      </text>
    </comment>
    <comment ref="K48" authorId="0" shapeId="0" xr:uid="{53D86AB9-5674-4FEB-AAC4-485E1B3920B4}">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8" authorId="0" shapeId="0" xr:uid="{B3FF87E4-58DD-4417-8472-0907E45D0BAF}">
      <text>
        <r>
          <rPr>
            <sz val="8"/>
            <color indexed="81"/>
            <rFont val="Tahoma"/>
            <family val="2"/>
          </rPr>
          <t>The Head Box/Rail 
Colours for 
Multi Shades &amp; Triple Shades are;
Default
Beige
Black
Dark Brown
Grey
Ivory
Light Brown
White
The Head Box/Rail 
Colours for 
Roma Shades are;
N/A</t>
        </r>
      </text>
    </comment>
    <comment ref="M48" authorId="0" shapeId="0" xr:uid="{9CFDF74D-453B-4A2B-B124-7CE02CEEBA26}">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48" authorId="0" shapeId="0" xr:uid="{3699FE13-372A-4AE4-AEF0-D869C22EA5C2}">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48" authorId="0" shapeId="0" xr:uid="{2E52D15D-8D84-4A67-B30E-C27335E359C5}">
      <text>
        <r>
          <rPr>
            <sz val="8"/>
            <color indexed="81"/>
            <rFont val="Tahoma"/>
            <family val="2"/>
          </rPr>
          <t>The Chain Length 
options are; 
Default
500mm
750mm
1000mm
1250mm
1500mm
2000mm
Motorised;
N/A</t>
        </r>
      </text>
    </comment>
    <comment ref="P48" authorId="0" shapeId="0" xr:uid="{78687D1E-F8DE-4186-8441-458A0EB31EBD}">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48" authorId="0" shapeId="0" xr:uid="{5A7D35C6-E6A5-45E3-A6EE-B866B66A8596}">
      <text>
        <r>
          <rPr>
            <sz val="8"/>
            <color indexed="81"/>
            <rFont val="Tahoma"/>
            <family val="2"/>
          </rPr>
          <t>For Multi Shade and
Triple Shade,  
the  Fabric Insert  
options are;
Yes
For Roma Shade 
the  Fabric Insert  
options are;
N/A</t>
        </r>
      </text>
    </comment>
    <comment ref="R48" authorId="0" shapeId="0" xr:uid="{4A43AD6C-47BD-49C8-8EB7-DF3CECC24D20}">
      <text>
        <r>
          <rPr>
            <sz val="8"/>
            <color indexed="81"/>
            <rFont val="Tahoma"/>
            <family val="2"/>
          </rPr>
          <t>For Multi Shade, 
the options are;
Standard
Over Roll
For Triple Shade, 
the options are;
Standard
For Roma Shade 
the  options are;
N/A</t>
        </r>
      </text>
    </comment>
    <comment ref="T48" authorId="0" shapeId="0" xr:uid="{00000000-0006-0000-0800-0000A0020000}">
      <text>
        <r>
          <rPr>
            <sz val="8"/>
            <color indexed="81"/>
            <rFont val="Tahoma"/>
            <family val="2"/>
          </rPr>
          <t>Please use this section 
to specify 
any Special Requirements
for the Line/Order.</t>
        </r>
      </text>
    </comment>
    <comment ref="D49" authorId="0" shapeId="0" xr:uid="{F814703F-B22C-456E-BBD4-79D0233F9A36}">
      <text>
        <r>
          <rPr>
            <sz val="8"/>
            <color indexed="81"/>
            <rFont val="Tahoma"/>
            <family val="2"/>
          </rPr>
          <t>The Products options are;
Multi Shade
Roma Shade
Triple Shade</t>
        </r>
      </text>
    </comment>
    <comment ref="E49" authorId="0" shapeId="0" xr:uid="{1B76E697-9D93-45D5-B876-D4647F5DF85D}">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49" authorId="0" shapeId="0" xr:uid="{692A63E6-E646-47F6-84A0-E143F27497E9}">
      <text>
        <r>
          <rPr>
            <sz val="8"/>
            <color indexed="81"/>
            <rFont val="Tahoma"/>
            <family val="2"/>
          </rPr>
          <t>The Colour can only be selected 
once the Product Type &amp; Finish has 
been entered.
Please refer to the Swatches.</t>
        </r>
      </text>
    </comment>
    <comment ref="G49" authorId="0" shapeId="0" xr:uid="{D89B5567-59D1-40FC-A124-5266FDE5125D}">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49" authorId="0" shapeId="0" xr:uid="{72269179-B505-45B2-B1B6-D4B9666095FE}">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49" authorId="0" shapeId="0" xr:uid="{9EF75448-0435-4AC3-B147-E80B6F6A1300}">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49" authorId="0" shapeId="0" xr:uid="{E0EE4D12-C0D6-4103-9F10-F600F54251E5}">
      <text>
        <r>
          <rPr>
            <sz val="8"/>
            <color indexed="81"/>
            <rFont val="Tahoma"/>
            <family val="2"/>
          </rPr>
          <t>The Fitting options are;
Face Fit
Recess Fit</t>
        </r>
      </text>
    </comment>
    <comment ref="K49" authorId="0" shapeId="0" xr:uid="{B286BD0D-3B69-403F-BC10-656F01E7917D}">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9" authorId="0" shapeId="0" xr:uid="{12FAA58E-E7CD-411C-B258-A567B0EF769D}">
      <text>
        <r>
          <rPr>
            <sz val="8"/>
            <color indexed="81"/>
            <rFont val="Tahoma"/>
            <family val="2"/>
          </rPr>
          <t>The Head Box/Rail 
Colours for 
Multi Shades &amp; Triple Shades are;
Default
Beige
Black
Dark Brown
Grey
Ivory
Light Brown
White
The Head Box/Rail 
Colours for 
Roma Shades are;
N/A</t>
        </r>
      </text>
    </comment>
    <comment ref="M49" authorId="0" shapeId="0" xr:uid="{CDD5C587-C964-44E9-962F-9A62A6AC27CA}">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49" authorId="0" shapeId="0" xr:uid="{A0B0A96C-A464-4884-9D28-D3BEA75C9FFA}">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49" authorId="0" shapeId="0" xr:uid="{418C8FCF-D1ED-478D-8C99-A25EC09BC460}">
      <text>
        <r>
          <rPr>
            <sz val="8"/>
            <color indexed="81"/>
            <rFont val="Tahoma"/>
            <family val="2"/>
          </rPr>
          <t>The Chain Length 
options are; 
Default
500mm
750mm
1000mm
1250mm
1500mm
2000mm
Motorised;
N/A</t>
        </r>
      </text>
    </comment>
    <comment ref="P49" authorId="0" shapeId="0" xr:uid="{8E922B92-9B86-4588-9944-FB146D961CA6}">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49" authorId="0" shapeId="0" xr:uid="{EC6A4D99-73C0-4485-9AE2-D93A227E7C7C}">
      <text>
        <r>
          <rPr>
            <sz val="8"/>
            <color indexed="81"/>
            <rFont val="Tahoma"/>
            <family val="2"/>
          </rPr>
          <t>For Multi Shade and
Triple Shade,  
the  Fabric Insert  
options are;
Yes
For Roma Shade 
the  Fabric Insert  
options are;
N/A</t>
        </r>
      </text>
    </comment>
    <comment ref="R49" authorId="0" shapeId="0" xr:uid="{E35E796B-DA2F-4020-8586-B18645581DB8}">
      <text>
        <r>
          <rPr>
            <sz val="8"/>
            <color indexed="81"/>
            <rFont val="Tahoma"/>
            <family val="2"/>
          </rPr>
          <t>For Multi Shade, 
the options are;
Standard
Over Roll
For Triple Shade, 
the options are;
Standard
For Roma Shade 
the  options are;
N/A</t>
        </r>
      </text>
    </comment>
    <comment ref="T49" authorId="0" shapeId="0" xr:uid="{00000000-0006-0000-0800-0000B0020000}">
      <text>
        <r>
          <rPr>
            <sz val="8"/>
            <color indexed="81"/>
            <rFont val="Tahoma"/>
            <family val="2"/>
          </rPr>
          <t>Please use this section 
to specify 
any Special Requirements
for the Line/Order.</t>
        </r>
      </text>
    </comment>
    <comment ref="D50" authorId="0" shapeId="0" xr:uid="{31A92AFD-E432-4199-8CD0-F342890DB18D}">
      <text>
        <r>
          <rPr>
            <sz val="8"/>
            <color indexed="81"/>
            <rFont val="Tahoma"/>
            <family val="2"/>
          </rPr>
          <t>The Products options are;
Multi Shade
Roma Shade
Triple Shade</t>
        </r>
      </text>
    </comment>
    <comment ref="E50" authorId="0" shapeId="0" xr:uid="{4B7E7A49-53E7-4E1E-AE0A-73E90ED9DD23}">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50" authorId="0" shapeId="0" xr:uid="{CDF6A885-EA22-49CF-B6EC-C019834332E7}">
      <text>
        <r>
          <rPr>
            <sz val="8"/>
            <color indexed="81"/>
            <rFont val="Tahoma"/>
            <family val="2"/>
          </rPr>
          <t>The Colour can only be selected 
once the Product Type &amp; Finish has 
been entered.
Please refer to the Swatches.</t>
        </r>
      </text>
    </comment>
    <comment ref="G50" authorId="0" shapeId="0" xr:uid="{2E6ADCE1-F84D-4417-9683-1541F143B317}">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0" authorId="0" shapeId="0" xr:uid="{50F8C091-AE6E-4315-A86B-3CE0B9E29A6C}">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50" authorId="0" shapeId="0" xr:uid="{34F45B85-0D95-4312-8941-EF672C8E3FF0}">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50" authorId="0" shapeId="0" xr:uid="{687293B6-3B49-48FB-8A4A-DA25F8692FA5}">
      <text>
        <r>
          <rPr>
            <sz val="8"/>
            <color indexed="81"/>
            <rFont val="Tahoma"/>
            <family val="2"/>
          </rPr>
          <t>The Fitting options are;
Face Fit
Recess Fit</t>
        </r>
      </text>
    </comment>
    <comment ref="K50" authorId="0" shapeId="0" xr:uid="{523526D2-8148-48A4-9109-C4AE18BDD53C}">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0" authorId="0" shapeId="0" xr:uid="{F0F89F03-2A0B-4475-89DD-E2E05C97DE8B}">
      <text>
        <r>
          <rPr>
            <sz val="8"/>
            <color indexed="81"/>
            <rFont val="Tahoma"/>
            <family val="2"/>
          </rPr>
          <t>The Head Box/Rail 
Colours for 
Multi Shades &amp; Triple Shades are;
Default
Beige
Black
Dark Brown
Grey
Ivory
Light Brown
White
The Head Box/Rail 
Colours for 
Roma Shades are;
N/A</t>
        </r>
      </text>
    </comment>
    <comment ref="M50" authorId="0" shapeId="0" xr:uid="{2E4D7F21-33B7-47B9-9ACB-CBB7BC9873C0}">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50" authorId="0" shapeId="0" xr:uid="{2C7C21F1-C407-45F9-98BF-655FEFAA57F2}">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50" authorId="0" shapeId="0" xr:uid="{6EC2DD29-5CED-4058-BFCE-DB55430D74AE}">
      <text>
        <r>
          <rPr>
            <sz val="8"/>
            <color indexed="81"/>
            <rFont val="Tahoma"/>
            <family val="2"/>
          </rPr>
          <t>The Chain Length 
options are; 
Default
500mm
750mm
1000mm
1250mm
1500mm
2000mm
Motorised;
N/A</t>
        </r>
      </text>
    </comment>
    <comment ref="P50" authorId="0" shapeId="0" xr:uid="{6EF1E1A9-5319-498E-900D-9F9CD9EA8D83}">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50" authorId="0" shapeId="0" xr:uid="{64D034E0-9AE4-43D9-8820-72A1357C3C1E}">
      <text>
        <r>
          <rPr>
            <sz val="8"/>
            <color indexed="81"/>
            <rFont val="Tahoma"/>
            <family val="2"/>
          </rPr>
          <t>For Multi Shade and
Triple Shade,  
the  Fabric Insert  
options are;
Yes
For Roma Shade 
the  Fabric Insert  
options are;
N/A</t>
        </r>
      </text>
    </comment>
    <comment ref="R50" authorId="0" shapeId="0" xr:uid="{553814C5-0288-4E97-8740-DAAFC71B01CC}">
      <text>
        <r>
          <rPr>
            <sz val="8"/>
            <color indexed="81"/>
            <rFont val="Tahoma"/>
            <family val="2"/>
          </rPr>
          <t>For Multi Shade, 
the options are;
Standard
Over Roll
For Triple Shade, 
the options are;
Standard
For Roma Shade 
the  options are;
N/A</t>
        </r>
      </text>
    </comment>
    <comment ref="T50" authorId="0" shapeId="0" xr:uid="{00000000-0006-0000-0800-0000C0020000}">
      <text>
        <r>
          <rPr>
            <sz val="8"/>
            <color indexed="81"/>
            <rFont val="Tahoma"/>
            <family val="2"/>
          </rPr>
          <t>Please use this section 
to specify 
any Special Requirements
for the Line/Order.</t>
        </r>
      </text>
    </comment>
    <comment ref="D51" authorId="0" shapeId="0" xr:uid="{91ABF9FC-F64B-4749-9D28-A49E875F0159}">
      <text>
        <r>
          <rPr>
            <sz val="8"/>
            <color indexed="81"/>
            <rFont val="Tahoma"/>
            <family val="2"/>
          </rPr>
          <t>The Products options are;
Multi Shade
Roma Shade
Triple Shade</t>
        </r>
      </text>
    </comment>
    <comment ref="E51" authorId="0" shapeId="0" xr:uid="{93845F25-2BA5-4C44-82C4-419077353D85}">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51" authorId="0" shapeId="0" xr:uid="{332DFC91-2A63-4D34-BA9A-649DAF0D747B}">
      <text>
        <r>
          <rPr>
            <sz val="8"/>
            <color indexed="81"/>
            <rFont val="Tahoma"/>
            <family val="2"/>
          </rPr>
          <t>The Colour can only be selected 
once the Product Type &amp; Finish has 
been entered.
Please refer to the Swatches.</t>
        </r>
      </text>
    </comment>
    <comment ref="G51" authorId="0" shapeId="0" xr:uid="{E5E1135D-FF82-484A-9A35-94AC6A510C50}">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1" authorId="0" shapeId="0" xr:uid="{2845F020-6F6D-4A3B-8BFC-6F78C6376252}">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51" authorId="0" shapeId="0" xr:uid="{CF5C2D58-7909-48DE-BB16-BBD03B452847}">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51" authorId="0" shapeId="0" xr:uid="{9F4FF109-14E4-4677-92F9-A630ECC2F0AA}">
      <text>
        <r>
          <rPr>
            <sz val="8"/>
            <color indexed="81"/>
            <rFont val="Tahoma"/>
            <family val="2"/>
          </rPr>
          <t>The Fitting options are;
Face Fit
Recess Fit</t>
        </r>
      </text>
    </comment>
    <comment ref="K51" authorId="0" shapeId="0" xr:uid="{BA5CF6E8-AAFE-4BC1-A83D-17CEDDE71202}">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1" authorId="0" shapeId="0" xr:uid="{2A3A1D34-A166-40E8-9BDD-BA4B87D2E41A}">
      <text>
        <r>
          <rPr>
            <sz val="8"/>
            <color indexed="81"/>
            <rFont val="Tahoma"/>
            <family val="2"/>
          </rPr>
          <t>The Head Box/Rail 
Colours for 
Multi Shades &amp; Triple Shades are;
Default
Beige
Black
Dark Brown
Grey
Ivory
Light Brown
White
The Head Box/Rail 
Colours for 
Roma Shades are;
N/A</t>
        </r>
      </text>
    </comment>
    <comment ref="M51" authorId="0" shapeId="0" xr:uid="{FEE06392-DC42-492B-B093-E9CA7167DD43}">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51" authorId="0" shapeId="0" xr:uid="{33673698-3F69-4E08-AB3A-3058BBC747E3}">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51" authorId="0" shapeId="0" xr:uid="{820F0CB8-8EF3-4788-BF3B-C03C657989E3}">
      <text>
        <r>
          <rPr>
            <sz val="8"/>
            <color indexed="81"/>
            <rFont val="Tahoma"/>
            <family val="2"/>
          </rPr>
          <t>The Chain Length 
options are; 
Default
500mm
750mm
1000mm
1250mm
1500mm
2000mm
Motorised;
N/A</t>
        </r>
      </text>
    </comment>
    <comment ref="P51" authorId="0" shapeId="0" xr:uid="{51FAD852-F41E-49A9-983C-59EA95C1A2F9}">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51" authorId="0" shapeId="0" xr:uid="{0EF31076-14BE-4E00-A203-D2BB4EB0F010}">
      <text>
        <r>
          <rPr>
            <sz val="8"/>
            <color indexed="81"/>
            <rFont val="Tahoma"/>
            <family val="2"/>
          </rPr>
          <t>For Multi Shade and
Triple Shade,  
the  Fabric Insert  
options are;
Yes
For Roma Shade 
the  Fabric Insert  
options are;
N/A</t>
        </r>
      </text>
    </comment>
    <comment ref="R51" authorId="0" shapeId="0" xr:uid="{9AAA94DD-F30F-4AD6-8D12-569A89E09A99}">
      <text>
        <r>
          <rPr>
            <sz val="8"/>
            <color indexed="81"/>
            <rFont val="Tahoma"/>
            <family val="2"/>
          </rPr>
          <t>For Multi Shade, 
the options are;
Standard
Over Roll
For Triple Shade, 
the options are;
Standard
For Roma Shade 
the  options are;
N/A</t>
        </r>
      </text>
    </comment>
    <comment ref="T51" authorId="0" shapeId="0" xr:uid="{00000000-0006-0000-0800-0000D0020000}">
      <text>
        <r>
          <rPr>
            <sz val="8"/>
            <color indexed="81"/>
            <rFont val="Tahoma"/>
            <family val="2"/>
          </rPr>
          <t>Please use this section 
to specify 
any Special Requirements
for the Line/Order.</t>
        </r>
      </text>
    </comment>
    <comment ref="D52" authorId="0" shapeId="0" xr:uid="{86DE2F09-C9BF-4283-BEA4-C358E38E026C}">
      <text>
        <r>
          <rPr>
            <sz val="8"/>
            <color indexed="81"/>
            <rFont val="Tahoma"/>
            <family val="2"/>
          </rPr>
          <t>The Products options are;
Multi Shade
Roma Shade
Triple Shade</t>
        </r>
      </text>
    </comment>
    <comment ref="E52" authorId="0" shapeId="0" xr:uid="{654034A9-45D0-48C6-AE71-784F65A54530}">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52" authorId="0" shapeId="0" xr:uid="{7A5370B3-6B5F-494D-88B2-03C79A9D47A6}">
      <text>
        <r>
          <rPr>
            <sz val="8"/>
            <color indexed="81"/>
            <rFont val="Tahoma"/>
            <family val="2"/>
          </rPr>
          <t>The Colour can only be selected 
once the Product Type &amp; Finish has 
been entered.
Please refer to the Swatches.</t>
        </r>
      </text>
    </comment>
    <comment ref="G52" authorId="0" shapeId="0" xr:uid="{73F7DD55-9CA3-42F2-97EF-4C5F31F8A38F}">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2" authorId="0" shapeId="0" xr:uid="{D34B496B-E0A1-4A36-8B7C-CFC8EB81F019}">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52" authorId="0" shapeId="0" xr:uid="{568AE665-2B3F-46D2-BBCA-717A5692F746}">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52" authorId="0" shapeId="0" xr:uid="{1CE5DFAD-58A7-4261-BB99-1D695CE95E49}">
      <text>
        <r>
          <rPr>
            <sz val="8"/>
            <color indexed="81"/>
            <rFont val="Tahoma"/>
            <family val="2"/>
          </rPr>
          <t>The Fitting options are;
Face Fit
Recess Fit</t>
        </r>
      </text>
    </comment>
    <comment ref="K52" authorId="0" shapeId="0" xr:uid="{19D3C16C-04EA-406F-A74C-746038057C72}">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2" authorId="0" shapeId="0" xr:uid="{48A4F870-B34A-45E7-AC44-8A5567529E25}">
      <text>
        <r>
          <rPr>
            <sz val="8"/>
            <color indexed="81"/>
            <rFont val="Tahoma"/>
            <family val="2"/>
          </rPr>
          <t>The Head Box/Rail 
Colours for 
Multi Shades &amp; Triple Shades are;
Default
Beige
Black
Dark Brown
Grey
Ivory
Light Brown
White
The Head Box/Rail 
Colours for 
Roma Shades are;
N/A</t>
        </r>
      </text>
    </comment>
    <comment ref="M52" authorId="0" shapeId="0" xr:uid="{3773E8DE-3584-4C3B-93E2-4467CE1C6525}">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52" authorId="0" shapeId="0" xr:uid="{2CEBF2D6-EA61-4F0A-B733-086E93F0D2C7}">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52" authorId="0" shapeId="0" xr:uid="{31F76017-9C4E-405C-9795-8C69E2F9A7D0}">
      <text>
        <r>
          <rPr>
            <sz val="8"/>
            <color indexed="81"/>
            <rFont val="Tahoma"/>
            <family val="2"/>
          </rPr>
          <t>The Chain Length 
options are; 
Default
500mm
750mm
1000mm
1250mm
1500mm
2000mm
Motorised;
N/A</t>
        </r>
      </text>
    </comment>
    <comment ref="P52" authorId="0" shapeId="0" xr:uid="{C3DA499F-1E89-4ECB-9374-0DFE0B564B83}">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52" authorId="0" shapeId="0" xr:uid="{9D456739-F079-4CF2-B465-FF74C0D79E59}">
      <text>
        <r>
          <rPr>
            <sz val="8"/>
            <color indexed="81"/>
            <rFont val="Tahoma"/>
            <family val="2"/>
          </rPr>
          <t>For Multi Shade and
Triple Shade,  
the  Fabric Insert  
options are;
Yes
For Roma Shade 
the  Fabric Insert  
options are;
N/A</t>
        </r>
      </text>
    </comment>
    <comment ref="R52" authorId="0" shapeId="0" xr:uid="{67380219-4EAF-4530-B9BA-A0C24E897FC1}">
      <text>
        <r>
          <rPr>
            <sz val="8"/>
            <color indexed="81"/>
            <rFont val="Tahoma"/>
            <family val="2"/>
          </rPr>
          <t>For Multi Shade, 
the options are;
Standard
Over Roll
For Triple Shade, 
the options are;
Standard
For Roma Shade 
the  options are;
N/A</t>
        </r>
      </text>
    </comment>
    <comment ref="T52" authorId="0" shapeId="0" xr:uid="{00000000-0006-0000-0800-0000E0020000}">
      <text>
        <r>
          <rPr>
            <sz val="8"/>
            <color indexed="81"/>
            <rFont val="Tahoma"/>
            <family val="2"/>
          </rPr>
          <t>Please use this section 
to specify 
any Special Requirements
for the Line/Order.</t>
        </r>
      </text>
    </comment>
    <comment ref="D53" authorId="0" shapeId="0" xr:uid="{BE8E2673-235C-4A33-BE6C-5C9699EA637F}">
      <text>
        <r>
          <rPr>
            <sz val="8"/>
            <color indexed="81"/>
            <rFont val="Tahoma"/>
            <family val="2"/>
          </rPr>
          <t>The Products options are;
Multi Shade
Roma Shade
Triple Shade</t>
        </r>
      </text>
    </comment>
    <comment ref="E53" authorId="0" shapeId="0" xr:uid="{5B267FD6-9D26-426F-BEAC-7E326949CCC8}">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53" authorId="0" shapeId="0" xr:uid="{A575B008-305B-48A3-802D-933E755BE9D5}">
      <text>
        <r>
          <rPr>
            <sz val="8"/>
            <color indexed="81"/>
            <rFont val="Tahoma"/>
            <family val="2"/>
          </rPr>
          <t>The Colour can only be selected 
once the Product Type &amp; Finish has 
been entered.
Please refer to the Swatches.</t>
        </r>
      </text>
    </comment>
    <comment ref="G53" authorId="0" shapeId="0" xr:uid="{C3FB9B6F-FB7F-45D8-BB01-7383A6D9C38F}">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3" authorId="0" shapeId="0" xr:uid="{B7753D3E-A7E7-4E23-929A-B510F7128F60}">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53" authorId="0" shapeId="0" xr:uid="{42C26C27-0144-4A56-B255-DEF0E813DFC8}">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53" authorId="0" shapeId="0" xr:uid="{136FB449-396B-4F35-BC89-08216FBB5C8D}">
      <text>
        <r>
          <rPr>
            <sz val="8"/>
            <color indexed="81"/>
            <rFont val="Tahoma"/>
            <family val="2"/>
          </rPr>
          <t>The Fitting options are;
Face Fit
Recess Fit</t>
        </r>
      </text>
    </comment>
    <comment ref="K53" authorId="0" shapeId="0" xr:uid="{CED71018-4211-444B-8EF9-E3F98CB6F1D0}">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3" authorId="0" shapeId="0" xr:uid="{00F321B6-A85D-4E7F-9803-57C89F56F268}">
      <text>
        <r>
          <rPr>
            <sz val="8"/>
            <color indexed="81"/>
            <rFont val="Tahoma"/>
            <family val="2"/>
          </rPr>
          <t>The Head Box/Rail 
Colours for 
Multi Shades &amp; Triple Shades are;
Default
Beige
Black
Dark Brown
Grey
Ivory
Light Brown
White
The Head Box/Rail 
Colours for 
Roma Shades are;
N/A</t>
        </r>
      </text>
    </comment>
    <comment ref="M53" authorId="0" shapeId="0" xr:uid="{95B0B649-4725-4A4E-81D1-E1C56BB7165A}">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53" authorId="0" shapeId="0" xr:uid="{71EDEE86-3FA1-4A84-850C-798A1565F24C}">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53" authorId="0" shapeId="0" xr:uid="{66531797-9DA6-49D9-B4FC-FEED49BCF8CF}">
      <text>
        <r>
          <rPr>
            <sz val="8"/>
            <color indexed="81"/>
            <rFont val="Tahoma"/>
            <family val="2"/>
          </rPr>
          <t>The Chain Length 
options are; 
Default
500mm
750mm
1000mm
1250mm
1500mm
2000mm
Motorised;
N/A</t>
        </r>
      </text>
    </comment>
    <comment ref="P53" authorId="0" shapeId="0" xr:uid="{1C8EBE1D-6B66-4430-BF71-6968E890FC11}">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53" authorId="0" shapeId="0" xr:uid="{B72E63F3-9C98-4B4E-B1B5-24282D8A90AE}">
      <text>
        <r>
          <rPr>
            <sz val="8"/>
            <color indexed="81"/>
            <rFont val="Tahoma"/>
            <family val="2"/>
          </rPr>
          <t>For Multi Shade and
Triple Shade,  
the  Fabric Insert  
options are;
Yes
For Roma Shade 
the  Fabric Insert  
options are;
N/A</t>
        </r>
      </text>
    </comment>
    <comment ref="R53" authorId="0" shapeId="0" xr:uid="{070B39E8-9B5E-42ED-A41C-54A1EC7A4492}">
      <text>
        <r>
          <rPr>
            <sz val="8"/>
            <color indexed="81"/>
            <rFont val="Tahoma"/>
            <family val="2"/>
          </rPr>
          <t>For Multi Shade, 
the options are;
Standard
Over Roll
For Triple Shade, 
the options are;
Standard
For Roma Shade 
the  options are;
N/A</t>
        </r>
      </text>
    </comment>
    <comment ref="T53" authorId="0" shapeId="0" xr:uid="{00000000-0006-0000-0800-0000F0020000}">
      <text>
        <r>
          <rPr>
            <sz val="8"/>
            <color indexed="81"/>
            <rFont val="Tahoma"/>
            <family val="2"/>
          </rPr>
          <t>Please use this section 
to specify 
any Special Requirements
for the Line/Order.</t>
        </r>
      </text>
    </comment>
    <comment ref="D54" authorId="0" shapeId="0" xr:uid="{4BF1156B-6C96-4EBA-B581-FB0CAA655DF1}">
      <text>
        <r>
          <rPr>
            <sz val="8"/>
            <color indexed="81"/>
            <rFont val="Tahoma"/>
            <family val="2"/>
          </rPr>
          <t>The Products options are;
Multi Shade
Roma Shade
Triple Shade</t>
        </r>
      </text>
    </comment>
    <comment ref="E54" authorId="0" shapeId="0" xr:uid="{832BF9DF-7946-4202-BC29-746FE825A457}">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54" authorId="0" shapeId="0" xr:uid="{D65B9FD6-DCD2-4C48-8FA9-8B87982879AD}">
      <text>
        <r>
          <rPr>
            <sz val="8"/>
            <color indexed="81"/>
            <rFont val="Tahoma"/>
            <family val="2"/>
          </rPr>
          <t>The Colour can only be selected 
once the Product Type &amp; Finish has 
been entered.
Please refer to the Swatches.</t>
        </r>
      </text>
    </comment>
    <comment ref="G54" authorId="0" shapeId="0" xr:uid="{1F3D494C-48B1-4F5F-9B54-3C7888B88996}">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4" authorId="0" shapeId="0" xr:uid="{C8B73E56-3551-4CEA-A86A-5C9A635AB597}">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54" authorId="0" shapeId="0" xr:uid="{A14C5584-8887-4DA8-980D-7F660ECF1280}">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54" authorId="0" shapeId="0" xr:uid="{A1E76F5A-02EC-4F69-B33B-DA0B83CD2FAB}">
      <text>
        <r>
          <rPr>
            <sz val="8"/>
            <color indexed="81"/>
            <rFont val="Tahoma"/>
            <family val="2"/>
          </rPr>
          <t>The Fitting options are;
Face Fit
Recess Fit</t>
        </r>
      </text>
    </comment>
    <comment ref="K54" authorId="0" shapeId="0" xr:uid="{B299602C-1C6B-4D2D-91B3-0E6DAB05554B}">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4" authorId="0" shapeId="0" xr:uid="{7B313BB0-C47B-4329-A54C-F796AFDE25AC}">
      <text>
        <r>
          <rPr>
            <sz val="8"/>
            <color indexed="81"/>
            <rFont val="Tahoma"/>
            <family val="2"/>
          </rPr>
          <t>The Head Box/Rail 
Colours for 
Multi Shades &amp; Triple Shades are;
Default
Beige
Black
Dark Brown
Grey
Ivory
Light Brown
White
The Head Box/Rail 
Colours for 
Roma Shades are;
N/A</t>
        </r>
      </text>
    </comment>
    <comment ref="M54" authorId="0" shapeId="0" xr:uid="{6560FA3F-1FA6-46F3-8A88-F0685FC188E1}">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54" authorId="0" shapeId="0" xr:uid="{0D6B42C3-0700-48A1-815D-89CA0634CA4B}">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54" authorId="0" shapeId="0" xr:uid="{0CDBD35A-CB8E-4C69-BBF5-F2897C2861AD}">
      <text>
        <r>
          <rPr>
            <sz val="8"/>
            <color indexed="81"/>
            <rFont val="Tahoma"/>
            <family val="2"/>
          </rPr>
          <t>The Chain Length 
options are; 
Default
500mm
750mm
1000mm
1250mm
1500mm
2000mm
Motorised;
N/A</t>
        </r>
      </text>
    </comment>
    <comment ref="P54" authorId="0" shapeId="0" xr:uid="{DB6D4BDC-AB2D-4952-B678-13804ABAC55E}">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54" authorId="0" shapeId="0" xr:uid="{3493AC9A-CB20-485D-8099-C186E7967982}">
      <text>
        <r>
          <rPr>
            <sz val="8"/>
            <color indexed="81"/>
            <rFont val="Tahoma"/>
            <family val="2"/>
          </rPr>
          <t>For Multi Shade and
Triple Shade,  
the  Fabric Insert  
options are;
Yes
For Roma Shade 
the  Fabric Insert  
options are;
N/A</t>
        </r>
      </text>
    </comment>
    <comment ref="R54" authorId="0" shapeId="0" xr:uid="{7A674FAF-5B86-4E63-B28A-D7F1FFF716ED}">
      <text>
        <r>
          <rPr>
            <sz val="8"/>
            <color indexed="81"/>
            <rFont val="Tahoma"/>
            <family val="2"/>
          </rPr>
          <t>For Multi Shade, 
the options are;
Standard
Over Roll
For Triple Shade, 
the options are;
Standard
For Roma Shade 
the  options are;
N/A</t>
        </r>
      </text>
    </comment>
    <comment ref="T54" authorId="0" shapeId="0" xr:uid="{00000000-0006-0000-0800-000000030000}">
      <text>
        <r>
          <rPr>
            <sz val="8"/>
            <color indexed="81"/>
            <rFont val="Tahoma"/>
            <family val="2"/>
          </rPr>
          <t>Please use this section 
to specify 
any Special Requirements
for the Line/Order.</t>
        </r>
      </text>
    </comment>
    <comment ref="D55" authorId="0" shapeId="0" xr:uid="{ED6ADCBD-A778-432A-9E99-1ABC7A3DD339}">
      <text>
        <r>
          <rPr>
            <sz val="8"/>
            <color indexed="81"/>
            <rFont val="Tahoma"/>
            <family val="2"/>
          </rPr>
          <t>The Products options are;
Multi Shade
Roma Shade
Triple Shade</t>
        </r>
      </text>
    </comment>
    <comment ref="E55" authorId="0" shapeId="0" xr:uid="{18E5CCA2-7DE9-495B-B0D0-25161D5FDB55}">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55" authorId="0" shapeId="0" xr:uid="{90D55889-F459-4F9A-B594-CFA04E5FD429}">
      <text>
        <r>
          <rPr>
            <sz val="8"/>
            <color indexed="81"/>
            <rFont val="Tahoma"/>
            <family val="2"/>
          </rPr>
          <t>The Colour can only be selected 
once the Product Type &amp; Finish has 
been entered.
Please refer to the Swatches.</t>
        </r>
      </text>
    </comment>
    <comment ref="G55" authorId="0" shapeId="0" xr:uid="{1F7CD755-C442-4ECA-8FFF-0CDE0F944BF0}">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5" authorId="0" shapeId="0" xr:uid="{CEEE222C-4D71-46C8-8076-B4DBD67CB663}">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55" authorId="0" shapeId="0" xr:uid="{D731D7EA-310C-4D95-B46C-A3E3A6A2FBEB}">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55" authorId="0" shapeId="0" xr:uid="{03A4F285-D64B-4F92-BCDD-722F16A8AAD0}">
      <text>
        <r>
          <rPr>
            <sz val="8"/>
            <color indexed="81"/>
            <rFont val="Tahoma"/>
            <family val="2"/>
          </rPr>
          <t>The Fitting options are;
Face Fit
Recess Fit</t>
        </r>
      </text>
    </comment>
    <comment ref="K55" authorId="0" shapeId="0" xr:uid="{DED03E0A-B947-4DEC-BA7F-3C7E0319EEA3}">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5" authorId="0" shapeId="0" xr:uid="{028A172F-5997-45FE-8B0E-1DA423A6FC46}">
      <text>
        <r>
          <rPr>
            <sz val="8"/>
            <color indexed="81"/>
            <rFont val="Tahoma"/>
            <family val="2"/>
          </rPr>
          <t>The Head Box/Rail 
Colours for 
Multi Shades &amp; Triple Shades are;
Default
Beige
Black
Dark Brown
Grey
Ivory
Light Brown
White
The Head Box/Rail 
Colours for 
Roma Shades are;
N/A</t>
        </r>
      </text>
    </comment>
    <comment ref="M55" authorId="0" shapeId="0" xr:uid="{5DB323F3-7913-4D06-854D-5DAA1C787163}">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55" authorId="0" shapeId="0" xr:uid="{C6DF7A28-EF23-4A12-A797-27B707C78E92}">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55" authorId="0" shapeId="0" xr:uid="{E6FDCB2E-0941-4520-84E3-C73D701552CA}">
      <text>
        <r>
          <rPr>
            <sz val="8"/>
            <color indexed="81"/>
            <rFont val="Tahoma"/>
            <family val="2"/>
          </rPr>
          <t>The Chain Length 
options are; 
Default
500mm
750mm
1000mm
1250mm
1500mm
2000mm
Motorised;
N/A</t>
        </r>
      </text>
    </comment>
    <comment ref="P55" authorId="0" shapeId="0" xr:uid="{03724A43-D8FF-4084-B584-C096EE49589D}">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55" authorId="0" shapeId="0" xr:uid="{4513F87A-2906-4773-8AA9-33FED4726632}">
      <text>
        <r>
          <rPr>
            <sz val="8"/>
            <color indexed="81"/>
            <rFont val="Tahoma"/>
            <family val="2"/>
          </rPr>
          <t>For Multi Shade and
Triple Shade,  
the  Fabric Insert  
options are;
Yes
For Roma Shade 
the  Fabric Insert  
options are;
N/A</t>
        </r>
      </text>
    </comment>
    <comment ref="R55" authorId="0" shapeId="0" xr:uid="{CA3100E4-025A-498B-AA54-0FA66902DB66}">
      <text>
        <r>
          <rPr>
            <sz val="8"/>
            <color indexed="81"/>
            <rFont val="Tahoma"/>
            <family val="2"/>
          </rPr>
          <t>For Multi Shade, 
the options are;
Standard
Over Roll
For Triple Shade, 
the options are;
Standard
For Roma Shade 
the  options are;
N/A</t>
        </r>
      </text>
    </comment>
    <comment ref="T55" authorId="0" shapeId="0" xr:uid="{00000000-0006-0000-0800-000010030000}">
      <text>
        <r>
          <rPr>
            <sz val="8"/>
            <color indexed="81"/>
            <rFont val="Tahoma"/>
            <family val="2"/>
          </rPr>
          <t>Please use this section 
to specify 
any Special Requirements
for the Line/Order.</t>
        </r>
      </text>
    </comment>
    <comment ref="D56" authorId="0" shapeId="0" xr:uid="{398206FA-9973-48F8-AC5A-2817EF71B3F1}">
      <text>
        <r>
          <rPr>
            <sz val="8"/>
            <color indexed="81"/>
            <rFont val="Tahoma"/>
            <family val="2"/>
          </rPr>
          <t>The Products options are;
Multi Shade
Roma Shade
Triple Shade</t>
        </r>
      </text>
    </comment>
    <comment ref="E56" authorId="0" shapeId="0" xr:uid="{FCE44C11-8A5A-42D1-A270-3941F91CEBBF}">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56" authorId="0" shapeId="0" xr:uid="{9707CF25-A4ED-49B8-9E99-AEEC6EE3929D}">
      <text>
        <r>
          <rPr>
            <sz val="8"/>
            <color indexed="81"/>
            <rFont val="Tahoma"/>
            <family val="2"/>
          </rPr>
          <t>The Colour can only be selected 
once the Product Type &amp; Finish has 
been entered.
Please refer to the Swatches.</t>
        </r>
      </text>
    </comment>
    <comment ref="G56" authorId="0" shapeId="0" xr:uid="{32E61A0A-0C91-4A0C-A2E3-5FF3449C5473}">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6" authorId="0" shapeId="0" xr:uid="{3A7B16B9-A344-4DE8-8E95-3DD14C484FBA}">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56" authorId="0" shapeId="0" xr:uid="{DC82D7E2-FA13-489A-9427-CB9D5A7A8D41}">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56" authorId="0" shapeId="0" xr:uid="{F506917E-4D78-49D4-8056-8632B8352F31}">
      <text>
        <r>
          <rPr>
            <sz val="8"/>
            <color indexed="81"/>
            <rFont val="Tahoma"/>
            <family val="2"/>
          </rPr>
          <t>The Fitting options are;
Face Fit
Recess Fit</t>
        </r>
      </text>
    </comment>
    <comment ref="K56" authorId="0" shapeId="0" xr:uid="{00B9874F-4DA3-43A3-9DC2-C118A8A7A56F}">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6" authorId="0" shapeId="0" xr:uid="{B3C7A0D4-2271-4B29-98B8-6343DF54CD63}">
      <text>
        <r>
          <rPr>
            <sz val="8"/>
            <color indexed="81"/>
            <rFont val="Tahoma"/>
            <family val="2"/>
          </rPr>
          <t>The Head Box/Rail 
Colours for 
Multi Shades &amp; Triple Shades are;
Default
Beige
Black
Dark Brown
Grey
Ivory
Light Brown
White
The Head Box/Rail 
Colours for 
Roma Shades are;
N/A</t>
        </r>
      </text>
    </comment>
    <comment ref="M56" authorId="0" shapeId="0" xr:uid="{311C3DD2-9ED6-4B25-9014-35F3B4BB07FE}">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56" authorId="0" shapeId="0" xr:uid="{8CB2AD9A-1482-4D31-9698-5D2DC6D58BBC}">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56" authorId="0" shapeId="0" xr:uid="{2C063EF0-6623-4C53-8E86-860495F493C0}">
      <text>
        <r>
          <rPr>
            <sz val="8"/>
            <color indexed="81"/>
            <rFont val="Tahoma"/>
            <family val="2"/>
          </rPr>
          <t>The Chain Length 
options are; 
Default
500mm
750mm
1000mm
1250mm
1500mm
2000mm
Motorised;
N/A</t>
        </r>
      </text>
    </comment>
    <comment ref="P56" authorId="0" shapeId="0" xr:uid="{70EB50FE-F04C-400B-AA17-7F62A6222A91}">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56" authorId="0" shapeId="0" xr:uid="{7536DE08-371D-44F2-8D54-560D1C8455F0}">
      <text>
        <r>
          <rPr>
            <sz val="8"/>
            <color indexed="81"/>
            <rFont val="Tahoma"/>
            <family val="2"/>
          </rPr>
          <t>For Multi Shade and
Triple Shade,  
the  Fabric Insert  
options are;
Yes
For Roma Shade 
the  Fabric Insert  
options are;
N/A</t>
        </r>
      </text>
    </comment>
    <comment ref="R56" authorId="0" shapeId="0" xr:uid="{64154C73-229F-4491-951D-36DC8B6F7E42}">
      <text>
        <r>
          <rPr>
            <sz val="8"/>
            <color indexed="81"/>
            <rFont val="Tahoma"/>
            <family val="2"/>
          </rPr>
          <t>For Multi Shade, 
the options are;
Standard
Over Roll
For Triple Shade, 
the options are;
Standard
For Roma Shade 
the  options are;
N/A</t>
        </r>
      </text>
    </comment>
    <comment ref="T56" authorId="0" shapeId="0" xr:uid="{00000000-0006-0000-0800-000020030000}">
      <text>
        <r>
          <rPr>
            <sz val="8"/>
            <color indexed="81"/>
            <rFont val="Tahoma"/>
            <family val="2"/>
          </rPr>
          <t>Please use this section 
to specify 
any Special Requirements
for the Line/Order.</t>
        </r>
      </text>
    </comment>
    <comment ref="D57" authorId="0" shapeId="0" xr:uid="{B119B772-30A7-4F89-AD04-9D4A7F6A3C1E}">
      <text>
        <r>
          <rPr>
            <sz val="8"/>
            <color indexed="81"/>
            <rFont val="Tahoma"/>
            <family val="2"/>
          </rPr>
          <t>The Products options are;
Multi Shade
Roma Shade
Triple Shade</t>
        </r>
      </text>
    </comment>
    <comment ref="E57" authorId="0" shapeId="0" xr:uid="{35C24831-4626-4499-9CDA-8713AA36F94C}">
      <text>
        <r>
          <rPr>
            <sz val="8"/>
            <color indexed="81"/>
            <rFont val="Tahoma"/>
            <family val="2"/>
          </rPr>
          <t xml:space="preserve">The Finish Type is dependent 
on the Product Type option.
The Finish options are;
Multi Shade;
Privacy/Blockout Standard
</t>
        </r>
        <r>
          <rPr>
            <i/>
            <sz val="8"/>
            <color indexed="81"/>
            <rFont val="Tahoma"/>
            <family val="2"/>
          </rPr>
          <t>(Previously called Blockout Standard, now called Privacy Standard)</t>
        </r>
        <r>
          <rPr>
            <sz val="8"/>
            <color indexed="81"/>
            <rFont val="Tahoma"/>
            <family val="2"/>
          </rPr>
          <t xml:space="preserve">
Privacy/Blockout Woven
</t>
        </r>
        <r>
          <rPr>
            <i/>
            <sz val="8"/>
            <color indexed="81"/>
            <rFont val="Tahoma"/>
            <family val="2"/>
          </rPr>
          <t>(Previously called Blockout Woven, now called Privacy Woven)</t>
        </r>
        <r>
          <rPr>
            <sz val="8"/>
            <color indexed="81"/>
            <rFont val="Tahoma"/>
            <family val="2"/>
          </rPr>
          <t xml:space="preserve">
Eco Friendly
Jacquard Weave
Premium Blockout
Premium Blockout Woven
Premium Room Darkening
Premium Woven Room Darkening
Privacy Luxe
Privacy Grain
Privacy Large
Privacy Natural
Privacy Textured
Privacy Textured Grain
Semi Blockout Grain
Semi Blockout Textured
Textured
Roma Shade;
Monti
Prati
Termini
Tridente
Triple Shade;
Jacquard Weave
Privacy Standard
Semi Blockout
Standard</t>
        </r>
      </text>
    </comment>
    <comment ref="F57" authorId="0" shapeId="0" xr:uid="{0825D685-AEAD-4F2E-93F9-3134127796DC}">
      <text>
        <r>
          <rPr>
            <sz val="8"/>
            <color indexed="81"/>
            <rFont val="Tahoma"/>
            <family val="2"/>
          </rPr>
          <t>The Colour can only be selected 
once the Product Type &amp; Finish has 
been entered.
Please refer to the Swatches.</t>
        </r>
      </text>
    </comment>
    <comment ref="G57" authorId="0" shapeId="0" xr:uid="{D2DEEF03-BFE9-413E-934B-B4BA36971950}">
      <text>
        <r>
          <rPr>
            <sz val="8"/>
            <color indexed="81"/>
            <rFont val="Tahoma"/>
            <family val="2"/>
          </rPr>
          <t xml:space="preserve">The Minimum Width for 
Multi Shades &amp; Triple Shades is 150mm.
The Minimum Width for 
Roma Shades is 400mm.
The Minimum Width for 
Roma Shades Motorised is 550mm.
The Maximum Width for Transition Blinds is 2950mm. 
The Maximum Width for Roma Shades is 3000mm. 
All openings over the Maximum Widths  
will require Multiple Blinds.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H57" authorId="0" shapeId="0" xr:uid="{741B1CF8-7586-4BAB-A6FF-97AF212B302F}">
      <text>
        <r>
          <rPr>
            <sz val="8"/>
            <color indexed="81"/>
            <rFont val="Tahoma"/>
            <family val="2"/>
          </rPr>
          <t xml:space="preserve">The Minimum Height/Drop for 
Multi Shades &amp; Triple Shades is 300mm.
The Minimum Height/Drop for 
Roma Shades is 250mm.
The Maximum Drop is 3000mm. 
Additional sizes outside these Maximum's 
may be able to be manufactured. 
</t>
        </r>
        <r>
          <rPr>
            <i/>
            <sz val="8"/>
            <color indexed="81"/>
            <rFont val="Tahoma"/>
            <family val="2"/>
          </rPr>
          <t>Please contact our office 
for further information.
Please note; when Blinds are ordered 
near the maximum size specifications, 
the weight can affect the operation of the Blind.</t>
        </r>
      </text>
    </comment>
    <comment ref="I57" authorId="0" shapeId="0" xr:uid="{636C3A2D-78DA-48B9-B155-CD665A515F89}">
      <text>
        <r>
          <rPr>
            <sz val="8"/>
            <color indexed="81"/>
            <rFont val="Tahoma"/>
            <family val="2"/>
          </rPr>
          <t xml:space="preserve">The Window Type 
options are;
Standard
Side By Side
</t>
        </r>
        <r>
          <rPr>
            <i/>
            <sz val="8"/>
            <color indexed="81"/>
            <rFont val="Tahoma"/>
            <family val="2"/>
          </rPr>
          <t>Side By Side will be made with 
manufacturing tolerances.</t>
        </r>
      </text>
    </comment>
    <comment ref="J57" authorId="0" shapeId="0" xr:uid="{0A1A200D-311D-49DA-8EFC-FEC5DEEE1363}">
      <text>
        <r>
          <rPr>
            <sz val="8"/>
            <color indexed="81"/>
            <rFont val="Tahoma"/>
            <family val="2"/>
          </rPr>
          <t>The Fitting options are;
Face Fit
Recess Fit</t>
        </r>
      </text>
    </comment>
    <comment ref="K57" authorId="0" shapeId="0" xr:uid="{839ABF6B-C6D8-42FF-9493-4C8603C3564F}">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7" authorId="0" shapeId="0" xr:uid="{11ED10AD-83DB-426C-ABFE-9809D91C1249}">
      <text>
        <r>
          <rPr>
            <sz val="8"/>
            <color indexed="81"/>
            <rFont val="Tahoma"/>
            <family val="2"/>
          </rPr>
          <t>The Head Box/Rail 
Colours for 
Multi Shades &amp; Triple Shades are;
Default
Beige
Black
Dark Brown
Grey
Ivory
Light Brown
White
The Head Box/Rail 
Colours for 
Roma Shades are;
N/A</t>
        </r>
      </text>
    </comment>
    <comment ref="M57" authorId="0" shapeId="0" xr:uid="{362EB39F-33F2-4DF0-8E71-A6C4BC90FC96}">
      <text>
        <r>
          <rPr>
            <sz val="8"/>
            <color indexed="81"/>
            <rFont val="Tahoma"/>
            <family val="2"/>
          </rPr>
          <t>The Bottom Rail 
Colours are dependent on the 
Product Type &amp; Finish selected;
For Multi Shade Jacquard Weave 
the options are 
Black or White only.
For Roma Shades
the options are 
White only.
For all other options the 
Default Bottom Rail 
Colour will be matched to the 
Head Box Colours which are;
Beige
Black
Dark Brown
Grey
Ivory
Light Brown
White
The Multi Shade options below are made with a 
Trapezium Profile Bottom Rail;
Privacy/Blockout Standard
Privacy/Blockout Woven
Eco Friendly
Premium Blockout
Premium Blockout Woven
Premium Room Darkening
Premium Woven Room Darkening
Privacy Grain
Privacy Large
Privacy Luxe
Privacy Natural
Privacy Textured
Privacy Textured Grain
Semi Blockout Grain
Semi Blockout Textured
Textured
The Multi Shade Jacquard Weave is made with a 
Square Profile Bottom Rail with Fabric Insert.
The Triple Shade options below are made with a 
Shuttle Oval Profile Bottom Rail;
Jacquard Weave
Privacy Standard
Semi Blockout
The Triple Shade Standard is made with a 
Trapezium Profile Bottom Rail.
The Roma Shades are made with a 
Spindle Profile Bottom Rail.</t>
        </r>
      </text>
    </comment>
    <comment ref="N57" authorId="0" shapeId="0" xr:uid="{C73D509D-D57F-47E1-BCBF-8A36B03D5B44}">
      <text>
        <r>
          <rPr>
            <sz val="8"/>
            <color indexed="81"/>
            <rFont val="Tahoma"/>
            <family val="2"/>
          </rPr>
          <t xml:space="preserve">The Control 
options are;
Left
Right
Motorised Remote
Motorised No Remote
</t>
        </r>
        <r>
          <rPr>
            <i/>
            <sz val="8"/>
            <color indexed="81"/>
            <rFont val="Tahoma"/>
            <family val="2"/>
          </rPr>
          <t>Roma Shades Motorised options coming soon.</t>
        </r>
      </text>
    </comment>
    <comment ref="O57" authorId="0" shapeId="0" xr:uid="{3F631D6B-1BBB-4538-B92E-9241BF8950E4}">
      <text>
        <r>
          <rPr>
            <sz val="8"/>
            <color indexed="81"/>
            <rFont val="Tahoma"/>
            <family val="2"/>
          </rPr>
          <t>The Chain Length 
options are; 
Default
500mm
750mm
1000mm
1250mm
1500mm
2000mm
Motorised;
N/A</t>
        </r>
      </text>
    </comment>
    <comment ref="P57" authorId="0" shapeId="0" xr:uid="{68CB9FAB-730D-40FC-93C9-29D98D340B67}">
      <text>
        <r>
          <rPr>
            <sz val="8"/>
            <color indexed="81"/>
            <rFont val="Tahoma"/>
            <family val="2"/>
          </rPr>
          <t>The Chain Colour 
options are;
Default
Stainless Steel
If Default is selected 
then the Chain Colour 
will be matched to the 
Head Box Colour for 
Transition Blinds &amp; 
the Fabric Colour 
for Roma Shades.
Motorised;
N/A</t>
        </r>
      </text>
    </comment>
    <comment ref="Q57" authorId="0" shapeId="0" xr:uid="{AE6A0DD2-578F-43DB-91DD-FFCC7CDF346A}">
      <text>
        <r>
          <rPr>
            <sz val="8"/>
            <color indexed="81"/>
            <rFont val="Tahoma"/>
            <family val="2"/>
          </rPr>
          <t>For Multi Shade and
Triple Shade,  
the  Fabric Insert  
options are;
Yes
For Roma Shade 
the  Fabric Insert  
options are;
N/A</t>
        </r>
      </text>
    </comment>
    <comment ref="R57" authorId="0" shapeId="0" xr:uid="{694CFF1A-4428-4950-A922-45A1B5A4E335}">
      <text>
        <r>
          <rPr>
            <sz val="8"/>
            <color indexed="81"/>
            <rFont val="Tahoma"/>
            <family val="2"/>
          </rPr>
          <t>For Multi Shade, 
the options are;
Standard
Over Roll
For Triple Shade, 
the options are;
Standard
For Roma Shade 
the  options are;
N/A</t>
        </r>
      </text>
    </comment>
    <comment ref="T57" authorId="0" shapeId="0" xr:uid="{00000000-0006-0000-0800-000030030000}">
      <text>
        <r>
          <rPr>
            <sz val="8"/>
            <color indexed="81"/>
            <rFont val="Tahoma"/>
            <family val="2"/>
          </rPr>
          <t>Please use this section 
to specify 
any Special Requirements
for the Line/Order.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AD1" authorId="0" shapeId="0" xr:uid="{00000000-0006-0000-0900-000001000000}">
      <text>
        <r>
          <rPr>
            <sz val="9"/>
            <color indexed="81"/>
            <rFont val="Tahoma"/>
            <family val="2"/>
          </rPr>
          <t>Please enter the number 
of Pages in this Order.
e.g.  Page: 1 Of 2</t>
        </r>
      </text>
    </comment>
    <comment ref="C8" authorId="0" shapeId="0" xr:uid="{00000000-0006-0000-0900-000002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8" authorId="0" shapeId="0" xr:uid="{00000000-0006-0000-0900-000003000000}">
      <text>
        <r>
          <rPr>
            <sz val="8"/>
            <color indexed="81"/>
            <rFont val="Tahoma"/>
            <family val="2"/>
          </rPr>
          <t>Minimum Height is 350mm.
Maximum Fauxwood Height is 2600mm.
Maximum Timber Height is 3000mm.</t>
        </r>
      </text>
    </comment>
    <comment ref="E8" authorId="0" shapeId="0" xr:uid="{00000000-0006-0000-0900-000004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8" authorId="0" shapeId="0" xr:uid="{00000000-0006-0000-0900-000005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8" authorId="0" shapeId="0" xr:uid="{00000000-0006-0000-0900-000006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8" authorId="0" shapeId="0" xr:uid="{00000000-0006-0000-0900-000007000000}">
      <text>
        <r>
          <rPr>
            <sz val="8"/>
            <color indexed="81"/>
            <rFont val="Tahoma"/>
            <family val="2"/>
          </rPr>
          <t>Colour can only be selected once the 
Material &amp; Product type has been selected.</t>
        </r>
      </text>
    </comment>
    <comment ref="J8" authorId="0" shapeId="0" xr:uid="{00000000-0006-0000-0900-000008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8" authorId="0" shapeId="0" xr:uid="{00000000-0006-0000-0900-000009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8" authorId="0" shapeId="0" xr:uid="{00000000-0006-0000-0900-00000A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8" authorId="0" shapeId="0" xr:uid="{00000000-0006-0000-0900-00000B000000}">
      <text>
        <r>
          <rPr>
            <sz val="8"/>
            <color indexed="81"/>
            <rFont val="Tahoma"/>
            <family val="2"/>
          </rPr>
          <t>The Window Type 
options are;
Standard
Bay Window
Corner Window
Door Cut Out
French Door
Shaped Arch
Shaped Hexagon
Shaped Octagon
Shaped Round
Shaped Sunburst
Shaped Triangle</t>
        </r>
      </text>
    </comment>
    <comment ref="N8" authorId="0" shapeId="0" xr:uid="{00000000-0006-0000-0900-00000C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8" authorId="0" shapeId="0" xr:uid="{00000000-0006-0000-0900-00000D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8" authorId="0" shapeId="0" xr:uid="{00000000-0006-0000-0900-00000E000000}">
      <text>
        <r>
          <rPr>
            <sz val="8"/>
            <color indexed="81"/>
            <rFont val="Tahoma"/>
            <family val="2"/>
          </rPr>
          <t>Frame Type is dependent on
 Mounting Method.</t>
        </r>
      </text>
    </comment>
    <comment ref="V8" authorId="0" shapeId="0" xr:uid="{00000000-0006-0000-0900-00000F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8" authorId="0" shapeId="0" xr:uid="{00000000-0006-0000-0900-000010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8" authorId="0" shapeId="0" xr:uid="{00000000-0006-0000-0900-000011000000}">
      <text>
        <r>
          <rPr>
            <sz val="8"/>
            <color indexed="81"/>
            <rFont val="Tahoma"/>
            <family val="2"/>
          </rPr>
          <t>Please Note: 
If Closed option is chosen then the blades 
can be damaged if they are left open 
when Sliding the Panel.</t>
        </r>
      </text>
    </comment>
    <comment ref="Y8" authorId="0" shapeId="0" xr:uid="{00000000-0006-0000-0900-000012000000}">
      <text>
        <r>
          <rPr>
            <sz val="8"/>
            <color indexed="81"/>
            <rFont val="Tahoma"/>
            <family val="2"/>
          </rPr>
          <t>If any T Posts are required then the measurements 
must be supplied under the next columns.
Measurements should be made from the left.</t>
        </r>
      </text>
    </comment>
    <comment ref="AC8" authorId="0" shapeId="0" xr:uid="{00000000-0006-0000-0900-000013000000}">
      <text>
        <r>
          <rPr>
            <sz val="8"/>
            <color indexed="81"/>
            <rFont val="Tahoma"/>
            <family val="2"/>
          </rPr>
          <t>If this field is left empty 
then 
No Fluffy Strip 
will be supplied.</t>
        </r>
      </text>
    </comment>
    <comment ref="AU8" authorId="0" shapeId="0" xr:uid="{00000000-0006-0000-0900-000014000000}">
      <text>
        <r>
          <rPr>
            <sz val="8"/>
            <color indexed="81"/>
            <rFont val="Tahoma"/>
            <family val="2"/>
          </rPr>
          <t>The Hinge Quantity is 
calculated automatically.</t>
        </r>
      </text>
    </comment>
    <comment ref="BI8" authorId="0" shapeId="0" xr:uid="{00000000-0006-0000-0900-000015000000}">
      <text>
        <r>
          <rPr>
            <sz val="8"/>
            <color indexed="81"/>
            <rFont val="Tahoma"/>
            <family val="2"/>
          </rPr>
          <t>Please Note: 
If Closed option is chosen then the blades can be damaged if they are left open 
when sliding the Panel.</t>
        </r>
      </text>
    </comment>
    <comment ref="C9" authorId="0" shapeId="0" xr:uid="{00000000-0006-0000-0900-000016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9" authorId="0" shapeId="0" xr:uid="{00000000-0006-0000-0900-000017000000}">
      <text>
        <r>
          <rPr>
            <sz val="8"/>
            <color indexed="81"/>
            <rFont val="Tahoma"/>
            <family val="2"/>
          </rPr>
          <t>Minimum Height is 350mm.
Maximum Fauxwood Height is 2600mm.
Maximum Timber Height is 3000mm.</t>
        </r>
      </text>
    </comment>
    <comment ref="E9" authorId="0" shapeId="0" xr:uid="{00000000-0006-0000-0900-000018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9" authorId="0" shapeId="0" xr:uid="{00000000-0006-0000-0900-000019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9" authorId="0" shapeId="0" xr:uid="{00000000-0006-0000-0900-00001A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9" authorId="0" shapeId="0" xr:uid="{00000000-0006-0000-0900-00001B000000}">
      <text>
        <r>
          <rPr>
            <sz val="8"/>
            <color indexed="81"/>
            <rFont val="Tahoma"/>
            <family val="2"/>
          </rPr>
          <t>Colour can only be selected once the 
Material &amp; Product type has been selected.</t>
        </r>
      </text>
    </comment>
    <comment ref="J9" authorId="0" shapeId="0" xr:uid="{00000000-0006-0000-0900-00001C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9" authorId="0" shapeId="0" xr:uid="{00000000-0006-0000-0900-00001D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9" authorId="0" shapeId="0" xr:uid="{00000000-0006-0000-0900-00001E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9" authorId="0" shapeId="0" xr:uid="{00000000-0006-0000-0900-00001F000000}">
      <text>
        <r>
          <rPr>
            <sz val="8"/>
            <color indexed="81"/>
            <rFont val="Tahoma"/>
            <family val="2"/>
          </rPr>
          <t>The Window Type 
options are;
Standard
Bay Window
Corner Window
Door Cut Out
French Door
Shaped Arch
Shaped Hexagon
Shaped Octagon
Shaped Round
Shaped Sunburst
Shaped Triangle</t>
        </r>
      </text>
    </comment>
    <comment ref="N9" authorId="0" shapeId="0" xr:uid="{00000000-0006-0000-0900-000020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9" authorId="0" shapeId="0" xr:uid="{00000000-0006-0000-0900-000021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9" authorId="0" shapeId="0" xr:uid="{00000000-0006-0000-0900-000022000000}">
      <text>
        <r>
          <rPr>
            <sz val="8"/>
            <color indexed="81"/>
            <rFont val="Tahoma"/>
            <family val="2"/>
          </rPr>
          <t>Frame Type is dependent on
 Mounting Method.</t>
        </r>
      </text>
    </comment>
    <comment ref="V9" authorId="0" shapeId="0" xr:uid="{00000000-0006-0000-0900-000023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9" authorId="0" shapeId="0" xr:uid="{00000000-0006-0000-0900-000024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9" authorId="0" shapeId="0" xr:uid="{00000000-0006-0000-0900-000025000000}">
      <text>
        <r>
          <rPr>
            <sz val="8"/>
            <color indexed="81"/>
            <rFont val="Tahoma"/>
            <family val="2"/>
          </rPr>
          <t>Please Note: 
If Closed option is chosen then the blades 
can be damaged if they are left open 
when Sliding the Panel.</t>
        </r>
      </text>
    </comment>
    <comment ref="Y9" authorId="0" shapeId="0" xr:uid="{00000000-0006-0000-0900-000026000000}">
      <text>
        <r>
          <rPr>
            <sz val="8"/>
            <color indexed="81"/>
            <rFont val="Tahoma"/>
            <family val="2"/>
          </rPr>
          <t>If any T Posts are required then the measurements 
must be supplied under the next columns.
Measurements should be made from the left.</t>
        </r>
      </text>
    </comment>
    <comment ref="AC9" authorId="0" shapeId="0" xr:uid="{00000000-0006-0000-0900-000027000000}">
      <text>
        <r>
          <rPr>
            <sz val="8"/>
            <color indexed="81"/>
            <rFont val="Tahoma"/>
            <family val="2"/>
          </rPr>
          <t>If this field is left empty 
then 
No Fluffy Strip 
will be supplied.</t>
        </r>
      </text>
    </comment>
    <comment ref="C10" authorId="0" shapeId="0" xr:uid="{00000000-0006-0000-0900-000028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10" authorId="0" shapeId="0" xr:uid="{00000000-0006-0000-0900-000029000000}">
      <text>
        <r>
          <rPr>
            <sz val="8"/>
            <color indexed="81"/>
            <rFont val="Tahoma"/>
            <family val="2"/>
          </rPr>
          <t>Minimum Height is 350mm.
Maximum Fauxwood Height is 2600mm.
Maximum Timber Height is 3000mm.</t>
        </r>
      </text>
    </comment>
    <comment ref="E10" authorId="0" shapeId="0" xr:uid="{00000000-0006-0000-0900-00002A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0" authorId="0" shapeId="0" xr:uid="{00000000-0006-0000-0900-00002B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10" authorId="0" shapeId="0" xr:uid="{00000000-0006-0000-0900-00002C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10" authorId="0" shapeId="0" xr:uid="{00000000-0006-0000-0900-00002D000000}">
      <text>
        <r>
          <rPr>
            <sz val="8"/>
            <color indexed="81"/>
            <rFont val="Tahoma"/>
            <family val="2"/>
          </rPr>
          <t>Colour can only be selected once the 
Material &amp; Product type has been selected.</t>
        </r>
      </text>
    </comment>
    <comment ref="J10" authorId="0" shapeId="0" xr:uid="{00000000-0006-0000-0900-00002E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10" authorId="0" shapeId="0" xr:uid="{00000000-0006-0000-0900-00002F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10" authorId="0" shapeId="0" xr:uid="{00000000-0006-0000-0900-000030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10" authorId="0" shapeId="0" xr:uid="{00000000-0006-0000-0900-000031000000}">
      <text>
        <r>
          <rPr>
            <sz val="8"/>
            <color indexed="81"/>
            <rFont val="Tahoma"/>
            <family val="2"/>
          </rPr>
          <t>The Window Type 
options are;
Standard
Bay Window
Corner Window
Door Cut Out
French Door
Shaped Arch
Shaped Hexagon
Shaped Octagon
Shaped Round
Shaped Sunburst
Shaped Triangle</t>
        </r>
      </text>
    </comment>
    <comment ref="N10" authorId="0" shapeId="0" xr:uid="{00000000-0006-0000-0900-000032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10" authorId="0" shapeId="0" xr:uid="{00000000-0006-0000-0900-000033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10" authorId="0" shapeId="0" xr:uid="{00000000-0006-0000-0900-000034000000}">
      <text>
        <r>
          <rPr>
            <sz val="8"/>
            <color indexed="81"/>
            <rFont val="Tahoma"/>
            <family val="2"/>
          </rPr>
          <t>Frame Type is dependent on
 Mounting Method.</t>
        </r>
      </text>
    </comment>
    <comment ref="V10" authorId="0" shapeId="0" xr:uid="{00000000-0006-0000-0900-000035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10" authorId="0" shapeId="0" xr:uid="{00000000-0006-0000-0900-000036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10" authorId="0" shapeId="0" xr:uid="{00000000-0006-0000-0900-000037000000}">
      <text>
        <r>
          <rPr>
            <sz val="8"/>
            <color indexed="81"/>
            <rFont val="Tahoma"/>
            <family val="2"/>
          </rPr>
          <t>Please Note: 
If Closed option is chosen then the blades 
can be damaged if they are left open 
when Sliding the Panel.</t>
        </r>
      </text>
    </comment>
    <comment ref="Y10" authorId="0" shapeId="0" xr:uid="{00000000-0006-0000-0900-000038000000}">
      <text>
        <r>
          <rPr>
            <sz val="8"/>
            <color indexed="81"/>
            <rFont val="Tahoma"/>
            <family val="2"/>
          </rPr>
          <t>If any T Posts are required then the measurements 
must be supplied under the next columns.
Measurements should be made from the left.</t>
        </r>
      </text>
    </comment>
    <comment ref="AC10" authorId="0" shapeId="0" xr:uid="{00000000-0006-0000-0900-000039000000}">
      <text>
        <r>
          <rPr>
            <sz val="8"/>
            <color indexed="81"/>
            <rFont val="Tahoma"/>
            <family val="2"/>
          </rPr>
          <t>If this field is left empty 
then 
No Fluffy Strip 
will be supplied.</t>
        </r>
      </text>
    </comment>
    <comment ref="C11" authorId="0" shapeId="0" xr:uid="{00000000-0006-0000-0900-00003A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11" authorId="0" shapeId="0" xr:uid="{00000000-0006-0000-0900-00003B000000}">
      <text>
        <r>
          <rPr>
            <sz val="8"/>
            <color indexed="81"/>
            <rFont val="Tahoma"/>
            <family val="2"/>
          </rPr>
          <t>Minimum Height is 350mm.
Maximum Fauxwood Height is 2600mm.
Maximum Timber Height is 3000mm.</t>
        </r>
      </text>
    </comment>
    <comment ref="E11" authorId="0" shapeId="0" xr:uid="{00000000-0006-0000-0900-00003C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1" authorId="0" shapeId="0" xr:uid="{00000000-0006-0000-0900-00003D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11" authorId="0" shapeId="0" xr:uid="{00000000-0006-0000-0900-00003E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11" authorId="0" shapeId="0" xr:uid="{00000000-0006-0000-0900-00003F000000}">
      <text>
        <r>
          <rPr>
            <sz val="8"/>
            <color indexed="81"/>
            <rFont val="Tahoma"/>
            <family val="2"/>
          </rPr>
          <t>Colour can only be selected once the 
Material &amp; Product type has been selected.</t>
        </r>
      </text>
    </comment>
    <comment ref="J11" authorId="0" shapeId="0" xr:uid="{00000000-0006-0000-0900-000040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11" authorId="0" shapeId="0" xr:uid="{00000000-0006-0000-0900-000041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11" authorId="0" shapeId="0" xr:uid="{00000000-0006-0000-0900-000042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11" authorId="0" shapeId="0" xr:uid="{00000000-0006-0000-0900-000043000000}">
      <text>
        <r>
          <rPr>
            <sz val="8"/>
            <color indexed="81"/>
            <rFont val="Tahoma"/>
            <family val="2"/>
          </rPr>
          <t>The Window Type 
options are;
Standard
Bay Window
Corner Window
Door Cut Out
French Door
Shaped Arch
Shaped Hexagon
Shaped Octagon
Shaped Round
Shaped Sunburst
Shaped Triangle</t>
        </r>
      </text>
    </comment>
    <comment ref="N11" authorId="0" shapeId="0" xr:uid="{00000000-0006-0000-0900-000044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11" authorId="0" shapeId="0" xr:uid="{00000000-0006-0000-0900-000045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11" authorId="0" shapeId="0" xr:uid="{00000000-0006-0000-0900-000046000000}">
      <text>
        <r>
          <rPr>
            <sz val="8"/>
            <color indexed="81"/>
            <rFont val="Tahoma"/>
            <family val="2"/>
          </rPr>
          <t>Frame Type is dependent on
 Mounting Method.</t>
        </r>
      </text>
    </comment>
    <comment ref="V11" authorId="0" shapeId="0" xr:uid="{00000000-0006-0000-0900-000047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11" authorId="0" shapeId="0" xr:uid="{00000000-0006-0000-0900-000048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11" authorId="0" shapeId="0" xr:uid="{00000000-0006-0000-0900-000049000000}">
      <text>
        <r>
          <rPr>
            <sz val="8"/>
            <color indexed="81"/>
            <rFont val="Tahoma"/>
            <family val="2"/>
          </rPr>
          <t>Please Note: 
If Closed option is chosen then the blades 
can be damaged if they are left open 
when Sliding the Panel.</t>
        </r>
      </text>
    </comment>
    <comment ref="Y11" authorId="0" shapeId="0" xr:uid="{00000000-0006-0000-0900-00004A000000}">
      <text>
        <r>
          <rPr>
            <sz val="8"/>
            <color indexed="81"/>
            <rFont val="Tahoma"/>
            <family val="2"/>
          </rPr>
          <t>If any T Posts are required then the measurements 
must be supplied under the next columns.
Measurements should be made from the left.</t>
        </r>
      </text>
    </comment>
    <comment ref="AC11" authorId="0" shapeId="0" xr:uid="{00000000-0006-0000-0900-00004B000000}">
      <text>
        <r>
          <rPr>
            <sz val="8"/>
            <color indexed="81"/>
            <rFont val="Tahoma"/>
            <family val="2"/>
          </rPr>
          <t>If this field is left empty 
then 
No Fluffy Strip 
will be supplied.</t>
        </r>
      </text>
    </comment>
    <comment ref="C12" authorId="0" shapeId="0" xr:uid="{00000000-0006-0000-0900-00004C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12" authorId="0" shapeId="0" xr:uid="{00000000-0006-0000-0900-00004D000000}">
      <text>
        <r>
          <rPr>
            <sz val="8"/>
            <color indexed="81"/>
            <rFont val="Tahoma"/>
            <family val="2"/>
          </rPr>
          <t>Minimum Height is 350mm.
Maximum Fauxwood Height is 2600mm.
Maximum Timber Height is 3000mm.</t>
        </r>
      </text>
    </comment>
    <comment ref="E12" authorId="0" shapeId="0" xr:uid="{00000000-0006-0000-0900-00004E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2" authorId="0" shapeId="0" xr:uid="{00000000-0006-0000-0900-00004F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12" authorId="0" shapeId="0" xr:uid="{00000000-0006-0000-0900-000050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12" authorId="0" shapeId="0" xr:uid="{00000000-0006-0000-0900-000051000000}">
      <text>
        <r>
          <rPr>
            <sz val="8"/>
            <color indexed="81"/>
            <rFont val="Tahoma"/>
            <family val="2"/>
          </rPr>
          <t>Colour can only be selected once the 
Material &amp; Product type has been selected.</t>
        </r>
      </text>
    </comment>
    <comment ref="J12" authorId="0" shapeId="0" xr:uid="{00000000-0006-0000-0900-000052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12" authorId="0" shapeId="0" xr:uid="{00000000-0006-0000-0900-000053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12" authorId="0" shapeId="0" xr:uid="{00000000-0006-0000-0900-000054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12" authorId="0" shapeId="0" xr:uid="{00000000-0006-0000-0900-000055000000}">
      <text>
        <r>
          <rPr>
            <sz val="8"/>
            <color indexed="81"/>
            <rFont val="Tahoma"/>
            <family val="2"/>
          </rPr>
          <t>The Window Type 
options are;
Standard
Bay Window
Corner Window
Door Cut Out
French Door
Shaped Arch
Shaped Hexagon
Shaped Octagon
Shaped Round
Shaped Sunburst
Shaped Triangle</t>
        </r>
      </text>
    </comment>
    <comment ref="N12" authorId="0" shapeId="0" xr:uid="{00000000-0006-0000-0900-000056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12" authorId="0" shapeId="0" xr:uid="{00000000-0006-0000-0900-000057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12" authorId="0" shapeId="0" xr:uid="{00000000-0006-0000-0900-000058000000}">
      <text>
        <r>
          <rPr>
            <sz val="8"/>
            <color indexed="81"/>
            <rFont val="Tahoma"/>
            <family val="2"/>
          </rPr>
          <t>Frame Type is dependent on
 Mounting Method.</t>
        </r>
      </text>
    </comment>
    <comment ref="V12" authorId="0" shapeId="0" xr:uid="{00000000-0006-0000-0900-000059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12" authorId="0" shapeId="0" xr:uid="{00000000-0006-0000-0900-00005A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12" authorId="0" shapeId="0" xr:uid="{00000000-0006-0000-0900-00005B000000}">
      <text>
        <r>
          <rPr>
            <sz val="8"/>
            <color indexed="81"/>
            <rFont val="Tahoma"/>
            <family val="2"/>
          </rPr>
          <t>Please Note: 
If Closed option is chosen then the blades 
can be damaged if they are left open 
when Sliding the Panel.</t>
        </r>
      </text>
    </comment>
    <comment ref="Y12" authorId="0" shapeId="0" xr:uid="{00000000-0006-0000-0900-00005C000000}">
      <text>
        <r>
          <rPr>
            <sz val="8"/>
            <color indexed="81"/>
            <rFont val="Tahoma"/>
            <family val="2"/>
          </rPr>
          <t>If any T Posts are required then the measurements 
must be supplied under the next columns.
Measurements should be made from the left.</t>
        </r>
      </text>
    </comment>
    <comment ref="AC12" authorId="0" shapeId="0" xr:uid="{00000000-0006-0000-0900-00005D000000}">
      <text>
        <r>
          <rPr>
            <sz val="8"/>
            <color indexed="81"/>
            <rFont val="Tahoma"/>
            <family val="2"/>
          </rPr>
          <t>If this field is left empty 
then 
No Fluffy Strip 
will be supplied.</t>
        </r>
      </text>
    </comment>
    <comment ref="C13" authorId="0" shapeId="0" xr:uid="{00000000-0006-0000-0900-00005E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13" authorId="0" shapeId="0" xr:uid="{00000000-0006-0000-0900-00005F000000}">
      <text>
        <r>
          <rPr>
            <sz val="8"/>
            <color indexed="81"/>
            <rFont val="Tahoma"/>
            <family val="2"/>
          </rPr>
          <t>Minimum Height is 350mm.
Maximum Fauxwood Height is 2600mm.
Maximum Timber Height is 3000mm.</t>
        </r>
      </text>
    </comment>
    <comment ref="E13" authorId="0" shapeId="0" xr:uid="{00000000-0006-0000-0900-000060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3" authorId="0" shapeId="0" xr:uid="{00000000-0006-0000-0900-000061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13" authorId="0" shapeId="0" xr:uid="{00000000-0006-0000-0900-000062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13" authorId="0" shapeId="0" xr:uid="{00000000-0006-0000-0900-000063000000}">
      <text>
        <r>
          <rPr>
            <sz val="8"/>
            <color indexed="81"/>
            <rFont val="Tahoma"/>
            <family val="2"/>
          </rPr>
          <t>Colour can only be selected once the 
Material &amp; Product type has been selected.</t>
        </r>
      </text>
    </comment>
    <comment ref="J13" authorId="0" shapeId="0" xr:uid="{00000000-0006-0000-0900-000064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13" authorId="0" shapeId="0" xr:uid="{00000000-0006-0000-0900-000065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13" authorId="0" shapeId="0" xr:uid="{00000000-0006-0000-0900-000066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13" authorId="0" shapeId="0" xr:uid="{00000000-0006-0000-0900-000067000000}">
      <text>
        <r>
          <rPr>
            <sz val="8"/>
            <color indexed="81"/>
            <rFont val="Tahoma"/>
            <family val="2"/>
          </rPr>
          <t>The Window Type 
options are;
Standard
Bay Window
Corner Window
Door Cut Out
French Door
Shaped Arch
Shaped Hexagon
Shaped Octagon
Shaped Round
Shaped Sunburst
Shaped Triangle</t>
        </r>
      </text>
    </comment>
    <comment ref="N13" authorId="0" shapeId="0" xr:uid="{00000000-0006-0000-0900-000068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13" authorId="0" shapeId="0" xr:uid="{00000000-0006-0000-0900-000069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13" authorId="0" shapeId="0" xr:uid="{00000000-0006-0000-0900-00006A000000}">
      <text>
        <r>
          <rPr>
            <sz val="8"/>
            <color indexed="81"/>
            <rFont val="Tahoma"/>
            <family val="2"/>
          </rPr>
          <t>Frame Type is dependent on
 Mounting Method.</t>
        </r>
      </text>
    </comment>
    <comment ref="V13" authorId="0" shapeId="0" xr:uid="{00000000-0006-0000-0900-00006B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13" authorId="0" shapeId="0" xr:uid="{00000000-0006-0000-0900-00006C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13" authorId="0" shapeId="0" xr:uid="{00000000-0006-0000-0900-00006D000000}">
      <text>
        <r>
          <rPr>
            <sz val="8"/>
            <color indexed="81"/>
            <rFont val="Tahoma"/>
            <family val="2"/>
          </rPr>
          <t>Please Note: 
If Closed option is chosen then the blades 
can be damaged if they are left open 
when Sliding the Panel.</t>
        </r>
      </text>
    </comment>
    <comment ref="Y13" authorId="0" shapeId="0" xr:uid="{00000000-0006-0000-0900-00006E000000}">
      <text>
        <r>
          <rPr>
            <sz val="8"/>
            <color indexed="81"/>
            <rFont val="Tahoma"/>
            <family val="2"/>
          </rPr>
          <t>If any T Posts are required then the measurements 
must be supplied under the next columns.
Measurements should be made from the left.</t>
        </r>
      </text>
    </comment>
    <comment ref="AC13" authorId="0" shapeId="0" xr:uid="{00000000-0006-0000-0900-00006F000000}">
      <text>
        <r>
          <rPr>
            <sz val="8"/>
            <color indexed="81"/>
            <rFont val="Tahoma"/>
            <family val="2"/>
          </rPr>
          <t>If this field is left empty 
then 
No Fluffy Strip 
will be supplied.</t>
        </r>
      </text>
    </comment>
    <comment ref="C14" authorId="0" shapeId="0" xr:uid="{00000000-0006-0000-0900-000070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14" authorId="0" shapeId="0" xr:uid="{00000000-0006-0000-0900-000071000000}">
      <text>
        <r>
          <rPr>
            <sz val="8"/>
            <color indexed="81"/>
            <rFont val="Tahoma"/>
            <family val="2"/>
          </rPr>
          <t>Minimum Height is 350mm.
Maximum Fauxwood Height is 2600mm.
Maximum Timber Height is 3000mm.</t>
        </r>
      </text>
    </comment>
    <comment ref="E14" authorId="0" shapeId="0" xr:uid="{00000000-0006-0000-0900-000072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4" authorId="0" shapeId="0" xr:uid="{00000000-0006-0000-0900-000073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14" authorId="0" shapeId="0" xr:uid="{00000000-0006-0000-0900-000074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14" authorId="0" shapeId="0" xr:uid="{00000000-0006-0000-0900-000075000000}">
      <text>
        <r>
          <rPr>
            <sz val="8"/>
            <color indexed="81"/>
            <rFont val="Tahoma"/>
            <family val="2"/>
          </rPr>
          <t>Colour can only be selected once the 
Material &amp; Product type has been selected.</t>
        </r>
      </text>
    </comment>
    <comment ref="J14" authorId="0" shapeId="0" xr:uid="{00000000-0006-0000-0900-000076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14" authorId="0" shapeId="0" xr:uid="{00000000-0006-0000-0900-000077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14" authorId="0" shapeId="0" xr:uid="{00000000-0006-0000-0900-000078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14" authorId="0" shapeId="0" xr:uid="{00000000-0006-0000-0900-000079000000}">
      <text>
        <r>
          <rPr>
            <sz val="8"/>
            <color indexed="81"/>
            <rFont val="Tahoma"/>
            <family val="2"/>
          </rPr>
          <t>The Window Type 
options are;
Standard
Bay Window
Corner Window
Door Cut Out
French Door
Shaped Arch
Shaped Hexagon
Shaped Octagon
Shaped Round
Shaped Sunburst
Shaped Triangle</t>
        </r>
      </text>
    </comment>
    <comment ref="N14" authorId="0" shapeId="0" xr:uid="{00000000-0006-0000-0900-00007A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14" authorId="0" shapeId="0" xr:uid="{00000000-0006-0000-0900-00007B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14" authorId="0" shapeId="0" xr:uid="{00000000-0006-0000-0900-00007C000000}">
      <text>
        <r>
          <rPr>
            <sz val="8"/>
            <color indexed="81"/>
            <rFont val="Tahoma"/>
            <family val="2"/>
          </rPr>
          <t>Frame Type is dependent on
 Mounting Method.</t>
        </r>
      </text>
    </comment>
    <comment ref="V14" authorId="0" shapeId="0" xr:uid="{00000000-0006-0000-0900-00007D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14" authorId="0" shapeId="0" xr:uid="{00000000-0006-0000-0900-00007E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14" authorId="0" shapeId="0" xr:uid="{00000000-0006-0000-0900-00007F000000}">
      <text>
        <r>
          <rPr>
            <sz val="8"/>
            <color indexed="81"/>
            <rFont val="Tahoma"/>
            <family val="2"/>
          </rPr>
          <t>Please Note: 
If Closed option is chosen then the blades 
can be damaged if they are left open 
when Sliding the Panel.</t>
        </r>
      </text>
    </comment>
    <comment ref="Y14" authorId="0" shapeId="0" xr:uid="{00000000-0006-0000-0900-000080000000}">
      <text>
        <r>
          <rPr>
            <sz val="8"/>
            <color indexed="81"/>
            <rFont val="Tahoma"/>
            <family val="2"/>
          </rPr>
          <t>If any T Posts are required then the measurements 
must be supplied under the next columns.
Measurements should be made from the left.</t>
        </r>
      </text>
    </comment>
    <comment ref="AC14" authorId="0" shapeId="0" xr:uid="{00000000-0006-0000-0900-000081000000}">
      <text>
        <r>
          <rPr>
            <sz val="8"/>
            <color indexed="81"/>
            <rFont val="Tahoma"/>
            <family val="2"/>
          </rPr>
          <t>If this field is left empty 
then 
No Fluffy Strip 
will be supplied.</t>
        </r>
      </text>
    </comment>
    <comment ref="C15" authorId="0" shapeId="0" xr:uid="{00000000-0006-0000-0900-000082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15" authorId="0" shapeId="0" xr:uid="{00000000-0006-0000-0900-000083000000}">
      <text>
        <r>
          <rPr>
            <sz val="8"/>
            <color indexed="81"/>
            <rFont val="Tahoma"/>
            <family val="2"/>
          </rPr>
          <t>Minimum Height is 350mm.
Maximum Fauxwood Height is 2600mm.
Maximum Timber Height is 3000mm.</t>
        </r>
      </text>
    </comment>
    <comment ref="E15" authorId="0" shapeId="0" xr:uid="{00000000-0006-0000-0900-000084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5" authorId="0" shapeId="0" xr:uid="{00000000-0006-0000-0900-000085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15" authorId="0" shapeId="0" xr:uid="{00000000-0006-0000-0900-000086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15" authorId="0" shapeId="0" xr:uid="{00000000-0006-0000-0900-000087000000}">
      <text>
        <r>
          <rPr>
            <sz val="8"/>
            <color indexed="81"/>
            <rFont val="Tahoma"/>
            <family val="2"/>
          </rPr>
          <t>Colour can only be selected once the 
Material &amp; Product type has been selected.</t>
        </r>
      </text>
    </comment>
    <comment ref="J15" authorId="0" shapeId="0" xr:uid="{00000000-0006-0000-0900-000088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15" authorId="0" shapeId="0" xr:uid="{00000000-0006-0000-0900-000089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15" authorId="0" shapeId="0" xr:uid="{00000000-0006-0000-0900-00008A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15" authorId="0" shapeId="0" xr:uid="{00000000-0006-0000-0900-00008B000000}">
      <text>
        <r>
          <rPr>
            <sz val="8"/>
            <color indexed="81"/>
            <rFont val="Tahoma"/>
            <family val="2"/>
          </rPr>
          <t>The Window Type 
options are;
Standard
Bay Window
Corner Window
Door Cut Out
French Door
Shaped Arch
Shaped Hexagon
Shaped Octagon
Shaped Round
Shaped Sunburst
Shaped Triangle</t>
        </r>
      </text>
    </comment>
    <comment ref="N15" authorId="0" shapeId="0" xr:uid="{00000000-0006-0000-0900-00008C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15" authorId="0" shapeId="0" xr:uid="{00000000-0006-0000-0900-00008D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15" authorId="0" shapeId="0" xr:uid="{00000000-0006-0000-0900-00008E000000}">
      <text>
        <r>
          <rPr>
            <sz val="8"/>
            <color indexed="81"/>
            <rFont val="Tahoma"/>
            <family val="2"/>
          </rPr>
          <t>Frame Type is dependent on
 Mounting Method.</t>
        </r>
      </text>
    </comment>
    <comment ref="V15" authorId="0" shapeId="0" xr:uid="{00000000-0006-0000-0900-00008F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15" authorId="0" shapeId="0" xr:uid="{00000000-0006-0000-0900-000090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15" authorId="0" shapeId="0" xr:uid="{00000000-0006-0000-0900-000091000000}">
      <text>
        <r>
          <rPr>
            <sz val="8"/>
            <color indexed="81"/>
            <rFont val="Tahoma"/>
            <family val="2"/>
          </rPr>
          <t>Please Note: 
If Closed option is chosen then the blades 
can be damaged if they are left open 
when Sliding the Panel.</t>
        </r>
      </text>
    </comment>
    <comment ref="Y15" authorId="0" shapeId="0" xr:uid="{00000000-0006-0000-0900-000092000000}">
      <text>
        <r>
          <rPr>
            <sz val="8"/>
            <color indexed="81"/>
            <rFont val="Tahoma"/>
            <family val="2"/>
          </rPr>
          <t>If any T Posts are required then the measurements 
must be supplied under the next columns.
Measurements should be made from the left.</t>
        </r>
      </text>
    </comment>
    <comment ref="AC15" authorId="0" shapeId="0" xr:uid="{00000000-0006-0000-0900-000093000000}">
      <text>
        <r>
          <rPr>
            <sz val="8"/>
            <color indexed="81"/>
            <rFont val="Tahoma"/>
            <family val="2"/>
          </rPr>
          <t>If this field is left empty 
then 
No Fluffy Strip 
will be supplied.</t>
        </r>
      </text>
    </comment>
    <comment ref="C16" authorId="0" shapeId="0" xr:uid="{00000000-0006-0000-0900-000094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16" authorId="0" shapeId="0" xr:uid="{00000000-0006-0000-0900-000095000000}">
      <text>
        <r>
          <rPr>
            <sz val="8"/>
            <color indexed="81"/>
            <rFont val="Tahoma"/>
            <family val="2"/>
          </rPr>
          <t>Minimum Height is 350mm.
Maximum Fauxwood Height is 2600mm.
Maximum Timber Height is 3000mm.</t>
        </r>
      </text>
    </comment>
    <comment ref="E16" authorId="0" shapeId="0" xr:uid="{00000000-0006-0000-0900-000096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6" authorId="0" shapeId="0" xr:uid="{00000000-0006-0000-0900-000097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16" authorId="0" shapeId="0" xr:uid="{00000000-0006-0000-0900-000098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16" authorId="0" shapeId="0" xr:uid="{00000000-0006-0000-0900-000099000000}">
      <text>
        <r>
          <rPr>
            <sz val="8"/>
            <color indexed="81"/>
            <rFont val="Tahoma"/>
            <family val="2"/>
          </rPr>
          <t>Colour can only be selected once the 
Material &amp; Product type has been selected.</t>
        </r>
      </text>
    </comment>
    <comment ref="J16" authorId="0" shapeId="0" xr:uid="{00000000-0006-0000-0900-00009A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16" authorId="0" shapeId="0" xr:uid="{00000000-0006-0000-0900-00009B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16" authorId="0" shapeId="0" xr:uid="{00000000-0006-0000-0900-00009C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16" authorId="0" shapeId="0" xr:uid="{00000000-0006-0000-0900-00009D000000}">
      <text>
        <r>
          <rPr>
            <sz val="8"/>
            <color indexed="81"/>
            <rFont val="Tahoma"/>
            <family val="2"/>
          </rPr>
          <t>The Window Type 
options are;
Standard
Bay Window
Corner Window
Door Cut Out
French Door
Shaped Arch
Shaped Hexagon
Shaped Octagon
Shaped Round
Shaped Sunburst
Shaped Triangle</t>
        </r>
      </text>
    </comment>
    <comment ref="N16" authorId="0" shapeId="0" xr:uid="{00000000-0006-0000-0900-00009E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16" authorId="0" shapeId="0" xr:uid="{00000000-0006-0000-0900-00009F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16" authorId="0" shapeId="0" xr:uid="{00000000-0006-0000-0900-0000A0000000}">
      <text>
        <r>
          <rPr>
            <sz val="8"/>
            <color indexed="81"/>
            <rFont val="Tahoma"/>
            <family val="2"/>
          </rPr>
          <t>Frame Type is dependent on
 Mounting Method.</t>
        </r>
      </text>
    </comment>
    <comment ref="V16" authorId="0" shapeId="0" xr:uid="{00000000-0006-0000-0900-0000A1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16" authorId="0" shapeId="0" xr:uid="{00000000-0006-0000-0900-0000A2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16" authorId="0" shapeId="0" xr:uid="{00000000-0006-0000-0900-0000A3000000}">
      <text>
        <r>
          <rPr>
            <sz val="8"/>
            <color indexed="81"/>
            <rFont val="Tahoma"/>
            <family val="2"/>
          </rPr>
          <t>Please Note: 
If Closed option is chosen then the blades 
can be damaged if they are left open 
when Sliding the Panel.</t>
        </r>
      </text>
    </comment>
    <comment ref="Y16" authorId="0" shapeId="0" xr:uid="{00000000-0006-0000-0900-0000A4000000}">
      <text>
        <r>
          <rPr>
            <sz val="8"/>
            <color indexed="81"/>
            <rFont val="Tahoma"/>
            <family val="2"/>
          </rPr>
          <t>If any T Posts are required then the measurements 
must be supplied under the next columns.
Measurements should be made from the left.</t>
        </r>
      </text>
    </comment>
    <comment ref="AC16" authorId="0" shapeId="0" xr:uid="{00000000-0006-0000-0900-0000A5000000}">
      <text>
        <r>
          <rPr>
            <sz val="8"/>
            <color indexed="81"/>
            <rFont val="Tahoma"/>
            <family val="2"/>
          </rPr>
          <t>If this field is left empty 
then 
No Fluffy Strip 
will be supplied.</t>
        </r>
      </text>
    </comment>
    <comment ref="C17" authorId="0" shapeId="0" xr:uid="{00000000-0006-0000-0900-0000A6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17" authorId="0" shapeId="0" xr:uid="{00000000-0006-0000-0900-0000A7000000}">
      <text>
        <r>
          <rPr>
            <sz val="8"/>
            <color indexed="81"/>
            <rFont val="Tahoma"/>
            <family val="2"/>
          </rPr>
          <t>Minimum Height is 350mm.
Maximum Fauxwood Height is 2600mm.
Maximum Timber Height is 3000mm.</t>
        </r>
      </text>
    </comment>
    <comment ref="E17" authorId="0" shapeId="0" xr:uid="{00000000-0006-0000-0900-0000A8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7" authorId="0" shapeId="0" xr:uid="{00000000-0006-0000-0900-0000A9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17" authorId="0" shapeId="0" xr:uid="{00000000-0006-0000-0900-0000AA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17" authorId="0" shapeId="0" xr:uid="{00000000-0006-0000-0900-0000AB000000}">
      <text>
        <r>
          <rPr>
            <sz val="8"/>
            <color indexed="81"/>
            <rFont val="Tahoma"/>
            <family val="2"/>
          </rPr>
          <t>Colour can only be selected once the 
Material &amp; Product type has been selected.</t>
        </r>
      </text>
    </comment>
    <comment ref="J17" authorId="0" shapeId="0" xr:uid="{00000000-0006-0000-0900-0000AC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17" authorId="0" shapeId="0" xr:uid="{00000000-0006-0000-0900-0000AD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17" authorId="0" shapeId="0" xr:uid="{00000000-0006-0000-0900-0000AE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17" authorId="0" shapeId="0" xr:uid="{00000000-0006-0000-0900-0000AF000000}">
      <text>
        <r>
          <rPr>
            <sz val="8"/>
            <color indexed="81"/>
            <rFont val="Tahoma"/>
            <family val="2"/>
          </rPr>
          <t>The Window Type 
options are;
Standard
Bay Window
Corner Window
Door Cut Out
French Door
Shaped Arch
Shaped Hexagon
Shaped Octagon
Shaped Round
Shaped Sunburst
Shaped Triangle</t>
        </r>
      </text>
    </comment>
    <comment ref="N17" authorId="0" shapeId="0" xr:uid="{00000000-0006-0000-0900-0000B0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17" authorId="0" shapeId="0" xr:uid="{00000000-0006-0000-0900-0000B1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17" authorId="0" shapeId="0" xr:uid="{00000000-0006-0000-0900-0000B2000000}">
      <text>
        <r>
          <rPr>
            <sz val="8"/>
            <color indexed="81"/>
            <rFont val="Tahoma"/>
            <family val="2"/>
          </rPr>
          <t>Frame Type is dependent on
 Mounting Method.</t>
        </r>
      </text>
    </comment>
    <comment ref="V17" authorId="0" shapeId="0" xr:uid="{00000000-0006-0000-0900-0000B3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17" authorId="0" shapeId="0" xr:uid="{00000000-0006-0000-0900-0000B4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17" authorId="0" shapeId="0" xr:uid="{00000000-0006-0000-0900-0000B5000000}">
      <text>
        <r>
          <rPr>
            <sz val="8"/>
            <color indexed="81"/>
            <rFont val="Tahoma"/>
            <family val="2"/>
          </rPr>
          <t>Please Note: 
If Closed option is chosen then the blades 
can be damaged if they are left open 
when Sliding the Panel.</t>
        </r>
      </text>
    </comment>
    <comment ref="Y17" authorId="0" shapeId="0" xr:uid="{00000000-0006-0000-0900-0000B6000000}">
      <text>
        <r>
          <rPr>
            <sz val="8"/>
            <color indexed="81"/>
            <rFont val="Tahoma"/>
            <family val="2"/>
          </rPr>
          <t>If any T Posts are required then the measurements 
must be supplied under the next columns.
Measurements should be made from the left.</t>
        </r>
      </text>
    </comment>
    <comment ref="AC17" authorId="0" shapeId="0" xr:uid="{00000000-0006-0000-0900-0000B7000000}">
      <text>
        <r>
          <rPr>
            <sz val="8"/>
            <color indexed="81"/>
            <rFont val="Tahoma"/>
            <family val="2"/>
          </rPr>
          <t>If this field is left empty 
then 
No Fluffy Strip 
will be supplied.</t>
        </r>
      </text>
    </comment>
    <comment ref="C18" authorId="0" shapeId="0" xr:uid="{00000000-0006-0000-0900-0000B8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18" authorId="0" shapeId="0" xr:uid="{00000000-0006-0000-0900-0000B9000000}">
      <text>
        <r>
          <rPr>
            <sz val="8"/>
            <color indexed="81"/>
            <rFont val="Tahoma"/>
            <family val="2"/>
          </rPr>
          <t>Minimum Height is 350mm.
Maximum Fauxwood Height is 2600mm.
Maximum Timber Height is 3000mm.</t>
        </r>
      </text>
    </comment>
    <comment ref="E18" authorId="0" shapeId="0" xr:uid="{00000000-0006-0000-0900-0000BA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8" authorId="0" shapeId="0" xr:uid="{00000000-0006-0000-0900-0000BB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18" authorId="0" shapeId="0" xr:uid="{00000000-0006-0000-0900-0000BC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18" authorId="0" shapeId="0" xr:uid="{00000000-0006-0000-0900-0000BD000000}">
      <text>
        <r>
          <rPr>
            <sz val="8"/>
            <color indexed="81"/>
            <rFont val="Tahoma"/>
            <family val="2"/>
          </rPr>
          <t>Colour can only be selected once the 
Material &amp; Product type has been selected.</t>
        </r>
      </text>
    </comment>
    <comment ref="J18" authorId="0" shapeId="0" xr:uid="{00000000-0006-0000-0900-0000BE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18" authorId="0" shapeId="0" xr:uid="{00000000-0006-0000-0900-0000BF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18" authorId="0" shapeId="0" xr:uid="{00000000-0006-0000-0900-0000C0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18" authorId="0" shapeId="0" xr:uid="{00000000-0006-0000-0900-0000C1000000}">
      <text>
        <r>
          <rPr>
            <sz val="8"/>
            <color indexed="81"/>
            <rFont val="Tahoma"/>
            <family val="2"/>
          </rPr>
          <t>The Window Type 
options are;
Standard
Bay Window
Corner Window
Door Cut Out
French Door
Shaped Arch
Shaped Hexagon
Shaped Octagon
Shaped Round
Shaped Sunburst
Shaped Triangle</t>
        </r>
      </text>
    </comment>
    <comment ref="N18" authorId="0" shapeId="0" xr:uid="{00000000-0006-0000-0900-0000C2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18" authorId="0" shapeId="0" xr:uid="{00000000-0006-0000-0900-0000C3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18" authorId="0" shapeId="0" xr:uid="{00000000-0006-0000-0900-0000C4000000}">
      <text>
        <r>
          <rPr>
            <sz val="8"/>
            <color indexed="81"/>
            <rFont val="Tahoma"/>
            <family val="2"/>
          </rPr>
          <t>Frame Type is dependent on
 Mounting Method.</t>
        </r>
      </text>
    </comment>
    <comment ref="V18" authorId="0" shapeId="0" xr:uid="{00000000-0006-0000-0900-0000C5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18" authorId="0" shapeId="0" xr:uid="{00000000-0006-0000-0900-0000C6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18" authorId="0" shapeId="0" xr:uid="{00000000-0006-0000-0900-0000C7000000}">
      <text>
        <r>
          <rPr>
            <sz val="8"/>
            <color indexed="81"/>
            <rFont val="Tahoma"/>
            <family val="2"/>
          </rPr>
          <t>Please Note: 
If Closed option is chosen then the blades 
can be damaged if they are left open 
when Sliding the Panel.</t>
        </r>
      </text>
    </comment>
    <comment ref="Y18" authorId="0" shapeId="0" xr:uid="{00000000-0006-0000-0900-0000C8000000}">
      <text>
        <r>
          <rPr>
            <sz val="8"/>
            <color indexed="81"/>
            <rFont val="Tahoma"/>
            <family val="2"/>
          </rPr>
          <t>If any T Posts are required then the measurements 
must be supplied under the next columns.
Measurements should be made from the left.</t>
        </r>
      </text>
    </comment>
    <comment ref="AC18" authorId="0" shapeId="0" xr:uid="{00000000-0006-0000-0900-0000C9000000}">
      <text>
        <r>
          <rPr>
            <sz val="8"/>
            <color indexed="81"/>
            <rFont val="Tahoma"/>
            <family val="2"/>
          </rPr>
          <t>If this field is left empty 
then 
No Fluffy Strip 
will be supplied.</t>
        </r>
      </text>
    </comment>
    <comment ref="C19" authorId="0" shapeId="0" xr:uid="{00000000-0006-0000-0900-0000CA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19" authorId="0" shapeId="0" xr:uid="{00000000-0006-0000-0900-0000CB000000}">
      <text>
        <r>
          <rPr>
            <sz val="8"/>
            <color indexed="81"/>
            <rFont val="Tahoma"/>
            <family val="2"/>
          </rPr>
          <t>Minimum Height is 350mm.
Maximum Fauxwood Height is 2600mm.
Maximum Timber Height is 3000mm.</t>
        </r>
      </text>
    </comment>
    <comment ref="E19" authorId="0" shapeId="0" xr:uid="{00000000-0006-0000-0900-0000CC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19" authorId="0" shapeId="0" xr:uid="{00000000-0006-0000-0900-0000CD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19" authorId="0" shapeId="0" xr:uid="{00000000-0006-0000-0900-0000CE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19" authorId="0" shapeId="0" xr:uid="{00000000-0006-0000-0900-0000CF000000}">
      <text>
        <r>
          <rPr>
            <sz val="8"/>
            <color indexed="81"/>
            <rFont val="Tahoma"/>
            <family val="2"/>
          </rPr>
          <t>Colour can only be selected once the 
Material &amp; Product type has been selected.</t>
        </r>
      </text>
    </comment>
    <comment ref="J19" authorId="0" shapeId="0" xr:uid="{00000000-0006-0000-0900-0000D0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19" authorId="0" shapeId="0" xr:uid="{00000000-0006-0000-0900-0000D1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19" authorId="0" shapeId="0" xr:uid="{00000000-0006-0000-0900-0000D2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19" authorId="0" shapeId="0" xr:uid="{00000000-0006-0000-0900-0000D3000000}">
      <text>
        <r>
          <rPr>
            <sz val="8"/>
            <color indexed="81"/>
            <rFont val="Tahoma"/>
            <family val="2"/>
          </rPr>
          <t>The Window Type 
options are;
Standard
Bay Window
Corner Window
Door Cut Out
French Door
Shaped Arch
Shaped Hexagon
Shaped Octagon
Shaped Round
Shaped Sunburst
Shaped Triangle</t>
        </r>
      </text>
    </comment>
    <comment ref="N19" authorId="0" shapeId="0" xr:uid="{00000000-0006-0000-0900-0000D4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19" authorId="0" shapeId="0" xr:uid="{00000000-0006-0000-0900-0000D5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19" authorId="0" shapeId="0" xr:uid="{00000000-0006-0000-0900-0000D6000000}">
      <text>
        <r>
          <rPr>
            <sz val="8"/>
            <color indexed="81"/>
            <rFont val="Tahoma"/>
            <family val="2"/>
          </rPr>
          <t>Frame Type is dependent on
 Mounting Method.</t>
        </r>
      </text>
    </comment>
    <comment ref="V19" authorId="0" shapeId="0" xr:uid="{00000000-0006-0000-0900-0000D7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19" authorId="0" shapeId="0" xr:uid="{00000000-0006-0000-0900-0000D8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19" authorId="0" shapeId="0" xr:uid="{00000000-0006-0000-0900-0000D9000000}">
      <text>
        <r>
          <rPr>
            <sz val="8"/>
            <color indexed="81"/>
            <rFont val="Tahoma"/>
            <family val="2"/>
          </rPr>
          <t>Please Note: 
If Closed option is chosen then the blades 
can be damaged if they are left open 
when Sliding the Panel.</t>
        </r>
      </text>
    </comment>
    <comment ref="Y19" authorId="0" shapeId="0" xr:uid="{00000000-0006-0000-0900-0000DA000000}">
      <text>
        <r>
          <rPr>
            <sz val="8"/>
            <color indexed="81"/>
            <rFont val="Tahoma"/>
            <family val="2"/>
          </rPr>
          <t>If any T Posts are required then the measurements 
must be supplied under the next columns.
Measurements should be made from the left.</t>
        </r>
      </text>
    </comment>
    <comment ref="AC19" authorId="0" shapeId="0" xr:uid="{00000000-0006-0000-0900-0000DB000000}">
      <text>
        <r>
          <rPr>
            <sz val="8"/>
            <color indexed="81"/>
            <rFont val="Tahoma"/>
            <family val="2"/>
          </rPr>
          <t>If this field is left empty 
then 
No Fluffy Strip 
will be supplied.</t>
        </r>
      </text>
    </comment>
    <comment ref="C20" authorId="0" shapeId="0" xr:uid="{00000000-0006-0000-0900-0000DC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20" authorId="0" shapeId="0" xr:uid="{00000000-0006-0000-0900-0000DD000000}">
      <text>
        <r>
          <rPr>
            <sz val="8"/>
            <color indexed="81"/>
            <rFont val="Tahoma"/>
            <family val="2"/>
          </rPr>
          <t>Minimum Height is 350mm.
Maximum Fauxwood Height is 2600mm.
Maximum Timber Height is 3000mm.</t>
        </r>
      </text>
    </comment>
    <comment ref="E20" authorId="0" shapeId="0" xr:uid="{00000000-0006-0000-0900-0000DE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20" authorId="0" shapeId="0" xr:uid="{00000000-0006-0000-0900-0000DF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20" authorId="0" shapeId="0" xr:uid="{00000000-0006-0000-0900-0000E0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20" authorId="0" shapeId="0" xr:uid="{00000000-0006-0000-0900-0000E1000000}">
      <text>
        <r>
          <rPr>
            <sz val="8"/>
            <color indexed="81"/>
            <rFont val="Tahoma"/>
            <family val="2"/>
          </rPr>
          <t>Colour can only be selected once the 
Material &amp; Product type has been selected.</t>
        </r>
      </text>
    </comment>
    <comment ref="J20" authorId="0" shapeId="0" xr:uid="{00000000-0006-0000-0900-0000E2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20" authorId="0" shapeId="0" xr:uid="{00000000-0006-0000-0900-0000E3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20" authorId="0" shapeId="0" xr:uid="{00000000-0006-0000-0900-0000E4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20" authorId="0" shapeId="0" xr:uid="{00000000-0006-0000-0900-0000E5000000}">
      <text>
        <r>
          <rPr>
            <sz val="8"/>
            <color indexed="81"/>
            <rFont val="Tahoma"/>
            <family val="2"/>
          </rPr>
          <t>The Window Type 
options are;
Standard
Bay Window
Corner Window
Door Cut Out
French Door
Shaped Arch
Shaped Hexagon
Shaped Octagon
Shaped Round
Shaped Sunburst
Shaped Triangle</t>
        </r>
      </text>
    </comment>
    <comment ref="N20" authorId="0" shapeId="0" xr:uid="{00000000-0006-0000-0900-0000E6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20" authorId="0" shapeId="0" xr:uid="{00000000-0006-0000-0900-0000E7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20" authorId="0" shapeId="0" xr:uid="{00000000-0006-0000-0900-0000E8000000}">
      <text>
        <r>
          <rPr>
            <sz val="8"/>
            <color indexed="81"/>
            <rFont val="Tahoma"/>
            <family val="2"/>
          </rPr>
          <t>Frame Type is dependent on
 Mounting Method.</t>
        </r>
      </text>
    </comment>
    <comment ref="V20" authorId="0" shapeId="0" xr:uid="{00000000-0006-0000-0900-0000E9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20" authorId="0" shapeId="0" xr:uid="{00000000-0006-0000-0900-0000EA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20" authorId="0" shapeId="0" xr:uid="{00000000-0006-0000-0900-0000EB000000}">
      <text>
        <r>
          <rPr>
            <sz val="8"/>
            <color indexed="81"/>
            <rFont val="Tahoma"/>
            <family val="2"/>
          </rPr>
          <t>Please Note: 
If Closed option is chosen then the blades 
can be damaged if they are left open 
when Sliding the Panel.</t>
        </r>
      </text>
    </comment>
    <comment ref="Y20" authorId="0" shapeId="0" xr:uid="{00000000-0006-0000-0900-0000EC000000}">
      <text>
        <r>
          <rPr>
            <sz val="8"/>
            <color indexed="81"/>
            <rFont val="Tahoma"/>
            <family val="2"/>
          </rPr>
          <t>If any T Posts are required then the measurements 
must be supplied under the next columns.
Measurements should be made from the left.</t>
        </r>
      </text>
    </comment>
    <comment ref="AC20" authorId="0" shapeId="0" xr:uid="{00000000-0006-0000-0900-0000ED000000}">
      <text>
        <r>
          <rPr>
            <sz val="8"/>
            <color indexed="81"/>
            <rFont val="Tahoma"/>
            <family val="2"/>
          </rPr>
          <t>If this field is left empty 
then 
No Fluffy Strip 
will be supplied.</t>
        </r>
      </text>
    </comment>
    <comment ref="C21" authorId="0" shapeId="0" xr:uid="{00000000-0006-0000-0900-0000EE00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21" authorId="0" shapeId="0" xr:uid="{00000000-0006-0000-0900-0000EF000000}">
      <text>
        <r>
          <rPr>
            <sz val="8"/>
            <color indexed="81"/>
            <rFont val="Tahoma"/>
            <family val="2"/>
          </rPr>
          <t>Minimum Height is 350mm.
Maximum Fauxwood Height is 2600mm.
Maximum Timber Height is 3000mm.</t>
        </r>
      </text>
    </comment>
    <comment ref="E21" authorId="0" shapeId="0" xr:uid="{00000000-0006-0000-0900-0000F000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21" authorId="0" shapeId="0" xr:uid="{00000000-0006-0000-0900-0000F100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21" authorId="0" shapeId="0" xr:uid="{00000000-0006-0000-0900-0000F200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21" authorId="0" shapeId="0" xr:uid="{00000000-0006-0000-0900-0000F3000000}">
      <text>
        <r>
          <rPr>
            <sz val="8"/>
            <color indexed="81"/>
            <rFont val="Tahoma"/>
            <family val="2"/>
          </rPr>
          <t>Colour can only be selected once the 
Material &amp; Product type has been selected.</t>
        </r>
      </text>
    </comment>
    <comment ref="J21" authorId="0" shapeId="0" xr:uid="{00000000-0006-0000-0900-0000F400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21" authorId="0" shapeId="0" xr:uid="{00000000-0006-0000-0900-0000F500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21" authorId="0" shapeId="0" xr:uid="{00000000-0006-0000-0900-0000F600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21" authorId="0" shapeId="0" xr:uid="{00000000-0006-0000-0900-0000F7000000}">
      <text>
        <r>
          <rPr>
            <sz val="8"/>
            <color indexed="81"/>
            <rFont val="Tahoma"/>
            <family val="2"/>
          </rPr>
          <t>The Window Type 
options are;
Standard
Bay Window
Corner Window
Door Cut Out
French Door
Shaped Arch
Shaped Hexagon
Shaped Octagon
Shaped Round
Shaped Sunburst
Shaped Triangle</t>
        </r>
      </text>
    </comment>
    <comment ref="N21" authorId="0" shapeId="0" xr:uid="{00000000-0006-0000-0900-0000F800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21" authorId="0" shapeId="0" xr:uid="{00000000-0006-0000-0900-0000F900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21" authorId="0" shapeId="0" xr:uid="{00000000-0006-0000-0900-0000FA000000}">
      <text>
        <r>
          <rPr>
            <sz val="8"/>
            <color indexed="81"/>
            <rFont val="Tahoma"/>
            <family val="2"/>
          </rPr>
          <t>Frame Type is dependent on
 Mounting Method.</t>
        </r>
      </text>
    </comment>
    <comment ref="V21" authorId="0" shapeId="0" xr:uid="{00000000-0006-0000-0900-0000FB00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21" authorId="0" shapeId="0" xr:uid="{00000000-0006-0000-0900-0000FC00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21" authorId="0" shapeId="0" xr:uid="{00000000-0006-0000-0900-0000FD000000}">
      <text>
        <r>
          <rPr>
            <sz val="8"/>
            <color indexed="81"/>
            <rFont val="Tahoma"/>
            <family val="2"/>
          </rPr>
          <t>Please Note: 
If Closed option is chosen then the blades 
can be damaged if they are left open 
when Sliding the Panel.</t>
        </r>
      </text>
    </comment>
    <comment ref="Y21" authorId="0" shapeId="0" xr:uid="{00000000-0006-0000-0900-0000FE000000}">
      <text>
        <r>
          <rPr>
            <sz val="8"/>
            <color indexed="81"/>
            <rFont val="Tahoma"/>
            <family val="2"/>
          </rPr>
          <t>If any T Posts are required then the measurements 
must be supplied under the next columns.
Measurements should be made from the left.</t>
        </r>
      </text>
    </comment>
    <comment ref="AC21" authorId="0" shapeId="0" xr:uid="{00000000-0006-0000-0900-0000FF000000}">
      <text>
        <r>
          <rPr>
            <sz val="8"/>
            <color indexed="81"/>
            <rFont val="Tahoma"/>
            <family val="2"/>
          </rPr>
          <t>If this field is left empty 
then 
No Fluffy Strip 
will be supplied.</t>
        </r>
      </text>
    </comment>
    <comment ref="C22" authorId="0" shapeId="0" xr:uid="{00000000-0006-0000-0900-00000001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22" authorId="0" shapeId="0" xr:uid="{00000000-0006-0000-0900-000001010000}">
      <text>
        <r>
          <rPr>
            <sz val="8"/>
            <color indexed="81"/>
            <rFont val="Tahoma"/>
            <family val="2"/>
          </rPr>
          <t>Minimum Height is 350mm.
Maximum Fauxwood Height is 2600mm.
Maximum Timber Height is 3000mm.</t>
        </r>
      </text>
    </comment>
    <comment ref="E22" authorId="0" shapeId="0" xr:uid="{00000000-0006-0000-0900-00000201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22" authorId="0" shapeId="0" xr:uid="{00000000-0006-0000-0900-00000301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22" authorId="0" shapeId="0" xr:uid="{00000000-0006-0000-0900-00000401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22" authorId="0" shapeId="0" xr:uid="{00000000-0006-0000-0900-000005010000}">
      <text>
        <r>
          <rPr>
            <sz val="8"/>
            <color indexed="81"/>
            <rFont val="Tahoma"/>
            <family val="2"/>
          </rPr>
          <t>Colour can only be selected once the 
Material &amp; Product type has been selected.</t>
        </r>
      </text>
    </comment>
    <comment ref="J22" authorId="0" shapeId="0" xr:uid="{00000000-0006-0000-0900-00000601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22" authorId="0" shapeId="0" xr:uid="{00000000-0006-0000-0900-00000701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22" authorId="0" shapeId="0" xr:uid="{00000000-0006-0000-0900-00000801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22" authorId="0" shapeId="0" xr:uid="{00000000-0006-0000-0900-000009010000}">
      <text>
        <r>
          <rPr>
            <sz val="8"/>
            <color indexed="81"/>
            <rFont val="Tahoma"/>
            <family val="2"/>
          </rPr>
          <t>The Window Type 
options are;
Standard
Bay Window
Corner Window
Door Cut Out
French Door
Shaped Arch
Shaped Hexagon
Shaped Octagon
Shaped Round
Shaped Sunburst
Shaped Triangle</t>
        </r>
      </text>
    </comment>
    <comment ref="N22" authorId="0" shapeId="0" xr:uid="{00000000-0006-0000-0900-00000A01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22" authorId="0" shapeId="0" xr:uid="{00000000-0006-0000-0900-00000B01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22" authorId="0" shapeId="0" xr:uid="{00000000-0006-0000-0900-00000C010000}">
      <text>
        <r>
          <rPr>
            <sz val="8"/>
            <color indexed="81"/>
            <rFont val="Tahoma"/>
            <family val="2"/>
          </rPr>
          <t>Frame Type is dependent on
 Mounting Method.</t>
        </r>
      </text>
    </comment>
    <comment ref="V22" authorId="0" shapeId="0" xr:uid="{00000000-0006-0000-0900-00000D01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22" authorId="0" shapeId="0" xr:uid="{00000000-0006-0000-0900-00000E01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22" authorId="0" shapeId="0" xr:uid="{00000000-0006-0000-0900-00000F010000}">
      <text>
        <r>
          <rPr>
            <sz val="8"/>
            <color indexed="81"/>
            <rFont val="Tahoma"/>
            <family val="2"/>
          </rPr>
          <t>Please Note: 
If Closed option is chosen then the blades 
can be damaged if they are left open 
when Sliding the Panel.</t>
        </r>
      </text>
    </comment>
    <comment ref="Y22" authorId="0" shapeId="0" xr:uid="{00000000-0006-0000-0900-000010010000}">
      <text>
        <r>
          <rPr>
            <sz val="8"/>
            <color indexed="81"/>
            <rFont val="Tahoma"/>
            <family val="2"/>
          </rPr>
          <t>If any T Posts are required then the measurements 
must be supplied under the next columns.
Measurements should be made from the left.</t>
        </r>
      </text>
    </comment>
    <comment ref="AC22" authorId="0" shapeId="0" xr:uid="{00000000-0006-0000-0900-000011010000}">
      <text>
        <r>
          <rPr>
            <sz val="8"/>
            <color indexed="81"/>
            <rFont val="Tahoma"/>
            <family val="2"/>
          </rPr>
          <t>If this field is left empty 
then 
No Fluffy Strip 
will be supplied.</t>
        </r>
      </text>
    </comment>
    <comment ref="C23" authorId="0" shapeId="0" xr:uid="{00000000-0006-0000-0900-000012010000}">
      <text>
        <r>
          <rPr>
            <sz val="8"/>
            <color indexed="81"/>
            <rFont val="Tahoma"/>
            <family val="2"/>
          </rPr>
          <t xml:space="preserve">Minimum Width is 250mm.
Maximum Fauxwood Eco &amp; Eco Elite 
</t>
        </r>
        <r>
          <rPr>
            <i/>
            <sz val="8"/>
            <color indexed="81"/>
            <rFont val="Tahoma"/>
            <family val="2"/>
          </rPr>
          <t>Standard</t>
        </r>
        <r>
          <rPr>
            <sz val="8"/>
            <color indexed="81"/>
            <rFont val="Tahoma"/>
            <family val="2"/>
          </rPr>
          <t xml:space="preserve"> Size Width is 650mm.
Maximum Fauxwood Eco Elite Width with 63mm Blades is 800mm.
Maximum Fauxwood Eco Elite Width with 89mm Blades is 950mm.
Maximum Fauxwood Eco Width with 63mm Blades is 800mm.
Maximum Fauxwood Eco Width with 89mm Blades is 900mm.
Fauxwood Eco Elite &amp; Fauxwood Eco Panels 
with a Width larger than 650mm will require 
Aluminium Inserts.
</t>
        </r>
        <r>
          <rPr>
            <i/>
            <sz val="8"/>
            <color indexed="81"/>
            <rFont val="Tahoma"/>
            <family val="2"/>
          </rPr>
          <t>Conditions apply.</t>
        </r>
        <r>
          <rPr>
            <sz val="8"/>
            <color indexed="81"/>
            <rFont val="Tahoma"/>
            <family val="2"/>
          </rPr>
          <t xml:space="preserve">
Maximum Fauxwood Eco Air Width is 950mm.
Maximum Fauxwood Night Width is 650mm.
Maximum Timber Width is 950mm.
</t>
        </r>
        <r>
          <rPr>
            <i/>
            <sz val="8"/>
            <color indexed="81"/>
            <rFont val="Tahoma"/>
            <family val="2"/>
          </rPr>
          <t xml:space="preserve">
Please note: Larger Panels may sometimes require lifting in to the frame.</t>
        </r>
      </text>
    </comment>
    <comment ref="D23" authorId="0" shapeId="0" xr:uid="{00000000-0006-0000-0900-000013010000}">
      <text>
        <r>
          <rPr>
            <sz val="8"/>
            <color indexed="81"/>
            <rFont val="Tahoma"/>
            <family val="2"/>
          </rPr>
          <t>Minimum Height is 350mm.
Maximum Fauxwood Height is 2600mm.
Maximum Timber Height is 3000mm.</t>
        </r>
      </text>
    </comment>
    <comment ref="E23" authorId="0" shapeId="0" xr:uid="{00000000-0006-0000-0900-00001401000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text>
    </comment>
    <comment ref="F23" authorId="0" shapeId="0" xr:uid="{00000000-0006-0000-0900-000015010000}">
      <text>
        <r>
          <rPr>
            <sz val="8"/>
            <color indexed="81"/>
            <rFont val="Tahoma"/>
            <family val="2"/>
          </rPr>
          <t xml:space="preserve">Quantity is the number of Panels 
within the opening. 
</t>
        </r>
        <r>
          <rPr>
            <i/>
            <sz val="8"/>
            <color indexed="81"/>
            <rFont val="Tahoma"/>
            <family val="2"/>
          </rPr>
          <t>If ordering Make Size (MS), 
this will be the number of 
Panels at this size.</t>
        </r>
      </text>
    </comment>
    <comment ref="G23" authorId="0" shapeId="0" xr:uid="{00000000-0006-0000-0900-000016010000}">
      <text>
        <r>
          <rPr>
            <sz val="8"/>
            <color indexed="81"/>
            <rFont val="Tahoma"/>
            <family val="2"/>
          </rPr>
          <t>Selecting the Material &amp; Product 
first will then enable the available Colour options.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H23" authorId="0" shapeId="0" xr:uid="{00000000-0006-0000-0900-000017010000}">
      <text>
        <r>
          <rPr>
            <sz val="8"/>
            <color indexed="81"/>
            <rFont val="Tahoma"/>
            <family val="2"/>
          </rPr>
          <t>Colour can only be selected once the 
Material &amp; Product type has been selected.</t>
        </r>
      </text>
    </comment>
    <comment ref="J23" authorId="0" shapeId="0" xr:uid="{00000000-0006-0000-0900-000018010000}">
      <text>
        <r>
          <rPr>
            <sz val="8"/>
            <color indexed="81"/>
            <rFont val="Tahoma"/>
            <family val="2"/>
          </rPr>
          <t>63mm Blade sizes are available in;
Fauxwood Eco 
Fauxwood Eco Elite
Timber Eco
89mm Blade sizes are available in;
Fauxwood Eco Air
Fauxwood Eco 
Fauxwood Eco Elite
Fauxwood Night
Timber Eco
114mm Blade sizes are only 
available in Timber Eco;
Antique White,  Eggshell &amp; White 
or 
Faxuxwood Eco &amp; Eco Elite; 
Antique White.</t>
        </r>
      </text>
    </comment>
    <comment ref="K23" authorId="0" shapeId="0" xr:uid="{00000000-0006-0000-0900-000019010000}">
      <text>
        <r>
          <rPr>
            <sz val="8"/>
            <color indexed="81"/>
            <rFont val="Tahoma"/>
            <family val="2"/>
          </rPr>
          <t>This calculated option is dependent on the 
Material and Frame type.
All Fauxwood Eco &amp; Eco Elite Panels with Widths over 650mm 
will be manufactured with Aluminium Inserts.
If a T Post is used the Panels could still be oversized/large depending 
on the configuration.
A Surcharge applies for Fauxwood Eco &amp; Eco Elite Aluminium Inserts.</t>
        </r>
      </text>
    </comment>
    <comment ref="L23" authorId="0" shapeId="0" xr:uid="{00000000-0006-0000-0900-00001A010000}">
      <text>
        <r>
          <rPr>
            <sz val="8"/>
            <color indexed="81"/>
            <rFont val="Tahoma"/>
            <family val="2"/>
          </rPr>
          <t>A Mid Rail is required on Fauxwood Panels over 1500mm.
A Mid Rail is required on Timber Panels over 1800mm.
Cell will highlight yellow when Mid Rail is required.
Only one Critical Mid Rail is allowed.
When a 2nd Mid Rail is required, please separate 
these measurements with a /. 
e.g. xxxx / xxxx
Fauxwood Eco &amp; Timber Eco will be made with the standard profile 
Bottom Rail,  Mid Rail &amp; Top Rail.
Fauxwood Eco Air &amp; Fauxwood Eco Elite will be made with the 
reinforced curved profile Bottom Rail, Mid Rail &amp; Top Rail.
Fauxwood Night will be made with the Fauxwood Night  
Bottom Rail,  Mid Rail &amp; Top Rail.</t>
        </r>
      </text>
    </comment>
    <comment ref="M23" authorId="0" shapeId="0" xr:uid="{00000000-0006-0000-0900-00001B010000}">
      <text>
        <r>
          <rPr>
            <sz val="8"/>
            <color indexed="81"/>
            <rFont val="Tahoma"/>
            <family val="2"/>
          </rPr>
          <t>The Window Type 
options are;
Standard
Bay Window
Corner Window
Door Cut Out
French Door
Shaped Arch
Shaped Hexagon
Shaped Octagon
Shaped Round
Shaped Sunburst
Shaped Triangle</t>
        </r>
      </text>
    </comment>
    <comment ref="N23" authorId="0" shapeId="0" xr:uid="{00000000-0006-0000-0900-00001C010000}">
      <text>
        <r>
          <rPr>
            <sz val="8"/>
            <color indexed="81"/>
            <rFont val="Tahoma"/>
            <family val="2"/>
          </rPr>
          <t>Mounting Method is dependent 
on  MS, In Or Out.
For IN, the options are;
Double Hinged
Fixed
Hinged
Pivot Hinged
Sliding
Track Bi Fold
For OUT, the options are;
Double Hinged
Hinged
Pivot Hinged
Sliding
Track Bi Fold
For MS, the options are;
N/A</t>
        </r>
      </text>
    </comment>
    <comment ref="O23" authorId="0" shapeId="0" xr:uid="{00000000-0006-0000-0900-00001D010000}">
      <text>
        <r>
          <rPr>
            <sz val="8"/>
            <color indexed="81"/>
            <rFont val="Tahoma"/>
            <family val="2"/>
          </rPr>
          <t>Please refer to the Shutter Manual when selecting Layout Code.
Shaped, Bay or Corner window Orders should be accompanied by a drawing.
The list provides the most common options, 
which are dependent on Mounting Method.
More complex Layout Codes can still be entered manually.</t>
        </r>
      </text>
    </comment>
    <comment ref="P23" authorId="0" shapeId="0" xr:uid="{00000000-0006-0000-0900-00001E010000}">
      <text>
        <r>
          <rPr>
            <sz val="8"/>
            <color indexed="81"/>
            <rFont val="Tahoma"/>
            <family val="2"/>
          </rPr>
          <t>Frame Type is dependent on
 Mounting Method.</t>
        </r>
      </text>
    </comment>
    <comment ref="V23" authorId="0" shapeId="0" xr:uid="{00000000-0006-0000-0900-00001F010000}">
      <text>
        <r>
          <rPr>
            <sz val="8"/>
            <color indexed="81"/>
            <rFont val="Tahoma"/>
            <family val="2"/>
          </rPr>
          <t>This option is dependent on the 
Material, Colour and Blade type 
and will only be available once these 
options are selected.
For Fauxwood Eco &amp; Eco Elite
63mm or 114mm Blades the options are;
Hidden
Centre
Off-Set
For Fauxwood Eco &amp; Eco Elite
89mm Blades the options are;
Hidden
Centre
Off-Set
Rack &amp; Pinion
For Fauxwood Eco Air
89mm Blades the options are;
Hidden
For Fauxwood Night
89mm Blades the options are;
Hidden
For Timber Eco
63mm, 89mm or 114mm Blades the options are;
Hidden</t>
        </r>
      </text>
    </comment>
    <comment ref="W23" authorId="0" shapeId="0" xr:uid="{00000000-0006-0000-0900-000020010000}">
      <text>
        <r>
          <rPr>
            <sz val="8"/>
            <color indexed="81"/>
            <rFont val="Tahoma"/>
            <family val="2"/>
          </rPr>
          <t xml:space="preserve">If no colour is selected, 
then the default colour Hinges and hardware 
will be supplied. 
For standard Shutters in Fauxwood Eco, 
Fauxwood Night &amp; Timber Eco, Standard 77mm Hinges will be used.
For standard Shutters in Fauxwood Eco Air 
&amp; Fauxwood Eco Elite 
Standard 90mm Hinges will be used.
Please refer to the Shutter Manual. </t>
        </r>
      </text>
    </comment>
    <comment ref="X23" authorId="0" shapeId="0" xr:uid="{00000000-0006-0000-0900-000021010000}">
      <text>
        <r>
          <rPr>
            <sz val="8"/>
            <color indexed="81"/>
            <rFont val="Tahoma"/>
            <family val="2"/>
          </rPr>
          <t>Please Note: 
If Closed option is chosen then the blades 
can be damaged if they are left open 
when Sliding the Panel.</t>
        </r>
      </text>
    </comment>
    <comment ref="Y23" authorId="0" shapeId="0" xr:uid="{00000000-0006-0000-0900-000022010000}">
      <text>
        <r>
          <rPr>
            <sz val="8"/>
            <color indexed="81"/>
            <rFont val="Tahoma"/>
            <family val="2"/>
          </rPr>
          <t>If any T Posts are required then the measurements 
must be supplied under the next columns.
Measurements should be made from the left.</t>
        </r>
      </text>
    </comment>
    <comment ref="AC23" authorId="0" shapeId="0" xr:uid="{00000000-0006-0000-0900-000023010000}">
      <text>
        <r>
          <rPr>
            <sz val="8"/>
            <color indexed="81"/>
            <rFont val="Tahoma"/>
            <family val="2"/>
          </rPr>
          <t>If this field is left empty 
then 
No Fluffy Strip 
will be supplied.</t>
        </r>
      </text>
    </comment>
  </commentList>
</comments>
</file>

<file path=xl/sharedStrings.xml><?xml version="1.0" encoding="utf-8"?>
<sst xmlns="http://schemas.openxmlformats.org/spreadsheetml/2006/main" count="6474" uniqueCount="2528">
  <si>
    <t>STORE NAME:</t>
  </si>
  <si>
    <t>ACCOUNT NAME:</t>
  </si>
  <si>
    <t>Order Width</t>
  </si>
  <si>
    <t>Order Height</t>
  </si>
  <si>
    <t>Cut Out Height Left</t>
  </si>
  <si>
    <t>Cut Out Width Left</t>
  </si>
  <si>
    <t>Cut Out Height Right</t>
  </si>
  <si>
    <t>Cut Out Width Right</t>
  </si>
  <si>
    <t>Common Fascia Width</t>
  </si>
  <si>
    <t>Fittings</t>
  </si>
  <si>
    <t>Cord Lock</t>
  </si>
  <si>
    <t>Hold Downs</t>
  </si>
  <si>
    <t>Tilt</t>
  </si>
  <si>
    <t>Allowance</t>
  </si>
  <si>
    <t>Window Type</t>
  </si>
  <si>
    <t>Cut Out</t>
  </si>
  <si>
    <t>Fascia</t>
  </si>
  <si>
    <t>50mm Timber/Jarrah Blinds</t>
  </si>
  <si>
    <t>Timberwood Standard</t>
  </si>
  <si>
    <t>Eggshell (W-405)</t>
  </si>
  <si>
    <t>Recess Fit</t>
  </si>
  <si>
    <t>Left</t>
  </si>
  <si>
    <t>Yes</t>
  </si>
  <si>
    <t>NAM</t>
  </si>
  <si>
    <t>Straight</t>
  </si>
  <si>
    <t>None</t>
  </si>
  <si>
    <t>Standard</t>
  </si>
  <si>
    <t>Face Fit</t>
  </si>
  <si>
    <t>Right</t>
  </si>
  <si>
    <t>ACT</t>
  </si>
  <si>
    <t>White Gloss (A120)</t>
  </si>
  <si>
    <t>50mm PS Foam Blinds</t>
  </si>
  <si>
    <t>STYLE36</t>
  </si>
  <si>
    <t>STYLE36_LK</t>
  </si>
  <si>
    <t>COLOR36</t>
  </si>
  <si>
    <t>ORDERVAR36</t>
  </si>
  <si>
    <t>OPTIONGROUP36</t>
  </si>
  <si>
    <t>OPTIONGROUP36_LK</t>
  </si>
  <si>
    <t>Faux Wood Standard</t>
  </si>
  <si>
    <t>CAT_STYLE_36_8000</t>
  </si>
  <si>
    <t>Alabaster (A441)</t>
  </si>
  <si>
    <t>CAT_GROUP_35_2237</t>
  </si>
  <si>
    <t>STYLE37</t>
  </si>
  <si>
    <t>STYLE37_LK</t>
  </si>
  <si>
    <t>COLOR37</t>
  </si>
  <si>
    <t>ORDERVAR37</t>
  </si>
  <si>
    <t>OPTIONGROUP37</t>
  </si>
  <si>
    <t>OPTIONGROUP37_LK</t>
  </si>
  <si>
    <t>CAT_STYLE_37_8100</t>
  </si>
  <si>
    <t>Malt (A446)</t>
  </si>
  <si>
    <t>CAT_GROUP_35_2238</t>
  </si>
  <si>
    <t xml:space="preserve">63mm PS Blinds </t>
  </si>
  <si>
    <t>STYLE38</t>
  </si>
  <si>
    <t>STYLE38_LK</t>
  </si>
  <si>
    <t>COLOR38</t>
  </si>
  <si>
    <t>ORDERVAR38</t>
  </si>
  <si>
    <t>OPTIONGROUP38</t>
  </si>
  <si>
    <t>OPTIONGROUP38_LK</t>
  </si>
  <si>
    <t>CAT_STYLE_38_8000</t>
  </si>
  <si>
    <t>Pitch Black(A955)</t>
  </si>
  <si>
    <t>CAT_GROUP_35_2236</t>
  </si>
  <si>
    <t>Taos (A611)</t>
  </si>
  <si>
    <t>CAT_GROUP_35_2295</t>
  </si>
  <si>
    <t>Aluminum (A964)</t>
  </si>
  <si>
    <t>CAT_GROUP_35_2297</t>
  </si>
  <si>
    <t>Arctic Snow Embossed (PS103)</t>
  </si>
  <si>
    <t>CAT_GROUP_35_2317</t>
  </si>
  <si>
    <t>Ivory Embossed (PS207)</t>
  </si>
  <si>
    <t>CAT_GROUP_36_2277</t>
  </si>
  <si>
    <t>No</t>
  </si>
  <si>
    <t>Siena(PT06-350PS)</t>
  </si>
  <si>
    <t>CAT_GROUP_36_2278</t>
  </si>
  <si>
    <t>Desert(PT-06-02PS)</t>
  </si>
  <si>
    <t>CAT_GROUP_36_2280</t>
  </si>
  <si>
    <t>White (W-105)</t>
  </si>
  <si>
    <t>CAT_GROUP_36_2281</t>
  </si>
  <si>
    <t>Chestnut(PT-06-838)</t>
  </si>
  <si>
    <t>CAT_GROUP_36_2294</t>
  </si>
  <si>
    <t>Corner Butt</t>
  </si>
  <si>
    <t>CAT_GROUP_36_2299</t>
  </si>
  <si>
    <t>Corner Thru</t>
  </si>
  <si>
    <t>Cedar Image Medium (PT-03-2)</t>
  </si>
  <si>
    <t>CAT_GROUP_36_2315</t>
  </si>
  <si>
    <t>Bay A</t>
  </si>
  <si>
    <t>Cedar Image Dark (PT-03-3)</t>
  </si>
  <si>
    <t>CAT_GROUP_36_2313</t>
  </si>
  <si>
    <t>Bay B</t>
  </si>
  <si>
    <t>Gold (PT-06-1)</t>
  </si>
  <si>
    <t>CAT_GROUP_37_2290</t>
  </si>
  <si>
    <t>Bay C</t>
  </si>
  <si>
    <t>Cherry (PT-06-2)</t>
  </si>
  <si>
    <t>CAT_GROUP_37_2291</t>
  </si>
  <si>
    <t>Chocolate (PT-06-346)</t>
  </si>
  <si>
    <t>CAT_GROUP_37_2292</t>
  </si>
  <si>
    <t>Beech (PT-06-336)</t>
  </si>
  <si>
    <t>CAT_GROUP_37_2293</t>
  </si>
  <si>
    <t>Both</t>
  </si>
  <si>
    <t>Sugar Maple (PT-06-337)</t>
  </si>
  <si>
    <t>CAT_GROUP_37_2296</t>
  </si>
  <si>
    <t>Arctic Snow Plain (PS103-P)</t>
  </si>
  <si>
    <t>CAT_GROUP_37_2298</t>
  </si>
  <si>
    <t>Ivory Plain (PS207-P)</t>
  </si>
  <si>
    <t>CAT_GROUP_37_2316</t>
  </si>
  <si>
    <t>Sienna Plain Print(PT06-350PS)</t>
  </si>
  <si>
    <t>CAT_GROUP_37_2312</t>
  </si>
  <si>
    <t>CAT_GROUP_38_2300</t>
  </si>
  <si>
    <t>CAT_GROUP_38_2301</t>
  </si>
  <si>
    <t>CAT_GROUP_38_2302</t>
  </si>
  <si>
    <t>CAT_GROUP_38_2303</t>
  </si>
  <si>
    <t>CAT_GROUP_38_2304</t>
  </si>
  <si>
    <t>CAT_GROUP_38_2305</t>
  </si>
  <si>
    <t>CAT_GROUP_38_2314</t>
  </si>
  <si>
    <t>CAT_GROUP_38_2311</t>
  </si>
  <si>
    <t>Common</t>
  </si>
  <si>
    <t>Yellow White (A126)</t>
  </si>
  <si>
    <t>Navajo (A442)</t>
  </si>
  <si>
    <t>Spun Silk (A307)</t>
  </si>
  <si>
    <t>Vanilla (A445)</t>
  </si>
  <si>
    <t>Biscuit (A309)</t>
  </si>
  <si>
    <t>Fawn (A312)</t>
  </si>
  <si>
    <t>Garnet Red (A202)</t>
  </si>
  <si>
    <t>Forest Green (A553)</t>
  </si>
  <si>
    <t>True Blue (A614)</t>
  </si>
  <si>
    <t>Order Width</t>
    <phoneticPr fontId="21" type="noConversion"/>
  </si>
  <si>
    <t>Fittings</t>
    <phoneticPr fontId="21" type="noConversion"/>
  </si>
  <si>
    <t>CAT_GROUP_35_2234</t>
    <phoneticPr fontId="21" type="noConversion"/>
  </si>
  <si>
    <t>Recess Fit</t>
    <phoneticPr fontId="21" type="noConversion"/>
  </si>
  <si>
    <t>25mm Alum Blinds</t>
    <phoneticPr fontId="21" type="noConversion"/>
  </si>
  <si>
    <t>STYLE35</t>
    <phoneticPr fontId="21" type="noConversion"/>
  </si>
  <si>
    <t>STYLE35_LK</t>
    <phoneticPr fontId="21" type="noConversion"/>
  </si>
  <si>
    <t>COLOR35</t>
    <phoneticPr fontId="21" type="noConversion"/>
  </si>
  <si>
    <t>ORDERVAR35</t>
    <phoneticPr fontId="21" type="noConversion"/>
  </si>
  <si>
    <t>OPTIONGROUP35</t>
    <phoneticPr fontId="21" type="noConversion"/>
  </si>
  <si>
    <t>OPTIONGROUP35_LK</t>
    <phoneticPr fontId="21" type="noConversion"/>
  </si>
  <si>
    <t>Standard</t>
    <phoneticPr fontId="21" type="noConversion"/>
  </si>
  <si>
    <t>CAT_STYLE_35_1000</t>
    <phoneticPr fontId="21" type="noConversion"/>
  </si>
  <si>
    <t>True White (A127)</t>
  </si>
  <si>
    <t>Arctic Ice (A122)</t>
  </si>
  <si>
    <t>Peach White (A124)</t>
  </si>
  <si>
    <t>Camel(A310)</t>
    <phoneticPr fontId="21" type="noConversion"/>
  </si>
  <si>
    <t>Milk Chocolate(A818)</t>
    <phoneticPr fontId="26" type="noConversion"/>
  </si>
  <si>
    <t>CUSTOMER NAME:</t>
  </si>
  <si>
    <t>Page:</t>
  </si>
  <si>
    <t>DELIVERY ADDRESS:</t>
  </si>
  <si>
    <t>DATE:</t>
  </si>
  <si>
    <t>M2</t>
  </si>
  <si>
    <t>Item #</t>
  </si>
  <si>
    <t>Room
Location</t>
  </si>
  <si>
    <t>Gross Open Width</t>
  </si>
  <si>
    <t>Gross Open Height</t>
  </si>
  <si>
    <t>Blade Size</t>
  </si>
  <si>
    <t>Material</t>
  </si>
  <si>
    <t>Colour</t>
  </si>
  <si>
    <t>Mid Rail
Height</t>
  </si>
  <si>
    <t>Layout Code</t>
  </si>
  <si>
    <t>Mounting Method</t>
  </si>
  <si>
    <t>Hinge Colour</t>
  </si>
  <si>
    <t>Frame Type</t>
  </si>
  <si>
    <t>1st     
 T Post</t>
  </si>
  <si>
    <t>2nd 
T Post</t>
  </si>
  <si>
    <t>3rd    
 T Post</t>
  </si>
  <si>
    <t>Tiltrod Type</t>
  </si>
  <si>
    <t>m2</t>
  </si>
  <si>
    <t>General Notes</t>
  </si>
  <si>
    <t>Qty</t>
  </si>
  <si>
    <t>Fitting</t>
  </si>
  <si>
    <t>Bottom Rail Colour</t>
  </si>
  <si>
    <t>Chain Length</t>
  </si>
  <si>
    <t>Chain Colour</t>
  </si>
  <si>
    <t>Bracket Type</t>
  </si>
  <si>
    <t>SUPPLIER:</t>
  </si>
  <si>
    <t>PROMOTION NO.:</t>
  </si>
  <si>
    <t>PRODUCT SUMMARY PAGE</t>
  </si>
  <si>
    <t>PRODUCT - INTERNAL</t>
  </si>
  <si>
    <t>TAB COLOUR</t>
  </si>
  <si>
    <t>Roller Blinds</t>
  </si>
  <si>
    <t>Red</t>
  </si>
  <si>
    <t>Shutters</t>
  </si>
  <si>
    <t>QTY ORDERED</t>
  </si>
  <si>
    <t>Green</t>
  </si>
  <si>
    <t>Orange</t>
  </si>
  <si>
    <t>Product</t>
  </si>
  <si>
    <t>Finish</t>
  </si>
  <si>
    <t>Hold Down</t>
  </si>
  <si>
    <t>25mm Aluminium Blinds</t>
  </si>
  <si>
    <t>Track Colour</t>
  </si>
  <si>
    <t>Pelmet Insert</t>
  </si>
  <si>
    <t>Vertical Blinds</t>
  </si>
  <si>
    <t>Yellow</t>
  </si>
  <si>
    <t>Universal Pelmet</t>
  </si>
  <si>
    <t>Pelmet Colour</t>
  </si>
  <si>
    <t>Bottom Weight</t>
  </si>
  <si>
    <t>PHONE:</t>
  </si>
  <si>
    <t>EMAIL TO:</t>
  </si>
  <si>
    <t>ENQUIRIES:</t>
  </si>
  <si>
    <t>Butt / Thru Blind</t>
  </si>
  <si>
    <t>Measurements (mm)</t>
  </si>
  <si>
    <t>A</t>
  </si>
  <si>
    <t>B</t>
  </si>
  <si>
    <t>Drop</t>
  </si>
  <si>
    <t>C</t>
  </si>
  <si>
    <t>D</t>
  </si>
  <si>
    <t>E</t>
  </si>
  <si>
    <t>Special Comments</t>
  </si>
  <si>
    <t>Fabric &amp; Colour</t>
  </si>
  <si>
    <t>Overroll Or Standard</t>
  </si>
  <si>
    <t>MS,  In Or Out</t>
  </si>
  <si>
    <t>YES / NO</t>
  </si>
  <si>
    <t>PACIFIC SALES COORDINATOR</t>
  </si>
  <si>
    <t xml:space="preserve">Side Winder Bracket Colour </t>
  </si>
  <si>
    <t>Fax: +61 2 9680 7488</t>
  </si>
  <si>
    <t>VERTICAL COLOURS</t>
  </si>
  <si>
    <t>London</t>
  </si>
  <si>
    <t>Maui</t>
  </si>
  <si>
    <t>Paris</t>
  </si>
  <si>
    <t>Sunscreen</t>
  </si>
  <si>
    <t>ROLLER BLINDS</t>
  </si>
  <si>
    <t>Roller Blind Product</t>
  </si>
  <si>
    <t xml:space="preserve">89mm Black </t>
  </si>
  <si>
    <t>89mm Ivory</t>
  </si>
  <si>
    <t>89mm White</t>
  </si>
  <si>
    <t>Tube</t>
  </si>
  <si>
    <t>Helper Spring</t>
  </si>
  <si>
    <t>Tube38mm</t>
  </si>
  <si>
    <t>Tube45mm</t>
  </si>
  <si>
    <t>&gt;2130 Width</t>
  </si>
  <si>
    <t>&gt;2100 Drop</t>
  </si>
  <si>
    <t>Fauxwood</t>
  </si>
  <si>
    <t>Cedar Image Medium PT-03-2</t>
  </si>
  <si>
    <t>CUSTOMER / ACCOUNT NAME:</t>
  </si>
  <si>
    <t>WindowType</t>
  </si>
  <si>
    <t>Side By Side</t>
  </si>
  <si>
    <t>Corner A Butt</t>
  </si>
  <si>
    <t>Corner A Thru</t>
  </si>
  <si>
    <t>Corner B Butt</t>
  </si>
  <si>
    <t>Corner B Thru</t>
  </si>
  <si>
    <t>AlumColours</t>
  </si>
  <si>
    <t>London Biscuit</t>
  </si>
  <si>
    <t>London Linen</t>
  </si>
  <si>
    <t>London Natural</t>
  </si>
  <si>
    <t>Maui Espresso</t>
  </si>
  <si>
    <t>Maui Latte</t>
  </si>
  <si>
    <t>Maui Off White</t>
  </si>
  <si>
    <t>Maui Pebble</t>
  </si>
  <si>
    <t>Maui Sand</t>
  </si>
  <si>
    <t>Paris Coconut</t>
  </si>
  <si>
    <t>Paris Corn Silk</t>
  </si>
  <si>
    <t>Paris Ice</t>
  </si>
  <si>
    <t>Paris Orient</t>
  </si>
  <si>
    <t>Paris Stone</t>
  </si>
  <si>
    <t>Paris Syllabub</t>
  </si>
  <si>
    <t>Paris Whisper</t>
  </si>
  <si>
    <t>Alabaster A441</t>
  </si>
  <si>
    <t>Arctic Ice A122</t>
  </si>
  <si>
    <t>Biscuit A309</t>
  </si>
  <si>
    <t>Camel A310</t>
  </si>
  <si>
    <t>Fawn A312</t>
  </si>
  <si>
    <t>Forest Green A553</t>
  </si>
  <si>
    <t>Garnet Red A202</t>
  </si>
  <si>
    <t>Malt A446</t>
  </si>
  <si>
    <t>Milk Chocolate A818</t>
  </si>
  <si>
    <t>Navajo A442</t>
  </si>
  <si>
    <t>Peach White A124</t>
  </si>
  <si>
    <t>Pitch Black A955</t>
  </si>
  <si>
    <t>Spun Silk A307</t>
  </si>
  <si>
    <t>True Blue A614</t>
  </si>
  <si>
    <t>True White A127</t>
  </si>
  <si>
    <t>Vanilla A445</t>
  </si>
  <si>
    <t>White Gloss A120</t>
  </si>
  <si>
    <t>Yellow White A126</t>
  </si>
  <si>
    <t>Illusion Mocha V314</t>
  </si>
  <si>
    <t>Illusion Harvest V450</t>
  </si>
  <si>
    <t>Illusion White V187</t>
  </si>
  <si>
    <t>Illusion Alabaster V484</t>
  </si>
  <si>
    <t>Illusion Vanilla V303</t>
  </si>
  <si>
    <t>Illusion Ivory V403</t>
  </si>
  <si>
    <t>PSColours50mm</t>
  </si>
  <si>
    <t>50mm Ivory Plain PS207-P</t>
  </si>
  <si>
    <t>50mm Off White V286</t>
  </si>
  <si>
    <t>50mm Sienna PT06-350PS</t>
  </si>
  <si>
    <t>50mm White V186</t>
  </si>
  <si>
    <t>PSColours63mm</t>
  </si>
  <si>
    <t>63mm Arctic Snow Plain PS103-P</t>
  </si>
  <si>
    <t>63mm Antique White V140</t>
  </si>
  <si>
    <t>63mm Ivory Plain PS207-P</t>
  </si>
  <si>
    <t>63mm Off White V286</t>
  </si>
  <si>
    <t>63mm Sienna Plain PT06-350PS</t>
  </si>
  <si>
    <t>63mm White V186</t>
  </si>
  <si>
    <t>TimberColours50mm</t>
  </si>
  <si>
    <t>Beech PT-06-336</t>
  </si>
  <si>
    <t>Cedar Image Dark PT-03-3</t>
  </si>
  <si>
    <t>Cherry PT-06-2</t>
  </si>
  <si>
    <t>Chestnut PT-06-838</t>
  </si>
  <si>
    <t>Chocolate PT-06-346</t>
  </si>
  <si>
    <t>Eggshell W-405</t>
  </si>
  <si>
    <t>Gold PT-06-1</t>
  </si>
  <si>
    <t>Sugar Maple PT-06-337</t>
  </si>
  <si>
    <t>White W-105</t>
  </si>
  <si>
    <t>ShutterMaterial</t>
  </si>
  <si>
    <t>Fauxwood Blockout</t>
  </si>
  <si>
    <t>Hinged</t>
  </si>
  <si>
    <t>Double Hinged</t>
  </si>
  <si>
    <t>Track Bi Fold</t>
  </si>
  <si>
    <t>Sliding</t>
  </si>
  <si>
    <t>Fixed</t>
  </si>
  <si>
    <t>MountingMethod</t>
  </si>
  <si>
    <t>No Frame</t>
  </si>
  <si>
    <t>Hanging Strip</t>
  </si>
  <si>
    <t>Small F/F L Frame</t>
  </si>
  <si>
    <t>Bullnose Z Frame</t>
  </si>
  <si>
    <t>Large Z Frame</t>
  </si>
  <si>
    <t>U Channel</t>
  </si>
  <si>
    <t>100mm</t>
  </si>
  <si>
    <t>220mm</t>
  </si>
  <si>
    <t>180mm</t>
  </si>
  <si>
    <t>FrameType</t>
  </si>
  <si>
    <t>Small L Frame</t>
  </si>
  <si>
    <t>Medium L Frame</t>
  </si>
  <si>
    <t>Medium F/F L Frame</t>
  </si>
  <si>
    <t>Large F/F L Frame</t>
  </si>
  <si>
    <t>Standard Z Frame</t>
  </si>
  <si>
    <t>Hinge</t>
  </si>
  <si>
    <t>White</t>
  </si>
  <si>
    <t>Eggshell</t>
  </si>
  <si>
    <t>Brass</t>
  </si>
  <si>
    <t>Nickel</t>
  </si>
  <si>
    <t>Stainless Steel</t>
  </si>
  <si>
    <t>Off White</t>
  </si>
  <si>
    <t>Antique White</t>
  </si>
  <si>
    <t>Jasper</t>
  </si>
  <si>
    <t>Mocha</t>
  </si>
  <si>
    <t>Antique Brass</t>
  </si>
  <si>
    <t>N/A</t>
  </si>
  <si>
    <t>Material Aluminium Insert</t>
  </si>
  <si>
    <t>FauxwoodY</t>
  </si>
  <si>
    <t>FauxwoodBlockoutN</t>
  </si>
  <si>
    <t>Link - Operate Separately, 38mm Tube</t>
  </si>
  <si>
    <t>Link - Operate Together, 38mm Tube</t>
  </si>
  <si>
    <t>Double (Standard), 38mm Tube</t>
  </si>
  <si>
    <t>Double (Slimline), 38mm Tube</t>
  </si>
  <si>
    <t>Double Link - Operate Separately (Standard), 38mm Tube</t>
  </si>
  <si>
    <t>Double Link - Operate Separately (Slimline), 38mm Tube</t>
  </si>
  <si>
    <t>Double Link - Operate Together (Standard), 38mm Tube</t>
  </si>
  <si>
    <t>Double Link - Operate Together (Slimline), 38mm Tube</t>
  </si>
  <si>
    <t>Link - Operate Separately, 45mm Tube</t>
  </si>
  <si>
    <t>Link - Operate Together, 45mm Tube</t>
  </si>
  <si>
    <t>Double (Slimline), 45mm Tube</t>
  </si>
  <si>
    <t>Double Link - Operate Separately (Standard), 45mm Tube</t>
  </si>
  <si>
    <t>Double Link - Operate Together (Standard), 45mm Tube</t>
  </si>
  <si>
    <t>Tiltrod</t>
  </si>
  <si>
    <t>Centre</t>
  </si>
  <si>
    <t>Off-Set</t>
  </si>
  <si>
    <t>Hidden</t>
  </si>
  <si>
    <t>Rack &amp; Pinion</t>
  </si>
  <si>
    <t>Large L Frame</t>
  </si>
  <si>
    <t>Left Frame</t>
  </si>
  <si>
    <t>Right Frame</t>
  </si>
  <si>
    <t>Top Frame</t>
  </si>
  <si>
    <t>63mm PS Privacy Blind</t>
  </si>
  <si>
    <t>63mm PS Blind</t>
  </si>
  <si>
    <t>50mm PS Blind</t>
  </si>
  <si>
    <t>50mm PS Privacy Blind</t>
  </si>
  <si>
    <t>PS50mm</t>
  </si>
  <si>
    <t>PS63mm</t>
  </si>
  <si>
    <t>Extenstion Bracket</t>
  </si>
  <si>
    <t>Extension Bracket Quantity</t>
  </si>
  <si>
    <t>London Dune</t>
  </si>
  <si>
    <t>London Dusk</t>
  </si>
  <si>
    <t>London Onyx</t>
  </si>
  <si>
    <t>London White Talc</t>
  </si>
  <si>
    <t>FACE</t>
  </si>
  <si>
    <t>FRONT MEASURE</t>
  </si>
  <si>
    <t>RECESS</t>
  </si>
  <si>
    <t>BACK MEASURE</t>
  </si>
  <si>
    <t>Bottom Frame/
Track</t>
  </si>
  <si>
    <t>Sliding Open Or Closed</t>
  </si>
  <si>
    <t>Midrail</t>
  </si>
  <si>
    <t>Black</t>
  </si>
  <si>
    <t>Aqua</t>
  </si>
  <si>
    <t>Tan</t>
  </si>
  <si>
    <t>CMB Corner Worksheet</t>
  </si>
  <si>
    <t>CMB Bay Worksheet</t>
  </si>
  <si>
    <t>CMB CORNER WORKSHEET</t>
  </si>
  <si>
    <t>CMB BAY WORKSHEET</t>
  </si>
  <si>
    <t>PVC 89mm</t>
  </si>
  <si>
    <t>Fabric 127mm</t>
  </si>
  <si>
    <t>Chainless</t>
  </si>
  <si>
    <t>Track On Board</t>
  </si>
  <si>
    <t>Track In Board</t>
  </si>
  <si>
    <t>BottomFrameTrack</t>
  </si>
  <si>
    <t>Light Stop</t>
  </si>
  <si>
    <t>Floor Guide</t>
  </si>
  <si>
    <t>Track Only</t>
  </si>
  <si>
    <t>Z Sill Frame</t>
  </si>
  <si>
    <t>1 Of 1</t>
  </si>
  <si>
    <t>Panel Width</t>
  </si>
  <si>
    <t>Panel Width Check</t>
  </si>
  <si>
    <t>Panel Height Check</t>
  </si>
  <si>
    <t>Tiltrod Required</t>
  </si>
  <si>
    <t>FauxwoodT</t>
  </si>
  <si>
    <t>FauxwoodBlockoutT</t>
  </si>
  <si>
    <t>Aluminium Inserts Highlight</t>
  </si>
  <si>
    <t>HoldDown</t>
  </si>
  <si>
    <t xml:space="preserve">No </t>
  </si>
  <si>
    <t>Oval Bottom Rail</t>
  </si>
  <si>
    <t>Sewn In Pocket</t>
  </si>
  <si>
    <t>White Birch</t>
  </si>
  <si>
    <t>Metallic Black</t>
  </si>
  <si>
    <t>Clear Anodised</t>
  </si>
  <si>
    <t>Ivory</t>
  </si>
  <si>
    <t>VerticalPelmentYes</t>
  </si>
  <si>
    <t>VerticalPelmentNo</t>
  </si>
  <si>
    <t>Sunscreen Linen N201</t>
  </si>
  <si>
    <t>Sunscreen Ivory N091</t>
  </si>
  <si>
    <t>Stack 
(Wands Only - No Cord)</t>
  </si>
  <si>
    <t>Phone: +61 2 8850 9301</t>
  </si>
  <si>
    <t>Pacific Wholesale Distributors. Tel. +61 2 9680 7999 (Reception)</t>
  </si>
  <si>
    <t>FauxwoodRPNo</t>
  </si>
  <si>
    <t>FauxwoodRP</t>
  </si>
  <si>
    <t>Layout Code Check</t>
  </si>
  <si>
    <t>LR</t>
  </si>
  <si>
    <t>L</t>
  </si>
  <si>
    <t>R</t>
  </si>
  <si>
    <t>Aluminium Insert Blade Size Check</t>
  </si>
  <si>
    <t>FauxwoodAI</t>
  </si>
  <si>
    <t>FauxwoodAINo</t>
  </si>
  <si>
    <t>Check T Post &amp; Layout Code</t>
  </si>
  <si>
    <t>Check 1st T Post</t>
  </si>
  <si>
    <t>Check 2nd T Post</t>
  </si>
  <si>
    <t>Check 3rd T Post</t>
  </si>
  <si>
    <t xml:space="preserve">Paris White </t>
  </si>
  <si>
    <t>Paris Soft White</t>
  </si>
  <si>
    <t>Paris Essence</t>
  </si>
  <si>
    <t>Paris Champagne</t>
  </si>
  <si>
    <t>Paris Natural</t>
  </si>
  <si>
    <t>Paris Fawn</t>
  </si>
  <si>
    <t>Paris Camel</t>
  </si>
  <si>
    <t>Paris Ashmere</t>
  </si>
  <si>
    <t>Paris Ash Grey</t>
  </si>
  <si>
    <t>Paris Turquoise</t>
  </si>
  <si>
    <t>Paris Pacific Blue</t>
  </si>
  <si>
    <t>Paris Scarlet</t>
  </si>
  <si>
    <t>Paris Hazelnut</t>
  </si>
  <si>
    <t>Paris Cocoa</t>
  </si>
  <si>
    <t>Paris Burnt Sienna</t>
  </si>
  <si>
    <t>Paris Slate</t>
  </si>
  <si>
    <t>Paris Black</t>
  </si>
  <si>
    <t>Fabric 89mm</t>
  </si>
  <si>
    <t>Slat/Fabric Width</t>
  </si>
  <si>
    <t>Fabric/Slat Width</t>
  </si>
  <si>
    <t>Hinge Quantity</t>
  </si>
  <si>
    <t>Check Combo Panels</t>
  </si>
  <si>
    <t>SALES ORDER NO.:</t>
  </si>
  <si>
    <t>PWD ORDER NO.:</t>
  </si>
  <si>
    <t>PVC_89mm</t>
  </si>
  <si>
    <t>Fabric_89mm</t>
  </si>
  <si>
    <t>Fabric_127mm</t>
  </si>
  <si>
    <t>Check T &amp; Layout Code</t>
  </si>
  <si>
    <t>Check C Or B Layout Code</t>
  </si>
  <si>
    <t>VerticalTrack</t>
  </si>
  <si>
    <t>PVC89mm</t>
  </si>
  <si>
    <t>Fabric89mm</t>
  </si>
  <si>
    <t>Fabric127mm</t>
  </si>
  <si>
    <t>BBFF</t>
  </si>
  <si>
    <t>BBFFFFBB</t>
  </si>
  <si>
    <t>BBMMFF</t>
  </si>
  <si>
    <t>BF</t>
  </si>
  <si>
    <t>BFB</t>
  </si>
  <si>
    <t>BFFB</t>
  </si>
  <si>
    <t>BMF</t>
  </si>
  <si>
    <t>BMFFMB</t>
  </si>
  <si>
    <t>F</t>
  </si>
  <si>
    <t>FB</t>
  </si>
  <si>
    <t>FBBF</t>
  </si>
  <si>
    <t>FBF</t>
  </si>
  <si>
    <t>FBFB</t>
  </si>
  <si>
    <t>FF</t>
  </si>
  <si>
    <t>FFF</t>
  </si>
  <si>
    <t>FMB</t>
  </si>
  <si>
    <t>LBLRBR</t>
  </si>
  <si>
    <t>LBLTRBR</t>
  </si>
  <si>
    <t>LCLRCR</t>
  </si>
  <si>
    <t>LCLTRCR</t>
  </si>
  <si>
    <t>LCR</t>
  </si>
  <si>
    <t>LL</t>
  </si>
  <si>
    <t>LLLL</t>
  </si>
  <si>
    <t>LLLLLL</t>
  </si>
  <si>
    <t>LLLLLLLL</t>
  </si>
  <si>
    <t>LLLLRR</t>
  </si>
  <si>
    <t>LLLLRRR</t>
  </si>
  <si>
    <t>LLLLRRRR</t>
  </si>
  <si>
    <t>LLR</t>
  </si>
  <si>
    <t>LLRR</t>
  </si>
  <si>
    <t>LLRRRR</t>
  </si>
  <si>
    <t>LLTRR</t>
  </si>
  <si>
    <t>LRR</t>
  </si>
  <si>
    <t>LRTLR</t>
  </si>
  <si>
    <t>LRTLRTLR</t>
  </si>
  <si>
    <t>LRTR</t>
  </si>
  <si>
    <t>LTLR</t>
  </si>
  <si>
    <t>LTLRTR</t>
  </si>
  <si>
    <t>LTLRTRTLTLRTR</t>
  </si>
  <si>
    <t>LTLTL</t>
  </si>
  <si>
    <t>LTLTR</t>
  </si>
  <si>
    <t>LTR</t>
  </si>
  <si>
    <t>LTRTR</t>
  </si>
  <si>
    <t>RR</t>
  </si>
  <si>
    <t>RRRR</t>
  </si>
  <si>
    <t>RRRRRR</t>
  </si>
  <si>
    <t>RTRTR</t>
  </si>
  <si>
    <t>LRTL</t>
  </si>
  <si>
    <t>RRTL</t>
  </si>
  <si>
    <t>LLTR</t>
  </si>
  <si>
    <t>LTRR</t>
  </si>
  <si>
    <t>RTLL</t>
  </si>
  <si>
    <t>LTLRTLRTR</t>
  </si>
  <si>
    <t>LLLLLLRR</t>
  </si>
  <si>
    <t>LLRRRRRR</t>
  </si>
  <si>
    <t>BB</t>
  </si>
  <si>
    <t>FFBB</t>
  </si>
  <si>
    <t>FMMB</t>
  </si>
  <si>
    <t>BMMF</t>
  </si>
  <si>
    <t>FFBBBBFF</t>
  </si>
  <si>
    <t>FFMMBB</t>
  </si>
  <si>
    <t>FMBBMF</t>
  </si>
  <si>
    <t>LBR</t>
  </si>
  <si>
    <t>LBL</t>
  </si>
  <si>
    <t>RBR</t>
  </si>
  <si>
    <t>LBLR</t>
  </si>
  <si>
    <t>RBLR</t>
  </si>
  <si>
    <t>LRBL</t>
  </si>
  <si>
    <t>LRBR</t>
  </si>
  <si>
    <t xml:space="preserve">LRBLR </t>
  </si>
  <si>
    <t>LTRBLTR</t>
  </si>
  <si>
    <t>LRBLRBLR</t>
  </si>
  <si>
    <t>LBLRTLRBR</t>
  </si>
  <si>
    <t>LBLTLRTRBR</t>
  </si>
  <si>
    <t>LRCLRCLR</t>
  </si>
  <si>
    <t>LCLRTLRCR</t>
  </si>
  <si>
    <t>LTRCLTRCLTR</t>
  </si>
  <si>
    <t>LCLRTLRTLRCR</t>
  </si>
  <si>
    <t>LRCLTLRTRCLR</t>
  </si>
  <si>
    <t>LayoutCodes</t>
  </si>
  <si>
    <t>Illusion Alabaster (V484)</t>
  </si>
  <si>
    <t>Illusion Harvest (V450)</t>
  </si>
  <si>
    <t>Illusion Ivory (V403)</t>
  </si>
  <si>
    <t>Illusion Mocha (V314)</t>
  </si>
  <si>
    <t>Illusion Vanilla (V303)</t>
  </si>
  <si>
    <t>Illusion White (V187)</t>
  </si>
  <si>
    <t>White (F186)</t>
  </si>
  <si>
    <t>Off White (F286)</t>
  </si>
  <si>
    <t>Antique White (F140)</t>
  </si>
  <si>
    <t>White (W105)</t>
  </si>
  <si>
    <t>Eggshell (W405)</t>
  </si>
  <si>
    <t>Antique White (W140)</t>
  </si>
  <si>
    <t>Jasper (W498)</t>
  </si>
  <si>
    <t>Mocha (W811)</t>
  </si>
  <si>
    <t>Dark Chestnut (PT-06-7)</t>
  </si>
  <si>
    <t>Coffee (W890)</t>
  </si>
  <si>
    <t>Walnut (W891)</t>
  </si>
  <si>
    <t>Maple (W893)</t>
  </si>
  <si>
    <t>Dark Cherry (W894)</t>
  </si>
  <si>
    <t>Mahogany (W306)</t>
  </si>
  <si>
    <t>Black Walnut (W920)</t>
  </si>
  <si>
    <t>Hinged_BFT</t>
  </si>
  <si>
    <t>Double_Hinged_BFT</t>
  </si>
  <si>
    <t>Track_Bi_Fold_BFT</t>
  </si>
  <si>
    <t>Sliding_BFT</t>
  </si>
  <si>
    <t>Fixed_BFT</t>
  </si>
  <si>
    <t>Pivot_Hinged_BFT</t>
  </si>
  <si>
    <t>Hinged_TF</t>
  </si>
  <si>
    <t>Double_Hinged_TF</t>
  </si>
  <si>
    <t>Track_Bi_Fold_TF</t>
  </si>
  <si>
    <t>Sliding_TF</t>
  </si>
  <si>
    <t>Fixed_TF</t>
  </si>
  <si>
    <t>Pivot_Hinged_TF</t>
  </si>
  <si>
    <t>Bottom Fame/Track</t>
  </si>
  <si>
    <t>140mm</t>
  </si>
  <si>
    <t>Hinge Quantity Fauxwood</t>
  </si>
  <si>
    <t>Hinge Quantity Basswood</t>
  </si>
  <si>
    <t>Double Hinged Check</t>
  </si>
  <si>
    <t>Width Check</t>
  </si>
  <si>
    <t>Fauxwood Panel With Check</t>
  </si>
  <si>
    <t>114mm</t>
  </si>
  <si>
    <t>Panels</t>
  </si>
  <si>
    <t>Fluffy Strip</t>
  </si>
  <si>
    <t>Bay Window</t>
  </si>
  <si>
    <t>Corner Window</t>
  </si>
  <si>
    <t>Door Cut Out</t>
  </si>
  <si>
    <t>Shaped Arch</t>
  </si>
  <si>
    <t>Shaped Hexagon</t>
  </si>
  <si>
    <t>Shaped Octagon</t>
  </si>
  <si>
    <t>Shaped Round</t>
  </si>
  <si>
    <t>Shaped Sunburst</t>
  </si>
  <si>
    <t>Shaped Triangle</t>
  </si>
  <si>
    <t>French Door</t>
  </si>
  <si>
    <t>Special_Window</t>
  </si>
  <si>
    <t>Split Tiltrod In Half</t>
  </si>
  <si>
    <t>Combo Panels</t>
  </si>
  <si>
    <t>All Even Panels</t>
  </si>
  <si>
    <t>No Centre Stiles</t>
  </si>
  <si>
    <t>Smallest Possible Top &amp; Bottom Rails</t>
  </si>
  <si>
    <t>Split Tiltrod In Half Above Midrail</t>
  </si>
  <si>
    <t>Split Tiltrod In Half Below Midrail</t>
  </si>
  <si>
    <t>Maximum Blades Possible</t>
  </si>
  <si>
    <t>Centre Stiles</t>
  </si>
  <si>
    <t>Special_Comments_1</t>
  </si>
  <si>
    <t>Special_Comments_2</t>
  </si>
  <si>
    <t>63mm</t>
  </si>
  <si>
    <t>89mm</t>
  </si>
  <si>
    <t>Fauxwood_Blade</t>
  </si>
  <si>
    <t>Fauxwood_Blockout_Blade</t>
  </si>
  <si>
    <t>Special Window</t>
  </si>
  <si>
    <t>Colour Check</t>
  </si>
  <si>
    <t>114mm Colour Check</t>
  </si>
  <si>
    <t>OK</t>
  </si>
  <si>
    <t>Blade Size Check</t>
  </si>
  <si>
    <t>Frame Entry Check</t>
  </si>
  <si>
    <t>Additional Fascia 100mm x 9.5mm</t>
  </si>
  <si>
    <t>Additional Fascia 140mm x 9.5mm</t>
  </si>
  <si>
    <t>Additional Fascia 60mm x 9.5mm</t>
  </si>
  <si>
    <t>Additional Headboard 100mm x 19mm</t>
  </si>
  <si>
    <t>Additional Headboard 180mm x 19mm</t>
  </si>
  <si>
    <t>Additional Headboard 220mm x 19mm</t>
  </si>
  <si>
    <t>Hanging Strip 35mm x 28.6mm</t>
  </si>
  <si>
    <t>Large Face Fit L Frame</t>
  </si>
  <si>
    <t>Light Stop 19mm x 19mm</t>
  </si>
  <si>
    <t>Light Stop 19mm x 30mm</t>
  </si>
  <si>
    <t>Light Stop 19mm x 9.5mm</t>
  </si>
  <si>
    <t>Light Stop 20mm x 5mm</t>
  </si>
  <si>
    <t>Light Stop 31.8mm x 9.5mm</t>
  </si>
  <si>
    <t>Light Stop 40mm x 30mm</t>
  </si>
  <si>
    <t>Light Stop 50mm x 30mm</t>
  </si>
  <si>
    <t>Medium Face Fit L Frame</t>
  </si>
  <si>
    <t>Mounting Block 18mm x 18mm</t>
  </si>
  <si>
    <t>Mounting Block 30mm x 30mm</t>
  </si>
  <si>
    <t>Small Face Fit L Frame</t>
  </si>
  <si>
    <t>T Post</t>
  </si>
  <si>
    <t>Tracking For Bi Fold &amp; Sliding Shutters</t>
  </si>
  <si>
    <t>U Channel 40mm x 15mm</t>
  </si>
  <si>
    <t>U Channel 40mm x 25mm</t>
  </si>
  <si>
    <t>Extras</t>
  </si>
  <si>
    <t>Standard Special Comments # 1</t>
  </si>
  <si>
    <t>Standard Special Comments # 2</t>
  </si>
  <si>
    <t>Hinged_Frame_Type</t>
  </si>
  <si>
    <t>Sliding_Frame_Type</t>
  </si>
  <si>
    <t>Fixed_Frame_Type</t>
  </si>
  <si>
    <t>Double_Hinged_Frame_Type</t>
  </si>
  <si>
    <t>Track_Bi_Fold_Frame_Type</t>
  </si>
  <si>
    <t>Z Frame Check</t>
  </si>
  <si>
    <t>Highlight Out &amp; Z Frame</t>
  </si>
  <si>
    <t>Layout Code Count</t>
  </si>
  <si>
    <t>Layout Code Check Count</t>
  </si>
  <si>
    <t>Error Layout Code</t>
  </si>
  <si>
    <t>Order Requirements Alert</t>
  </si>
  <si>
    <t>Bay Window Diagram Must Be Supplied</t>
  </si>
  <si>
    <t>Corner Window Diagram Must Be Supplied</t>
  </si>
  <si>
    <t>Cut-Out Template Must Be Supplied</t>
  </si>
  <si>
    <t>Check Special Window For Alert</t>
  </si>
  <si>
    <t>Bay Check</t>
  </si>
  <si>
    <t>Corner Check</t>
  </si>
  <si>
    <t>Shape Check</t>
  </si>
  <si>
    <t>Template Check</t>
  </si>
  <si>
    <t>Drawing/Diagram Must Be Supplied</t>
  </si>
  <si>
    <t>Bi Fold Bracket</t>
  </si>
  <si>
    <t>Bumper Stops</t>
  </si>
  <si>
    <t>D Mold</t>
  </si>
  <si>
    <t>Divider Rail/Mid Rail (Centre Rail), 79mm x 20.5mm</t>
  </si>
  <si>
    <t>Fluffy Strips</t>
  </si>
  <si>
    <t>Herman Joints</t>
  </si>
  <si>
    <t>Hidden Tiltrod, 114mm</t>
  </si>
  <si>
    <t>Hidden Tiltrod, 63mm</t>
  </si>
  <si>
    <t>Hidden Tiltrod, 89mm</t>
  </si>
  <si>
    <t>Hinge Packers</t>
  </si>
  <si>
    <t>Hinge Pin</t>
  </si>
  <si>
    <t>Magnet Sets Round</t>
  </si>
  <si>
    <t>Magnets &amp; Catches</t>
  </si>
  <si>
    <t>Patented Pinion Rack 89mm, 30cm</t>
  </si>
  <si>
    <t>Pinion, Pin &amp; Washer</t>
  </si>
  <si>
    <t>Pivot Hinges, Left &amp; Right Sides</t>
  </si>
  <si>
    <t>Pivots</t>
  </si>
  <si>
    <t>Plugs</t>
  </si>
  <si>
    <t>Ramp Cap</t>
  </si>
  <si>
    <t>Screw</t>
  </si>
  <si>
    <t>Shutter Tiltrod</t>
  </si>
  <si>
    <t>Slider Bracket, White</t>
  </si>
  <si>
    <t>Slider Wheels</t>
  </si>
  <si>
    <t>Spanner</t>
  </si>
  <si>
    <t>Spring Pins</t>
  </si>
  <si>
    <t>Stainless Steel Hinges</t>
  </si>
  <si>
    <t>Standard Hinges</t>
  </si>
  <si>
    <t>Stepped Hinges</t>
  </si>
  <si>
    <t>Stile</t>
  </si>
  <si>
    <t>Stile With Rebate &amp; Insert, 50.8mm x 27mm</t>
  </si>
  <si>
    <t>Stile With Rebate &amp; Rabbet</t>
  </si>
  <si>
    <t>Top Bracket</t>
  </si>
  <si>
    <t>Additional Fascia 100mm x 9.5mm Material</t>
  </si>
  <si>
    <t>Additional Fascia 140mm x 9.5mm Material</t>
  </si>
  <si>
    <t>Additional Fascia 60mm x 9.5mm Material</t>
  </si>
  <si>
    <t>Additional Headboard 100mm x 19mm Material</t>
  </si>
  <si>
    <t>Additional Headboard 180mm x 19mm Material</t>
  </si>
  <si>
    <t>Additional Headboard 220mm x 19mm Material</t>
  </si>
  <si>
    <t>Bullnose Z Frame Material</t>
  </si>
  <si>
    <t>Hanging Strip 35mm x 28.6mm Material</t>
  </si>
  <si>
    <t>Large Face Fit L Frame Material</t>
  </si>
  <si>
    <t>Large Z Frame Material</t>
  </si>
  <si>
    <t>Light Stop 19mm x 19mm Material</t>
  </si>
  <si>
    <t>Light Stop 19mm x 30mm Material</t>
  </si>
  <si>
    <t>Light Stop 19mm x 9.5mm Material</t>
  </si>
  <si>
    <t>Light Stop 20mm x 5mm Material</t>
  </si>
  <si>
    <t>Light Stop 31.8mm x 9.5mm Material</t>
  </si>
  <si>
    <t>Light Stop 40mm x 30mm Material</t>
  </si>
  <si>
    <t>Light Stop 50mm x 30mm Material</t>
  </si>
  <si>
    <t>Medium Face Fit L Frame Material</t>
  </si>
  <si>
    <t>Medium L Frame Material</t>
  </si>
  <si>
    <t>Mounting Block 18mm x 18mm Material</t>
  </si>
  <si>
    <t>Mounting Block 30mm x 30mm Material</t>
  </si>
  <si>
    <t>Small Face Fit L Frame Material</t>
  </si>
  <si>
    <t>Small L Frame Material</t>
  </si>
  <si>
    <t>T Post Material</t>
  </si>
  <si>
    <t>U Channel 40mm x 15mm Material</t>
  </si>
  <si>
    <t>U Channel 40mm x 25mm Material</t>
  </si>
  <si>
    <t>Z Sill Frame Material</t>
  </si>
  <si>
    <t>This is designed to begin at the left and work towards the right as options will change based on selections</t>
  </si>
  <si>
    <t>Left Panel Open First</t>
  </si>
  <si>
    <t>Mandatory Fields</t>
  </si>
  <si>
    <t>Quantity</t>
  </si>
  <si>
    <t>Hardware</t>
  </si>
  <si>
    <t>Extra's</t>
  </si>
  <si>
    <t>Check Frame Deduction</t>
  </si>
  <si>
    <t>Check In/Out MS</t>
  </si>
  <si>
    <t>Calculation</t>
  </si>
  <si>
    <t>Multiplier</t>
  </si>
  <si>
    <t>Length</t>
  </si>
  <si>
    <t>AntiqueWhiteF140</t>
  </si>
  <si>
    <t>OffWhiteF286</t>
  </si>
  <si>
    <t>WhiteF186</t>
  </si>
  <si>
    <t>BlackWalnutW920</t>
  </si>
  <si>
    <t>WhiteW105</t>
  </si>
  <si>
    <t>EggshellW405</t>
  </si>
  <si>
    <t>AntiqueWhiteW140</t>
  </si>
  <si>
    <t>JasperW498</t>
  </si>
  <si>
    <t>MochaW811</t>
  </si>
  <si>
    <t>DarkChestnutPT067</t>
  </si>
  <si>
    <t>CoffeeW890</t>
  </si>
  <si>
    <t>WalnutW891</t>
  </si>
  <si>
    <t>MapleW893</t>
  </si>
  <si>
    <t>DarkCherryW894</t>
  </si>
  <si>
    <t>MahoganyW306</t>
  </si>
  <si>
    <t>FBOWhiteF186</t>
  </si>
  <si>
    <t>FBOOffWhiteF286</t>
  </si>
  <si>
    <t>FBOAntiqueWhiteF140</t>
  </si>
  <si>
    <t>Basswood Blade Options &amp; Colour</t>
  </si>
  <si>
    <t>Blade Option Setting</t>
  </si>
  <si>
    <t>Bi Fold Bottom Fixed Pivot Bracket &amp; Pin</t>
  </si>
  <si>
    <t>Bottom Pivot Pin For Bi Fold/Sliding Panel</t>
  </si>
  <si>
    <t>Bumper Stop</t>
  </si>
  <si>
    <t>Carrier Bracket For Bi Fold/Sliding Panel</t>
  </si>
  <si>
    <t>Hinge Packer</t>
  </si>
  <si>
    <t>Magnet &amp; Catch</t>
  </si>
  <si>
    <t>Slider L Bracket</t>
  </si>
  <si>
    <t>Spring Pin</t>
  </si>
  <si>
    <t>Standard Hinge</t>
  </si>
  <si>
    <t>Top Fixed Pivot Bracket</t>
  </si>
  <si>
    <t>Top Track Stopper Block</t>
  </si>
  <si>
    <t>Top Wheel</t>
  </si>
  <si>
    <t>Caramel</t>
  </si>
  <si>
    <t>Bright Silver</t>
  </si>
  <si>
    <t>Stepped Rabbet Hinge</t>
  </si>
  <si>
    <t>Flat Hinge</t>
  </si>
  <si>
    <t>L Drop Hinge</t>
  </si>
  <si>
    <t>Hidden Tiltrod 114mm</t>
  </si>
  <si>
    <t>Hidden Tiltrod 63mm</t>
  </si>
  <si>
    <t>Hidden Tiltrod 89mm</t>
  </si>
  <si>
    <t>Magnet Catch</t>
  </si>
  <si>
    <t>Pivot Hinges Left Right Sides</t>
  </si>
  <si>
    <t>Carrier Bracket For Bi Fold Sliding Panel</t>
  </si>
  <si>
    <t>Bottom Pivot Pin For Bi Fold Sliding Panel</t>
  </si>
  <si>
    <t>Bi Fold Bottom Fixed Pivot Bracket Pin</t>
  </si>
  <si>
    <t>Additional Item Notes</t>
  </si>
  <si>
    <t>FauxwoodExtrasOptions</t>
  </si>
  <si>
    <t>Sliding Frame 108mm x 35mm Bi Pass Frame Material</t>
  </si>
  <si>
    <t>Tracking For Bi Fold Sliding Shutters Material</t>
  </si>
  <si>
    <t>Critical Mid Rail Highlight</t>
  </si>
  <si>
    <t>Rack &amp; Pinion Surcharge Check</t>
  </si>
  <si>
    <t>Shaped Check</t>
  </si>
  <si>
    <t>Fauxwood Oversize Check</t>
  </si>
  <si>
    <t>Surcharge Check</t>
  </si>
  <si>
    <t xml:space="preserve">Surcharge </t>
  </si>
  <si>
    <t>Large Size Panel</t>
  </si>
  <si>
    <t>Standard Special Comments # 3</t>
  </si>
  <si>
    <t>Special_Comments_3</t>
  </si>
  <si>
    <t>Critical Midrail</t>
  </si>
  <si>
    <t>User Specific Line Item Notes/Special Comments</t>
  </si>
  <si>
    <t>Track Check</t>
  </si>
  <si>
    <t>Open</t>
  </si>
  <si>
    <t>Closed</t>
  </si>
  <si>
    <t>SOCHinged</t>
  </si>
  <si>
    <t>SOCDoubleHinged</t>
  </si>
  <si>
    <t>SOCTrackBiFold</t>
  </si>
  <si>
    <t>SOCSliding</t>
  </si>
  <si>
    <t>SOCFixed</t>
  </si>
  <si>
    <t>CheckLayoutCode</t>
  </si>
  <si>
    <t>Check Layout Code T Post Quantity</t>
  </si>
  <si>
    <t xml:space="preserve">Check T Post &amp; Layout Code </t>
  </si>
  <si>
    <t>Left &amp; Right Frame</t>
  </si>
  <si>
    <t>LRFNoFrame</t>
  </si>
  <si>
    <t>LRFHangingStrip</t>
  </si>
  <si>
    <t>LRFSmallLFrame</t>
  </si>
  <si>
    <t>LRFSmallFFLFrame</t>
  </si>
  <si>
    <t>LRFMediumLFrame</t>
  </si>
  <si>
    <t>LRFMediumFFLFrame</t>
  </si>
  <si>
    <t>LRFLargeLFrame</t>
  </si>
  <si>
    <t>LRFLargeFFLFrame</t>
  </si>
  <si>
    <t>LRFStandardZFrame</t>
  </si>
  <si>
    <t>LRFLargeZFrame</t>
  </si>
  <si>
    <t>LRFBullnoseZFrame</t>
  </si>
  <si>
    <t>LRFUChannel</t>
  </si>
  <si>
    <t>LRF100mm</t>
  </si>
  <si>
    <t>LRF140mm</t>
  </si>
  <si>
    <t>LRF180mm</t>
  </si>
  <si>
    <t>LRF220mm</t>
  </si>
  <si>
    <t>Layout Code &amp; T Post Quantity Issue</t>
  </si>
  <si>
    <t>Panels Fixed With Magnets &amp; Catches</t>
  </si>
  <si>
    <t>Check T Post &amp; T Post Entries</t>
  </si>
  <si>
    <t>Error</t>
  </si>
  <si>
    <t>Check T Post &amp; Layout Code Highlight</t>
  </si>
  <si>
    <t>1st T Post Hightlight Entered</t>
  </si>
  <si>
    <t>1st T Post Hightlight Entered Issue</t>
  </si>
  <si>
    <t>2nd T Post Hightlight Entered Issue</t>
  </si>
  <si>
    <t>3rd T Post Hightlight Entered Issue</t>
  </si>
  <si>
    <t>FauxwoodExtraOptionsStd</t>
  </si>
  <si>
    <t>Bi Fold Frame, 60mm x 9.5mm</t>
  </si>
  <si>
    <t>Bi Fold Frame 60mm x 9.5mm Material</t>
  </si>
  <si>
    <t>Top Bottom Rail 137.5mm x 21mm Material</t>
  </si>
  <si>
    <t>Divider Rail Mid Rail Centre Rail 79.5mm x 21mm</t>
  </si>
  <si>
    <t>Taos A611</t>
  </si>
  <si>
    <t>Aluminium A964</t>
  </si>
  <si>
    <t>WindowCheck</t>
  </si>
  <si>
    <t>Corner</t>
  </si>
  <si>
    <t>Bay</t>
  </si>
  <si>
    <t>Bracket Option</t>
  </si>
  <si>
    <t>Double</t>
  </si>
  <si>
    <t>Link</t>
  </si>
  <si>
    <t>Double Link</t>
  </si>
  <si>
    <t>38mmTubeStandard</t>
  </si>
  <si>
    <t>Bracket_Type</t>
  </si>
  <si>
    <t>Default</t>
  </si>
  <si>
    <t>Slimline</t>
  </si>
  <si>
    <t>Operate Separately</t>
  </si>
  <si>
    <t>Operate Together</t>
  </si>
  <si>
    <t>Operate Separately (Slimline)</t>
  </si>
  <si>
    <t>Operate Separately (Standard)</t>
  </si>
  <si>
    <t>Operate Together (Slimline)</t>
  </si>
  <si>
    <t>Operate Together (Standard)</t>
  </si>
  <si>
    <t>38mm Tube</t>
  </si>
  <si>
    <t>45mm Tube</t>
  </si>
  <si>
    <t>Small_Tube</t>
  </si>
  <si>
    <t>Large_Tube</t>
  </si>
  <si>
    <t>TubeStandard</t>
  </si>
  <si>
    <t>Tube38mmLink</t>
  </si>
  <si>
    <t>Double45mmTube</t>
  </si>
  <si>
    <t>DoubleLink38mmTube</t>
  </si>
  <si>
    <t>DoubleLink45mmTube</t>
  </si>
  <si>
    <t>Match Bracket</t>
  </si>
  <si>
    <t>Match Option</t>
  </si>
  <si>
    <t>Index</t>
  </si>
  <si>
    <t>Double38mmTube</t>
  </si>
  <si>
    <t>Cover Strip To Fit Face Fit Frame 12.5mm x 5mm</t>
  </si>
  <si>
    <t>Cover Strip To Fit Face Fit Frame 17mm x 5mm</t>
  </si>
  <si>
    <t>OUT</t>
  </si>
  <si>
    <t>Basswood Luxury</t>
  </si>
  <si>
    <t>Fauxwood Eco</t>
  </si>
  <si>
    <t>Fauxwood Night</t>
  </si>
  <si>
    <t>Pure White (F190)</t>
  </si>
  <si>
    <t>Pure White (W190)</t>
  </si>
  <si>
    <t>Material &amp;
Product</t>
  </si>
  <si>
    <t>Fauxwood Eco Blade Options &amp; Colour</t>
  </si>
  <si>
    <t>Fauxwood Night Blade Options &amp; Colour</t>
  </si>
  <si>
    <t>Fauxwood Lite Blade Options &amp; Colour</t>
  </si>
  <si>
    <t>PureWhiteF190</t>
  </si>
  <si>
    <t>PureWhiteW190</t>
  </si>
  <si>
    <t>LiteWhiteF186</t>
  </si>
  <si>
    <t>LiteOffWhiteF286</t>
  </si>
  <si>
    <t>LiteAntiqueWhiteF140</t>
  </si>
  <si>
    <t>LitePureWhiteF190</t>
  </si>
  <si>
    <t>IN</t>
  </si>
  <si>
    <t>MS</t>
  </si>
  <si>
    <t>LBLBL</t>
  </si>
  <si>
    <t>LBRBR</t>
  </si>
  <si>
    <t>LCLCL</t>
  </si>
  <si>
    <t>LCLR</t>
  </si>
  <si>
    <t xml:space="preserve">LCLRTLRCR </t>
  </si>
  <si>
    <t>LCLTLTR</t>
  </si>
  <si>
    <t xml:space="preserve">LCLTR </t>
  </si>
  <si>
    <t>LCRCR</t>
  </si>
  <si>
    <t>LCRTR</t>
  </si>
  <si>
    <t>LRBLR</t>
  </si>
  <si>
    <t>LRBLRTLRBLR</t>
  </si>
  <si>
    <t>LRBLTLTRBLR</t>
  </si>
  <si>
    <t>LRCL</t>
  </si>
  <si>
    <t>LRCLR</t>
  </si>
  <si>
    <t>LRCLRTLRCLR</t>
  </si>
  <si>
    <t>LRCLTLTRCLR</t>
  </si>
  <si>
    <t>LRCR</t>
  </si>
  <si>
    <t>LTL</t>
  </si>
  <si>
    <t>LTLTLCR</t>
  </si>
  <si>
    <t xml:space="preserve">LTRCL </t>
  </si>
  <si>
    <t>LTRCLTR</t>
  </si>
  <si>
    <t>RBL</t>
  </si>
  <si>
    <t>RBLBR</t>
  </si>
  <si>
    <t>RBRBL</t>
  </si>
  <si>
    <t>RBRBR</t>
  </si>
  <si>
    <t>RCL</t>
  </si>
  <si>
    <t>RCLCR</t>
  </si>
  <si>
    <t>RCLR</t>
  </si>
  <si>
    <t>RCRCL</t>
  </si>
  <si>
    <t>RCRCR</t>
  </si>
  <si>
    <t>RTL</t>
  </si>
  <si>
    <t>RTLTL</t>
  </si>
  <si>
    <t>RTR</t>
  </si>
  <si>
    <t>RTRTL</t>
  </si>
  <si>
    <t>LLBRR</t>
  </si>
  <si>
    <t>LLBLL</t>
  </si>
  <si>
    <t>RRBRR</t>
  </si>
  <si>
    <t>RRBLL</t>
  </si>
  <si>
    <t>LLBLRBRR</t>
  </si>
  <si>
    <t>LRBLLRRBLR</t>
  </si>
  <si>
    <t>LLCRR</t>
  </si>
  <si>
    <t>LLCLL</t>
  </si>
  <si>
    <t>RRCRR</t>
  </si>
  <si>
    <t>RRCLL</t>
  </si>
  <si>
    <t>LLCLRCRR</t>
  </si>
  <si>
    <t>LRCLLRRCLR</t>
  </si>
  <si>
    <t>HingedLayoutCodes</t>
  </si>
  <si>
    <t>DoubleHingedLayoutCodes</t>
  </si>
  <si>
    <t>SlidingLayoutCodes</t>
  </si>
  <si>
    <t>Layout Code Options</t>
  </si>
  <si>
    <t>MountingMethodLayoutCodeOption</t>
  </si>
  <si>
    <t>TrackBiFoldLayoutCodes</t>
  </si>
  <si>
    <t>FixedLayoutCodes</t>
  </si>
  <si>
    <t>Fluffy_Strip_Fauxwood_Lite</t>
  </si>
  <si>
    <t>Fluffy_Strip_Fauxwood_Eco</t>
  </si>
  <si>
    <t>Fluffy_Strip_Fauxwood_Night</t>
  </si>
  <si>
    <t>MountingMethodIN</t>
  </si>
  <si>
    <t>MountingMethodOUT</t>
  </si>
  <si>
    <t>MountingMethodMS</t>
  </si>
  <si>
    <t>MSNALayoutCodes</t>
  </si>
  <si>
    <t>WindowTypeNA</t>
  </si>
  <si>
    <t>NAFrameType</t>
  </si>
  <si>
    <t>Left Right Frame</t>
  </si>
  <si>
    <t>LRFNA</t>
  </si>
  <si>
    <t>NA_TF</t>
  </si>
  <si>
    <t>NA_BFT</t>
  </si>
  <si>
    <t>SOCNA</t>
  </si>
  <si>
    <t>Panel Quantity</t>
  </si>
  <si>
    <t>T Post Count</t>
  </si>
  <si>
    <t>T Post Alert</t>
  </si>
  <si>
    <t>Fluffy 
Strip</t>
  </si>
  <si>
    <t>Right Frame Highlight</t>
  </si>
  <si>
    <t>Top Frame Check</t>
  </si>
  <si>
    <t>Bottom Frame Check</t>
  </si>
  <si>
    <t>T Post Quantity</t>
  </si>
  <si>
    <t>50mm Black Walnut PS230</t>
  </si>
  <si>
    <t>63mm Black Walnut PS230</t>
  </si>
  <si>
    <t>63mm Precious Silver PS966</t>
  </si>
  <si>
    <t>50mm Precious Silver PS966</t>
  </si>
  <si>
    <t>This is designed to begin at the left and work towards the right as the options will change based on the selections.</t>
  </si>
  <si>
    <t>Item 
#</t>
  </si>
  <si>
    <t>HingeNA</t>
  </si>
  <si>
    <t>Inside &amp; Face Fit</t>
  </si>
  <si>
    <t>Check</t>
  </si>
  <si>
    <t>Check Hinge Highlight</t>
  </si>
  <si>
    <t>Hinge Highlight</t>
  </si>
  <si>
    <t>Allowance 
ACT / NAM</t>
  </si>
  <si>
    <t>Recess / 
Face</t>
  </si>
  <si>
    <t>Left Hand Or Right Hand</t>
  </si>
  <si>
    <t>Room 
Location</t>
  </si>
  <si>
    <t>WORKSHEET # / PO # :</t>
  </si>
  <si>
    <t>Please check all the necessary information
is on the Order before submitting.</t>
  </si>
  <si>
    <r>
      <t>Angle (</t>
    </r>
    <r>
      <rPr>
        <b/>
        <sz val="11"/>
        <rFont val="Calibri"/>
        <family val="2"/>
      </rPr>
      <t>°</t>
    </r>
    <r>
      <rPr>
        <b/>
        <sz val="11"/>
        <rFont val="Calibri"/>
        <family val="2"/>
        <scheme val="minor"/>
      </rPr>
      <t>)</t>
    </r>
  </si>
  <si>
    <t>Room Location</t>
  </si>
  <si>
    <t>DeliveryAddress</t>
  </si>
  <si>
    <t>BlindType</t>
  </si>
  <si>
    <t>Roller</t>
  </si>
  <si>
    <t>50mm Timber Venetian</t>
  </si>
  <si>
    <t>Vertical</t>
  </si>
  <si>
    <t>LHRHCorner</t>
  </si>
  <si>
    <t>FaceRecess</t>
  </si>
  <si>
    <t>ACTNAM</t>
  </si>
  <si>
    <t>ButtThru</t>
  </si>
  <si>
    <t>LH Corner</t>
  </si>
  <si>
    <t>Face</t>
  </si>
  <si>
    <t>Butt</t>
  </si>
  <si>
    <t>RH Corner</t>
  </si>
  <si>
    <t>Recess</t>
  </si>
  <si>
    <t>Thru</t>
  </si>
  <si>
    <t>shutterorders@pacificwholesale.com.au</t>
  </si>
  <si>
    <t>Pivot Hinged</t>
  </si>
  <si>
    <t>Pivot_Hinged_Frame_Type</t>
  </si>
  <si>
    <t>PivotHingeColour</t>
  </si>
  <si>
    <t>SOCPivotHinged</t>
  </si>
  <si>
    <t>LD-R</t>
  </si>
  <si>
    <t>L-DR</t>
  </si>
  <si>
    <t>PivotHingedLayoutCodes</t>
  </si>
  <si>
    <t>LD-RTL</t>
  </si>
  <si>
    <t>L-DRTL</t>
  </si>
  <si>
    <t>LD-RTR</t>
  </si>
  <si>
    <t>L-DRTR</t>
  </si>
  <si>
    <t>LTLD-R</t>
  </si>
  <si>
    <t>LTL-DR</t>
  </si>
  <si>
    <t>RTLD-R</t>
  </si>
  <si>
    <t>RTL-DR</t>
  </si>
  <si>
    <t>LD-RTLD-R</t>
  </si>
  <si>
    <t>L-DRTL-DR</t>
  </si>
  <si>
    <t>LTLD-RTR</t>
  </si>
  <si>
    <t>LTL-DRTR</t>
  </si>
  <si>
    <t>RTLD-RTL</t>
  </si>
  <si>
    <t>RTL-DRTL</t>
  </si>
  <si>
    <t>LD-RTLD-RTL</t>
  </si>
  <si>
    <t>LD-RTLD-RTR</t>
  </si>
  <si>
    <t>L-DRTL-DRTR</t>
  </si>
  <si>
    <t>LTLD-RTLD-R</t>
  </si>
  <si>
    <t>LTL-DRTL-DR</t>
  </si>
  <si>
    <t>LD-RTLD-RTLD-R</t>
  </si>
  <si>
    <t>L-DRTL-DRTL-DR</t>
  </si>
  <si>
    <t>LTLD-RTLD-RTR</t>
  </si>
  <si>
    <t>LTL-DRTL-DRTR</t>
  </si>
  <si>
    <t>LTLD-RTRTLTLD-RTR</t>
  </si>
  <si>
    <t>LTL-DRTRTLTL-DRTR</t>
  </si>
  <si>
    <t>If Recess: 
Front/Back Measure</t>
  </si>
  <si>
    <t>Phone: +61 2 8850 9305</t>
  </si>
  <si>
    <t>WORKSHEET # / PO #:</t>
  </si>
  <si>
    <t>Non Standard Layout Code Lookup</t>
  </si>
  <si>
    <t>Check Highlight</t>
  </si>
  <si>
    <t>LLD-RR</t>
  </si>
  <si>
    <t>Version</t>
  </si>
  <si>
    <t>Panel Height Highlight</t>
  </si>
  <si>
    <t>TopFrameNoFrame</t>
  </si>
  <si>
    <t>TopFrameHangingStrip</t>
  </si>
  <si>
    <t>TopFrameSmallLFrame</t>
  </si>
  <si>
    <t>TopFrameSmallFFLFrame</t>
  </si>
  <si>
    <t>TopFrameMediumLFrame</t>
  </si>
  <si>
    <t>TopFrameMediumFFLFrame</t>
  </si>
  <si>
    <t>TopFrameLargeLFrame</t>
  </si>
  <si>
    <t>TopFrameLargeFFLFrame</t>
  </si>
  <si>
    <t>TopFrameStandardZFrame</t>
  </si>
  <si>
    <t>TopFrameLargeZFrame</t>
  </si>
  <si>
    <t>TopFrameBullnoseZFrame</t>
  </si>
  <si>
    <t>TopFrameUChannel</t>
  </si>
  <si>
    <t>TopFrame100mm</t>
  </si>
  <si>
    <t>TopFrame140mm</t>
  </si>
  <si>
    <t>TopFrame180mm</t>
  </si>
  <si>
    <t>TopFrame220mm</t>
  </si>
  <si>
    <t>TopFrameNA</t>
  </si>
  <si>
    <t>Bottom Frame</t>
  </si>
  <si>
    <t>BottomFrameNoFrame</t>
  </si>
  <si>
    <t>BottomFrameHangingStrip</t>
  </si>
  <si>
    <t>BottomFrameSmallLFrame</t>
  </si>
  <si>
    <t>BottomFrameSmallFFLFrame</t>
  </si>
  <si>
    <t>BottomFrameMediumLFrame</t>
  </si>
  <si>
    <t>BottomFrameMediumFFLFrame</t>
  </si>
  <si>
    <t>BottomFrameLargeLFrame</t>
  </si>
  <si>
    <t>BottomFrameLargeFFLFrame</t>
  </si>
  <si>
    <t>BottomFrameStandardZFrame</t>
  </si>
  <si>
    <t>BottomFrameLargeZFrame</t>
  </si>
  <si>
    <t>BottomFrameBullnoseZFrame</t>
  </si>
  <si>
    <t>BottomFrameUChannel</t>
  </si>
  <si>
    <t>BottomFrameSliding</t>
  </si>
  <si>
    <t>BottomFrameTrackBiFold</t>
  </si>
  <si>
    <t>BottomFrameNA</t>
  </si>
  <si>
    <t>PivotHingedTopBottomFrame</t>
  </si>
  <si>
    <t>Pelmet Insert Alert</t>
  </si>
  <si>
    <t>LD-RR</t>
  </si>
  <si>
    <t>L-DRR</t>
  </si>
  <si>
    <t>LLD-R</t>
  </si>
  <si>
    <t>LL-DR</t>
  </si>
  <si>
    <t>LL-DRR</t>
  </si>
  <si>
    <t>50mm &amp; 63mm Venetian Blinds</t>
  </si>
  <si>
    <t>Venetian Product</t>
  </si>
  <si>
    <t>VenetianProduct</t>
  </si>
  <si>
    <t>Colour By Product</t>
  </si>
  <si>
    <t>25mm Aluminium Venetians</t>
  </si>
  <si>
    <t>Additional Headboard 140mm x 19mm</t>
  </si>
  <si>
    <t>Additional Headboard 140mm x 19mm Material</t>
  </si>
  <si>
    <t>FauxwoodLiteTiltrod</t>
  </si>
  <si>
    <t>Tiltrod Match Material</t>
  </si>
  <si>
    <t>Tiltrod Match Blade</t>
  </si>
  <si>
    <t>INDEX Tiltrod</t>
  </si>
  <si>
    <t>Copyright © Pacific Wholesale Distributors 2008.
Unauthorised use and/or duplication of this material without the express written permission from the owner is strictly prohibited.</t>
  </si>
  <si>
    <t>Venice</t>
  </si>
  <si>
    <t>Florence</t>
  </si>
  <si>
    <t>Milan</t>
  </si>
  <si>
    <t>Pompeii</t>
  </si>
  <si>
    <t>Amalfi</t>
  </si>
  <si>
    <t>Kai</t>
  </si>
  <si>
    <t xml:space="preserve">Black </t>
  </si>
  <si>
    <t xml:space="preserve">Almond </t>
  </si>
  <si>
    <t>Brown</t>
  </si>
  <si>
    <t xml:space="preserve">Charcoal </t>
  </si>
  <si>
    <t>Grey</t>
  </si>
  <si>
    <t>Charcoal</t>
  </si>
  <si>
    <t>Bone</t>
  </si>
  <si>
    <t>Chinchilla</t>
  </si>
  <si>
    <t>Ice</t>
  </si>
  <si>
    <t>Chocolate</t>
  </si>
  <si>
    <t xml:space="preserve">Steel Grey </t>
  </si>
  <si>
    <t>Latte</t>
  </si>
  <si>
    <t>Linen</t>
  </si>
  <si>
    <t>Marshmallow</t>
  </si>
  <si>
    <t xml:space="preserve">Mocha </t>
  </si>
  <si>
    <t xml:space="preserve">Coffee </t>
  </si>
  <si>
    <t>Vanilla</t>
  </si>
  <si>
    <t>Oyster</t>
  </si>
  <si>
    <t xml:space="preserve">Pearl </t>
  </si>
  <si>
    <t xml:space="preserve">Stone </t>
  </si>
  <si>
    <t xml:space="preserve">Oyster </t>
  </si>
  <si>
    <t xml:space="preserve">White </t>
  </si>
  <si>
    <t>Papyrus</t>
  </si>
  <si>
    <t>Sand</t>
  </si>
  <si>
    <t xml:space="preserve">Vanilla </t>
  </si>
  <si>
    <t xml:space="preserve">Parchment </t>
  </si>
  <si>
    <t xml:space="preserve">Slate </t>
  </si>
  <si>
    <t xml:space="preserve">Sand </t>
  </si>
  <si>
    <t xml:space="preserve">Snow </t>
  </si>
  <si>
    <t>Shadow</t>
  </si>
  <si>
    <t>Stone</t>
  </si>
  <si>
    <t xml:space="preserve">Silk </t>
  </si>
  <si>
    <t xml:space="preserve">Truffle </t>
  </si>
  <si>
    <t>ControlOption</t>
  </si>
  <si>
    <t>Rome (Blockout)</t>
  </si>
  <si>
    <t>Como (Blockout)</t>
  </si>
  <si>
    <t>Motor - Left Hand, Single Channel, Hand Held</t>
  </si>
  <si>
    <t>Motor - Left Hand, 5 Channel, Hand Held</t>
  </si>
  <si>
    <t>Motor - Left Hand, Single Channel, Wall Mounted</t>
  </si>
  <si>
    <t>Motor - Left Hand, 5 Channel, Wall Mounted</t>
  </si>
  <si>
    <t>Motor - Right Hand, Single Channel, Hand Held</t>
  </si>
  <si>
    <t>Motor - Right Hand, 5 Channel, Hand Held</t>
  </si>
  <si>
    <t>Motor - Right Hand, Single Channel, Wall Mounted</t>
  </si>
  <si>
    <t>Motor - Right Hand, 5 Channel, Wall Mounted</t>
  </si>
  <si>
    <t>Como (Translucent)</t>
  </si>
  <si>
    <t>Rome (Translucent)</t>
  </si>
  <si>
    <t>Sunscreen Bronze</t>
  </si>
  <si>
    <t>Sunscreen Charcoal</t>
  </si>
  <si>
    <t>Sunscreen Fox</t>
  </si>
  <si>
    <t>Sunscreen Jasper</t>
  </si>
  <si>
    <t>Sunscreen Vanilla</t>
  </si>
  <si>
    <t>Sunscreen White</t>
  </si>
  <si>
    <t>Sunscreen Pumice</t>
  </si>
  <si>
    <t>Sunscreen Slate</t>
  </si>
  <si>
    <t>Sunscreen Storm</t>
  </si>
  <si>
    <t>SetPelmetOption</t>
  </si>
  <si>
    <t>RollerUniversalPelmet</t>
  </si>
  <si>
    <t>RollerPelmetColourCommon</t>
  </si>
  <si>
    <t>RollerPelmetColourStandard</t>
  </si>
  <si>
    <t>RollerPelmetColourNo</t>
  </si>
  <si>
    <t>RollerPelmetInsertCommon</t>
  </si>
  <si>
    <t>RollerPelmetInsertStandard</t>
  </si>
  <si>
    <t>RollerPelmetInsertNo</t>
  </si>
  <si>
    <t>RollerBracketTypeParis</t>
  </si>
  <si>
    <t>RollerBracketType2</t>
  </si>
  <si>
    <t>Naples</t>
  </si>
  <si>
    <t>Cotton</t>
  </si>
  <si>
    <t>Angora</t>
  </si>
  <si>
    <t>Merino</t>
  </si>
  <si>
    <t>Marten</t>
  </si>
  <si>
    <t>Suede</t>
  </si>
  <si>
    <t>Mink</t>
  </si>
  <si>
    <t>Possum</t>
  </si>
  <si>
    <t>PelmetInsertHughlightTable</t>
  </si>
  <si>
    <t>Vlookup</t>
  </si>
  <si>
    <t>Pelmet Colour Alert</t>
  </si>
  <si>
    <t>Cellular Blinds</t>
  </si>
  <si>
    <t>CellularBlindProduct</t>
  </si>
  <si>
    <t>25mm Single Cellular Blind</t>
  </si>
  <si>
    <t>38mm Single Cellular Blind</t>
  </si>
  <si>
    <t>38mm Double Cellular Blind</t>
  </si>
  <si>
    <t>Blockout Standard</t>
  </si>
  <si>
    <t>Translucent Standard</t>
  </si>
  <si>
    <t>Operation</t>
  </si>
  <si>
    <t>CellularOperation</t>
  </si>
  <si>
    <t>Clutch Day &amp; Night</t>
  </si>
  <si>
    <t>Clutch Top Down, Bottom Up</t>
  </si>
  <si>
    <t>Cordless Day &amp; Night</t>
  </si>
  <si>
    <t>Cordless Top Down, Bottom Up</t>
  </si>
  <si>
    <t>Translucent Crush</t>
  </si>
  <si>
    <t>Translucent Thatched</t>
  </si>
  <si>
    <t>Translucent Paisley</t>
  </si>
  <si>
    <t>Translucent Sheer</t>
  </si>
  <si>
    <t>Translucent Linen</t>
  </si>
  <si>
    <t>Translucent Woven</t>
  </si>
  <si>
    <t>LuminosityAndFabric</t>
  </si>
  <si>
    <t>Control</t>
  </si>
  <si>
    <t>CellularControl</t>
  </si>
  <si>
    <t>Both Left</t>
  </si>
  <si>
    <t>Both Right</t>
  </si>
  <si>
    <t>Top Left, Bottom Right</t>
  </si>
  <si>
    <t>Top Right, Bottom Left</t>
  </si>
  <si>
    <t>CellularControlLength</t>
  </si>
  <si>
    <t>Motorised Hardwired</t>
  </si>
  <si>
    <t>Motorised Battery</t>
  </si>
  <si>
    <t>Cordless Standard</t>
  </si>
  <si>
    <t>Clutch Standard</t>
  </si>
  <si>
    <t>Cord Standard</t>
  </si>
  <si>
    <t>Cord Day &amp; Night</t>
  </si>
  <si>
    <t>Cord Top Down, Bottom Up</t>
  </si>
  <si>
    <t>Corded Standard</t>
  </si>
  <si>
    <t>Corded Top Down, Bottom Up</t>
  </si>
  <si>
    <t>Fabric</t>
  </si>
  <si>
    <t>Oversize Check</t>
  </si>
  <si>
    <t>Colour/Top Colour</t>
  </si>
  <si>
    <t xml:space="preserve">Bottom Colour </t>
  </si>
  <si>
    <t>Cordless Day Night</t>
  </si>
  <si>
    <t>Corded Day Night</t>
  </si>
  <si>
    <t>Clutch Day Night</t>
  </si>
  <si>
    <t>Blockout Top &amp; Translucent Bottom</t>
  </si>
  <si>
    <t>OtherControl</t>
  </si>
  <si>
    <t>Agate Red</t>
  </si>
  <si>
    <t>Alabaster</t>
  </si>
  <si>
    <t xml:space="preserve">Avocado </t>
  </si>
  <si>
    <t xml:space="preserve">Bordeaux </t>
  </si>
  <si>
    <t>Cocoa</t>
  </si>
  <si>
    <t>Fawn</t>
  </si>
  <si>
    <t>Jean Blue</t>
  </si>
  <si>
    <t xml:space="preserve">Biscuit </t>
  </si>
  <si>
    <t>Pongee</t>
  </si>
  <si>
    <t>White Dove</t>
  </si>
  <si>
    <t xml:space="preserve">Snow White </t>
  </si>
  <si>
    <t>Onion</t>
  </si>
  <si>
    <t>Royal Purple</t>
  </si>
  <si>
    <t>Terra Cotta</t>
  </si>
  <si>
    <t>Winter White</t>
  </si>
  <si>
    <t xml:space="preserve">Cream </t>
  </si>
  <si>
    <t>Federal Blue</t>
  </si>
  <si>
    <t xml:space="preserve">Gray Sheen </t>
  </si>
  <si>
    <t>Ironstone</t>
  </si>
  <si>
    <t xml:space="preserve">Ocher </t>
  </si>
  <si>
    <t>Musk</t>
  </si>
  <si>
    <t xml:space="preserve">Marine Blue </t>
  </si>
  <si>
    <t xml:space="preserve">Pink Flamingo </t>
  </si>
  <si>
    <t>Roseate</t>
  </si>
  <si>
    <t>Sangria</t>
  </si>
  <si>
    <t>Stone Red</t>
  </si>
  <si>
    <t>Sweetmint</t>
  </si>
  <si>
    <t>Royal Gray</t>
  </si>
  <si>
    <t>Water Green</t>
  </si>
  <si>
    <t>Wisteria</t>
  </si>
  <si>
    <t xml:space="preserve">Spring Green </t>
  </si>
  <si>
    <t xml:space="preserve">Tan </t>
  </si>
  <si>
    <t>Match Product</t>
  </si>
  <si>
    <t>Match Fabric</t>
  </si>
  <si>
    <t>INDEX Product &amp; Fabric</t>
  </si>
  <si>
    <t xml:space="preserve"> 25mm Single Cellular Blind Blockout Standard</t>
  </si>
  <si>
    <t>Colour 2</t>
  </si>
  <si>
    <t>Colour2 38mm Single Cellular Blind Translucent Standard</t>
  </si>
  <si>
    <t>Sheer Alabaster</t>
  </si>
  <si>
    <t>Sheer Cocoa</t>
  </si>
  <si>
    <t>Sheer Cotton</t>
  </si>
  <si>
    <t>Sheer Fawn</t>
  </si>
  <si>
    <t xml:space="preserve">Sheer Snow White </t>
  </si>
  <si>
    <t>Colour2 38mm Single Cellular Blind Translucent Sheer</t>
  </si>
  <si>
    <t>Colour2 25mm Single Cellular Blind Translucent Standard</t>
  </si>
  <si>
    <t>Colour2 25mm Single Cellular Blind Translucent Sheer</t>
  </si>
  <si>
    <t>Colour2 38mm Single Cellular Blind Translucent Woven</t>
  </si>
  <si>
    <t>Colour2 25mm Single Cellular Blind Translucent Woven</t>
  </si>
  <si>
    <t>Colour2 38mm Single Cellular Blind Translucent Linen</t>
  </si>
  <si>
    <t>Colour2 38mm Single Cellular Blind Translucent Thatched</t>
  </si>
  <si>
    <t>Colour2 38mm Single Cellular Blind Translucent Paisley</t>
  </si>
  <si>
    <t>Colour2 25mm Single Cellular Blind Translucent Paisley</t>
  </si>
  <si>
    <t>Colour2 38mm Single Cellular Blind Translucent Crush</t>
  </si>
  <si>
    <t>Colour2 38mm Double Cellular Blind Translucent Standard</t>
  </si>
  <si>
    <t>Standard Agate Red</t>
  </si>
  <si>
    <t>Standard Alabaster</t>
  </si>
  <si>
    <t xml:space="preserve">Standard Avocado </t>
  </si>
  <si>
    <t>Standard Black</t>
  </si>
  <si>
    <t>Standard Cocoa</t>
  </si>
  <si>
    <t>Standard Cotton</t>
  </si>
  <si>
    <t xml:space="preserve">Standard Cream </t>
  </si>
  <si>
    <t xml:space="preserve">Standard Gray Sheen </t>
  </si>
  <si>
    <t>Standard Ironstone</t>
  </si>
  <si>
    <t>Standard Jean Blue</t>
  </si>
  <si>
    <t>Standard Musk</t>
  </si>
  <si>
    <t>Standard Pongee</t>
  </si>
  <si>
    <t>Standard Roseate</t>
  </si>
  <si>
    <t>Standard Royal Purple</t>
  </si>
  <si>
    <t xml:space="preserve">Standard Snow White </t>
  </si>
  <si>
    <t>Standard Sangria</t>
  </si>
  <si>
    <t>Standard Stone Red</t>
  </si>
  <si>
    <t>Standard Sweetmint</t>
  </si>
  <si>
    <t>Standard Water Green</t>
  </si>
  <si>
    <t>Standard Wisteria</t>
  </si>
  <si>
    <t>Crush Cocoa</t>
  </si>
  <si>
    <t>Crush Cotton</t>
  </si>
  <si>
    <t>Crush Fawn</t>
  </si>
  <si>
    <t>Crush White Dove</t>
  </si>
  <si>
    <t>Crush Winter White</t>
  </si>
  <si>
    <t>CellularMotorOptions</t>
  </si>
  <si>
    <t>Battery Operated Motor - Left</t>
  </si>
  <si>
    <t>Battery Operated Motor - Right</t>
  </si>
  <si>
    <t>Motor Control</t>
  </si>
  <si>
    <t>Control Corded Standard</t>
  </si>
  <si>
    <t>Control Corded Day Night</t>
  </si>
  <si>
    <t>Control Cordless Standard</t>
  </si>
  <si>
    <t>Control Cordless Day Night</t>
  </si>
  <si>
    <t>Control Clutch Standard</t>
  </si>
  <si>
    <t>Control Clutch Day Night</t>
  </si>
  <si>
    <t>Control Motorised Hardwired</t>
  </si>
  <si>
    <t xml:space="preserve">Woven Avocado </t>
  </si>
  <si>
    <t>Woven Cocoa</t>
  </si>
  <si>
    <t>Woven Cotton</t>
  </si>
  <si>
    <t>Woven Fawn</t>
  </si>
  <si>
    <t>Woven Onion</t>
  </si>
  <si>
    <t>Linen Agate Red</t>
  </si>
  <si>
    <t xml:space="preserve">Linen Avocado </t>
  </si>
  <si>
    <t>Linen Cocoa</t>
  </si>
  <si>
    <t>Linen Jean Blue</t>
  </si>
  <si>
    <t>Linen Royal Purple</t>
  </si>
  <si>
    <t xml:space="preserve">Thatched Avocado </t>
  </si>
  <si>
    <t>Thatched Cocoa</t>
  </si>
  <si>
    <t>Thatched Fawn</t>
  </si>
  <si>
    <t>Thatched Pongee</t>
  </si>
  <si>
    <t>Thatched Terra Cotta</t>
  </si>
  <si>
    <t xml:space="preserve">Paisley Bordeaux </t>
  </si>
  <si>
    <t>Paisley Cocoa</t>
  </si>
  <si>
    <t>Paisley Fawn</t>
  </si>
  <si>
    <t>Paisley Pongee</t>
  </si>
  <si>
    <t>Paisley Royal Purple</t>
  </si>
  <si>
    <t xml:space="preserve">Standard Biscuit </t>
  </si>
  <si>
    <t xml:space="preserve">Standard Bordeaux </t>
  </si>
  <si>
    <t>Standard Fawn</t>
  </si>
  <si>
    <t xml:space="preserve">Standard Marine Blue </t>
  </si>
  <si>
    <t xml:space="preserve">Standard Ocher </t>
  </si>
  <si>
    <t>Standard Onion</t>
  </si>
  <si>
    <t xml:space="preserve">Standard Pink Flamingo </t>
  </si>
  <si>
    <t>Standard Royal Gray</t>
  </si>
  <si>
    <t xml:space="preserve">Standard Spring Green </t>
  </si>
  <si>
    <t xml:space="preserve">Standard Tan </t>
  </si>
  <si>
    <t>Standard Terra Cotta</t>
  </si>
  <si>
    <t>Colour2 25mm Single Cellular Blind Translucent Thatched</t>
  </si>
  <si>
    <t xml:space="preserve"> 38mm Double Cellular Blind Blockout Standard</t>
  </si>
  <si>
    <t xml:space="preserve"> 38mm Double Cellular Blind Translucent Standard</t>
  </si>
  <si>
    <t xml:space="preserve"> 38mm Single Cellular Blind Translucent Crush</t>
  </si>
  <si>
    <t xml:space="preserve"> 25mm Single Cellular Blind Translucent Paisley</t>
  </si>
  <si>
    <t xml:space="preserve"> 25mm Single Cellular Blind Translucent Thatched</t>
  </si>
  <si>
    <t xml:space="preserve"> 38mm Single Cellular Blind Translucent Paisley</t>
  </si>
  <si>
    <t xml:space="preserve"> 38mm Single Cellular Blind Translucent Thatched</t>
  </si>
  <si>
    <t xml:space="preserve"> 38mm Single Cellular Blind Translucent Linen</t>
  </si>
  <si>
    <t xml:space="preserve"> 25mm Single Cellular Blind Translucent Woven</t>
  </si>
  <si>
    <t xml:space="preserve"> 38mm Single Cellular Blind Translucent Woven</t>
  </si>
  <si>
    <t xml:space="preserve"> 25mm Single Cellular Blind Translucent Sheer</t>
  </si>
  <si>
    <t xml:space="preserve"> 38mm Single Cellular Blind Translucent Sheer</t>
  </si>
  <si>
    <t xml:space="preserve"> 38mm Single Cellular Blind Blockout Standard</t>
  </si>
  <si>
    <t xml:space="preserve"> 25mm Single Cellular Blind Translucent Standard</t>
  </si>
  <si>
    <t xml:space="preserve"> 38mm Single Cellular Blind Translucent Standard</t>
  </si>
  <si>
    <t>Corded Standard 25mm Single</t>
  </si>
  <si>
    <t>Corded Day Night 25mm Single</t>
  </si>
  <si>
    <t>Cordless Day Night 25mm Single</t>
  </si>
  <si>
    <t>Clutch Standard 25mm Single</t>
  </si>
  <si>
    <t>Clutch Day Night 25mm Single</t>
  </si>
  <si>
    <t>Motorised Battery 25mm Single</t>
  </si>
  <si>
    <t>Cordless Standard 25mm Single</t>
  </si>
  <si>
    <t>Corded Top Down Bottom Up 25mm Single</t>
  </si>
  <si>
    <t>Motorised Hardwired 25mm Single</t>
  </si>
  <si>
    <t>Clutch Top Down Bottom Up 25mm Single</t>
  </si>
  <si>
    <t>Cordless Top Down Bottom Up 25mm Single</t>
  </si>
  <si>
    <t>Corded Standard 38mm Single</t>
  </si>
  <si>
    <t>Corded Day Night 38mm Single</t>
  </si>
  <si>
    <t>Corded Top Down Bottom Up 38mm Single</t>
  </si>
  <si>
    <t>Cordless Standard 38mm Single</t>
  </si>
  <si>
    <t>Cordless Day Night 38mm Single</t>
  </si>
  <si>
    <t>Cordless Top Down Bottom Up 38mm Single</t>
  </si>
  <si>
    <t>Clutch Standard 38mm Single</t>
  </si>
  <si>
    <t>Clutch Day Night 38mm Single</t>
  </si>
  <si>
    <t>Clutch Top Down Bottom Up 38mm Single</t>
  </si>
  <si>
    <t>Motorised Battery 38mm Single</t>
  </si>
  <si>
    <t>Motorised Hardwired 38mm Single</t>
  </si>
  <si>
    <t>Corded Standard 38mm Double</t>
  </si>
  <si>
    <t>Corded Day Night 38mm Double</t>
  </si>
  <si>
    <t>Corded Top Down Bottom Up 38mm Double</t>
  </si>
  <si>
    <t>Cordless Standard 38mm Double</t>
  </si>
  <si>
    <t>Cordless Day Night 38mm Double</t>
  </si>
  <si>
    <t>Cordless Top Down Bottom Up 38mm Double</t>
  </si>
  <si>
    <t>Clutch Standard 38mm Double</t>
  </si>
  <si>
    <t>Clutch Day Night 38mm Double</t>
  </si>
  <si>
    <t>Clutch Top Down Bottom Up 38mm Double</t>
  </si>
  <si>
    <t>Motorised Battery 38mm Double</t>
  </si>
  <si>
    <t>Motorised Hardwired 38mm Double</t>
  </si>
  <si>
    <t>Match Operation</t>
  </si>
  <si>
    <t>INDEX Operation &amp; Product</t>
  </si>
  <si>
    <t>Name</t>
  </si>
  <si>
    <t>Cellular Colour 2 25mm Single Cellular Blind</t>
  </si>
  <si>
    <t>Cellular Colour 2 38mm Double Cellular Blind</t>
  </si>
  <si>
    <t>Cellular Colour 2 38mm Single Cellular Blind</t>
  </si>
  <si>
    <t>Cellular Colour 2 NA</t>
  </si>
  <si>
    <t>Blue</t>
  </si>
  <si>
    <t>Corded Standard Control</t>
  </si>
  <si>
    <t>Corded Day Night Control</t>
  </si>
  <si>
    <t>Cordless Standard Control</t>
  </si>
  <si>
    <t>Cordless Day Night Control</t>
  </si>
  <si>
    <t>Clutch Standard Control</t>
  </si>
  <si>
    <t>Clutch Day Night Control</t>
  </si>
  <si>
    <t>Motorised Battery Control</t>
  </si>
  <si>
    <t>Motorised Hardwired Control</t>
  </si>
  <si>
    <t>Control Option</t>
  </si>
  <si>
    <t>Total SQM</t>
  </si>
  <si>
    <t>Size</t>
  </si>
  <si>
    <t>Calculate</t>
  </si>
  <si>
    <t>Check Size</t>
  </si>
  <si>
    <t>RollerChain Motor Left Hand Single Channel Hand Held</t>
  </si>
  <si>
    <t>RollerChain Motor Left Hand 5 Channel Hand Held</t>
  </si>
  <si>
    <t>RollerChain Motor Left Hand Single Channel Wall Mounted</t>
  </si>
  <si>
    <t>RollerChain Motor Left Hand 5 Channel Wall Mounted</t>
  </si>
  <si>
    <t>RollerChain Motor Right Hand Single Channel Hand Held</t>
  </si>
  <si>
    <t>RollerChain Motor Right Hand 5 Channel Hand Held</t>
  </si>
  <si>
    <t>RollerChain Motor Right Hand 5 Channel Wall Mounted</t>
  </si>
  <si>
    <t>Default, 500mm, 750mm, 1000mm, 1250mm, 1500mm, 2000mm</t>
  </si>
  <si>
    <t>500mm</t>
  </si>
  <si>
    <t>750mm</t>
  </si>
  <si>
    <t>1000mm</t>
  </si>
  <si>
    <t>1250mm</t>
  </si>
  <si>
    <t>1500mm</t>
  </si>
  <si>
    <t>2000mm</t>
  </si>
  <si>
    <t>RollerChain Left</t>
  </si>
  <si>
    <t>RollerChain Right</t>
  </si>
  <si>
    <t>RollerChainColour Left</t>
  </si>
  <si>
    <t>RollerChainColour Right</t>
  </si>
  <si>
    <t>RollerChainColour Motor Left Hand Single Channel Hand Held</t>
  </si>
  <si>
    <t>RollerChainColour Motor Left Hand 5 Channel Hand Held</t>
  </si>
  <si>
    <t>RollerChainColour Motor Left Hand Single Channel Wall Mounted</t>
  </si>
  <si>
    <t>RollerChainColour Motor Left Hand 5 Channel Wall Mounted</t>
  </si>
  <si>
    <t>RollerChainColour Motor Right Hand Single Channel Hand Held</t>
  </si>
  <si>
    <t>RollerChainColour Motor Right Hand 5 Channel Hand Held</t>
  </si>
  <si>
    <t>RollerChainColour Motor Right Hand Single Channel Wall Mounted</t>
  </si>
  <si>
    <t>RollerChain Motor Right Hand Single Channel Wall Mounted</t>
  </si>
  <si>
    <t>RollerChainColour Motor Right Hand 5 Channel Wall Mounted</t>
  </si>
  <si>
    <t>Nickel Plated Brass</t>
  </si>
  <si>
    <t>Chain</t>
  </si>
  <si>
    <t>HelperSpringControlNo</t>
  </si>
  <si>
    <t>HelperSpringControlYes</t>
  </si>
  <si>
    <t>Helper Spring Yes No</t>
  </si>
  <si>
    <t>Translucent Top &amp; Blockout Bottom</t>
  </si>
  <si>
    <t>Corded Top Down Bottom Up Control</t>
  </si>
  <si>
    <t>Cordless Top Down Bottom Up Control</t>
  </si>
  <si>
    <t>Clutch Top Down Bottom Up Control</t>
  </si>
  <si>
    <t>Maximum</t>
  </si>
  <si>
    <t>Oval Bottom Rail 2</t>
  </si>
  <si>
    <t>Oval Bottom Rail Match Product</t>
  </si>
  <si>
    <t>Match Finish</t>
  </si>
  <si>
    <t>INDEX</t>
  </si>
  <si>
    <t>Hardwired Motor - Left Side Wand</t>
  </si>
  <si>
    <t>Hardwired Motor - Right Side Wand</t>
  </si>
  <si>
    <t>Battery Operated Motor - Left Side Wand</t>
  </si>
  <si>
    <t>Battery Operated Motor - Right Side Wand</t>
  </si>
  <si>
    <t>38mm Single</t>
  </si>
  <si>
    <t>Motor - Left Hand, 6 Channel, Black Hand Held Remote</t>
  </si>
  <si>
    <t>Motor - Right Hand, 6 Channel, Black Hand Held Remote</t>
  </si>
  <si>
    <t>Motor - Left Hand, 6 Channel, White Hand Held Remote</t>
  </si>
  <si>
    <t>Motor - Right Hand, 6 Channel, White Hand Held Remote</t>
  </si>
  <si>
    <t>Check Combo</t>
  </si>
  <si>
    <t>Check Combo 2</t>
  </si>
  <si>
    <t>Two Combo Check</t>
  </si>
  <si>
    <t>Combo Panel Multiplier</t>
  </si>
  <si>
    <t>Basswood Luxury Combo</t>
  </si>
  <si>
    <t>Check Yes</t>
  </si>
  <si>
    <t>Standard Control</t>
  </si>
  <si>
    <t>Motor - Left Hand, Black Hand Held Remote, 6 Channel</t>
  </si>
  <si>
    <t>Motor - Right Hand, Black Hand Held Remote, 6 Channel</t>
  </si>
  <si>
    <t>Motor - Left Hand, White Hand Held Remote, 6 Channel</t>
  </si>
  <si>
    <t>Motor - Right Hand, White Hand Held Remote, 6 Channel</t>
  </si>
  <si>
    <t>Cordless Wand Operated</t>
  </si>
  <si>
    <t>Cordless Wand Operated Control</t>
  </si>
  <si>
    <t>Motor - Left Hand, No Remote</t>
  </si>
  <si>
    <t>Motor - Right Hand, No Remote</t>
  </si>
  <si>
    <t>38mm Double</t>
  </si>
  <si>
    <t>25mm Single</t>
  </si>
  <si>
    <t>Panel Glide Blinds</t>
  </si>
  <si>
    <t>Panel Glide Blind Product</t>
  </si>
  <si>
    <t>Panel
Layout</t>
  </si>
  <si>
    <t>Bottom Rail</t>
  </si>
  <si>
    <t>Panel Glide Bottom Rail Colour</t>
  </si>
  <si>
    <t>Panel Glide Sewn In Pocket</t>
  </si>
  <si>
    <t>Panel_Quantity_2</t>
  </si>
  <si>
    <t>Panel_Quantity_3</t>
  </si>
  <si>
    <t>Panel_Quantity_4</t>
  </si>
  <si>
    <t>Panel_Quantity_5</t>
  </si>
  <si>
    <t>Panel_Quantity_6</t>
  </si>
  <si>
    <t>Panel_Quantity_7</t>
  </si>
  <si>
    <t>Panel_Quantity_8</t>
  </si>
  <si>
    <t>Panel_Quantity_9</t>
  </si>
  <si>
    <t>Panel Configuration</t>
  </si>
  <si>
    <t>Panel Qty</t>
  </si>
  <si>
    <t>Min Width</t>
  </si>
  <si>
    <t>Max Width</t>
  </si>
  <si>
    <t>Calculate Width Min</t>
  </si>
  <si>
    <t>Calculate Width Max</t>
  </si>
  <si>
    <t>Size Check Width Max</t>
  </si>
  <si>
    <t>Size Check Width Min</t>
  </si>
  <si>
    <t>Standard Hinge Large 90mm</t>
  </si>
  <si>
    <t>Cellular</t>
  </si>
  <si>
    <t>Panel Glide</t>
  </si>
  <si>
    <t>Motor - Left Hand, Home Automation</t>
  </si>
  <si>
    <t>Motor - Right Hand, Home Automation</t>
  </si>
  <si>
    <t>RollerChain Motor Left Home Automation</t>
  </si>
  <si>
    <t>RollerChain Motor Right Home Automation</t>
  </si>
  <si>
    <t>RollerChainColour Left Home Automation</t>
  </si>
  <si>
    <t>RollerChainColour Right Home Automation</t>
  </si>
  <si>
    <t>Top Track 
Colour</t>
  </si>
  <si>
    <t>2 Panels, 3 Track, Left Stack</t>
  </si>
  <si>
    <t>3 Panels, 3 Track, Left Stack</t>
  </si>
  <si>
    <t>4 Panels, 6 Track, Left Stack</t>
  </si>
  <si>
    <t>5 Panels, 6 Track, Left Stack</t>
  </si>
  <si>
    <t>6 Panels, 6 Track, Left Stack</t>
  </si>
  <si>
    <t>7 Panels, 6 Track, Centre Opening</t>
  </si>
  <si>
    <t>8 Panels, 6 Track, Centre Opening</t>
  </si>
  <si>
    <t>9 Panels, 6 Track, Centre Opening</t>
  </si>
  <si>
    <t>2 Panels, 3 Track, Right Stack</t>
  </si>
  <si>
    <t>3 Panels, 3 Track, Right Stack</t>
  </si>
  <si>
    <t>4 Panels, 6 Track, Right Stack</t>
  </si>
  <si>
    <t>5 Panels, 6 Track, Right Stack</t>
  </si>
  <si>
    <t>6 Panels, 6 Track, Right Stack</t>
  </si>
  <si>
    <t>5 Panels, 6 Track, Centre Opening</t>
  </si>
  <si>
    <t>Check Panel Size Against Width</t>
  </si>
  <si>
    <t>Calculate Small</t>
  </si>
  <si>
    <t>Calculate Big</t>
  </si>
  <si>
    <t>Check Size Highlight</t>
  </si>
  <si>
    <t>3 Panels, 3 Track, Centre Opening</t>
  </si>
  <si>
    <t>Large Bullnose Z Frame</t>
  </si>
  <si>
    <t>LRFLargeBullnoseZFrame</t>
  </si>
  <si>
    <t>TopFrameLargeBullnoseZFrame</t>
  </si>
  <si>
    <t>BottomFrameLargeBullnoseZFrame</t>
  </si>
  <si>
    <t>Frame Type Match Product</t>
  </si>
  <si>
    <t>Frame Type Match Mounting Method</t>
  </si>
  <si>
    <t>Frame Type Index</t>
  </si>
  <si>
    <t>Large Bullnose Z Frame Material</t>
  </si>
  <si>
    <t>Paris Bone</t>
  </si>
  <si>
    <t>Paris Latte</t>
  </si>
  <si>
    <t>Control Side</t>
  </si>
  <si>
    <t>RollerControl</t>
  </si>
  <si>
    <t>Timber</t>
  </si>
  <si>
    <t>TimberN</t>
  </si>
  <si>
    <t>TimberT</t>
  </si>
  <si>
    <t>Timber Eco</t>
  </si>
  <si>
    <t>Fluffy_Strip_Timber_Eco</t>
  </si>
  <si>
    <t>Timber_Blade</t>
  </si>
  <si>
    <t>Cedar Image Medium (W868)</t>
  </si>
  <si>
    <t>Timber_Hinged_Frame_Type</t>
  </si>
  <si>
    <t>Timber_Double_Hinged_Frame_Type</t>
  </si>
  <si>
    <t>TimberExtrasOptionsPainted</t>
  </si>
  <si>
    <t>TimberExtraOptionsStd</t>
  </si>
  <si>
    <t>TimberExtrasOptions</t>
  </si>
  <si>
    <t>CedarImageMediumW868</t>
  </si>
  <si>
    <t>B1_Colour</t>
  </si>
  <si>
    <t>B10_Colour</t>
  </si>
  <si>
    <t>BL1_Colour</t>
  </si>
  <si>
    <t>BL11_Colour</t>
  </si>
  <si>
    <t>BL2_Colour</t>
  </si>
  <si>
    <t>BL9_Colour</t>
  </si>
  <si>
    <t>DS1_Colour</t>
  </si>
  <si>
    <t>DS6_Colour</t>
  </si>
  <si>
    <t>E1_Colour</t>
  </si>
  <si>
    <t>FR_S6_Colour</t>
  </si>
  <si>
    <t>LV1_Colour</t>
  </si>
  <si>
    <t>LV2_Colour</t>
  </si>
  <si>
    <t>S6_Colour</t>
  </si>
  <si>
    <t>S9_Colour</t>
  </si>
  <si>
    <t>ColourNA</t>
  </si>
  <si>
    <t>Vertical Stack</t>
  </si>
  <si>
    <t>Textured</t>
  </si>
  <si>
    <t>Blockout Woven</t>
  </si>
  <si>
    <t>Semi-Blockout</t>
  </si>
  <si>
    <t>Patterned</t>
  </si>
  <si>
    <t>Combination</t>
  </si>
  <si>
    <t>Fire Retardant</t>
  </si>
  <si>
    <t>Jacquard Weave</t>
  </si>
  <si>
    <t>Jacquard Crush</t>
  </si>
  <si>
    <t>Woven</t>
  </si>
  <si>
    <t>Product Type</t>
  </si>
  <si>
    <t>Head Box Colour</t>
  </si>
  <si>
    <t>Fabric Insert</t>
  </si>
  <si>
    <t>Over Roll Or 
Standard</t>
  </si>
  <si>
    <t>Blind m2</t>
  </si>
  <si>
    <t>Transition Range Blinds Product Type</t>
  </si>
  <si>
    <t>Stack</t>
  </si>
  <si>
    <t>Multi Shade</t>
  </si>
  <si>
    <t>Roman Shade</t>
  </si>
  <si>
    <t>Triple Shade</t>
  </si>
  <si>
    <t>Vertical Shade</t>
  </si>
  <si>
    <t>Stack Option</t>
  </si>
  <si>
    <t>Chain Cord Length</t>
  </si>
  <si>
    <t>Cord Colour</t>
  </si>
  <si>
    <t>Chain Only</t>
  </si>
  <si>
    <t>Chain &amp; Cord Selection</t>
  </si>
  <si>
    <t>Multi Shade Finish</t>
  </si>
  <si>
    <t>Roman Shade Finish</t>
  </si>
  <si>
    <t>Triple Shade Finish</t>
  </si>
  <si>
    <t>Vertical Shade Finish</t>
  </si>
  <si>
    <t>Colour Selection</t>
  </si>
  <si>
    <t>Fabric Insert Option</t>
  </si>
  <si>
    <t>Fabric Insert NA</t>
  </si>
  <si>
    <t>Fabric Insert Selection</t>
  </si>
  <si>
    <t>Colour Selection Product</t>
  </si>
  <si>
    <t>Colour Selection Finish</t>
  </si>
  <si>
    <t>Colour Selection Index</t>
  </si>
  <si>
    <t>Vertical Extension Bracket Option</t>
  </si>
  <si>
    <t>Vertical Extension Bracket Option NA</t>
  </si>
  <si>
    <t>Other Bottom Rail Colour</t>
  </si>
  <si>
    <t>Jacquard Crush Jacquard Weave Bottom Rail Colour</t>
  </si>
  <si>
    <t>Bottom Rail Option</t>
  </si>
  <si>
    <t>Over Roll Or Standard Multi Shade</t>
  </si>
  <si>
    <t>Over Roll Or Standard Roman Shade</t>
  </si>
  <si>
    <t>Over Roll Or Standard Triple Shade</t>
  </si>
  <si>
    <t>Over Roll Or Standard Selection</t>
  </si>
  <si>
    <t>Centre Bunch</t>
  </si>
  <si>
    <t>Beige</t>
  </si>
  <si>
    <t>Acorn B123</t>
  </si>
  <si>
    <t>Bamboo B1006</t>
  </si>
  <si>
    <t>Black Pepper BL114</t>
  </si>
  <si>
    <t>Ash BL1104</t>
  </si>
  <si>
    <t>Anthracite BL207</t>
  </si>
  <si>
    <t>Almond BL902</t>
  </si>
  <si>
    <t>Biscuit DS108</t>
  </si>
  <si>
    <t>Caramel DS603</t>
  </si>
  <si>
    <t>Barley E111</t>
  </si>
  <si>
    <t>Cornsilk FR-S603</t>
  </si>
  <si>
    <t>Cappuccino LV105</t>
  </si>
  <si>
    <t>Cocoa LV205</t>
  </si>
  <si>
    <t>Blue Lagoon S607</t>
  </si>
  <si>
    <t>Bali S910</t>
  </si>
  <si>
    <t>Over Roll</t>
  </si>
  <si>
    <t>Centre Open</t>
  </si>
  <si>
    <t>Alabaster B102</t>
  </si>
  <si>
    <t>Bonsai B1007</t>
  </si>
  <si>
    <t>Bone BL103</t>
  </si>
  <si>
    <t>Bisque BL1103</t>
  </si>
  <si>
    <t>Avocado BL205</t>
  </si>
  <si>
    <t>Bark BL912</t>
  </si>
  <si>
    <t>Burnt Sienna DS110</t>
  </si>
  <si>
    <t>Chai DS602</t>
  </si>
  <si>
    <t>Cool Mist E105</t>
  </si>
  <si>
    <t>Jasper FR-S611</t>
  </si>
  <si>
    <t>Maple LV104</t>
  </si>
  <si>
    <t>Grey LV203</t>
  </si>
  <si>
    <t>Blueberry S610</t>
  </si>
  <si>
    <t>Cumin S904</t>
  </si>
  <si>
    <t>One Way-Left</t>
  </si>
  <si>
    <t>Dark Brown</t>
  </si>
  <si>
    <t>Baby Blue B120</t>
  </si>
  <si>
    <t>Bracken B1008</t>
  </si>
  <si>
    <t>Burnt Almond BL113</t>
  </si>
  <si>
    <t>Cinnamon BL1102</t>
  </si>
  <si>
    <t>Beige BL203</t>
  </si>
  <si>
    <t>Chalk BL901</t>
  </si>
  <si>
    <t>Fawn DS103</t>
  </si>
  <si>
    <t>Chino DS604</t>
  </si>
  <si>
    <t>Daisy E101</t>
  </si>
  <si>
    <t>Mill FR-S606</t>
  </si>
  <si>
    <t>Polar LV101</t>
  </si>
  <si>
    <t>Natural LV201</t>
  </si>
  <si>
    <t>Boysenberry S612</t>
  </si>
  <si>
    <t>Maize S911</t>
  </si>
  <si>
    <t>One Way-Right</t>
  </si>
  <si>
    <t>Baby Pink B116</t>
  </si>
  <si>
    <t>Cherrywood B1011</t>
  </si>
  <si>
    <t>Carbon BL108</t>
  </si>
  <si>
    <t>Henna BL1105</t>
  </si>
  <si>
    <t>Brandy BL211</t>
  </si>
  <si>
    <t>Ginger BL905</t>
  </si>
  <si>
    <t>Ice DS101</t>
  </si>
  <si>
    <t>Coffee DS605</t>
  </si>
  <si>
    <t>Dusky Pink E106</t>
  </si>
  <si>
    <t>Oatmeal FR-S605</t>
  </si>
  <si>
    <t>Rhodium LV103</t>
  </si>
  <si>
    <t>Rust LV204</t>
  </si>
  <si>
    <t>Chocolate S611</t>
  </si>
  <si>
    <t>Pebble S903</t>
  </si>
  <si>
    <t>Blue Fizz B106</t>
  </si>
  <si>
    <t>Fossil B1003</t>
  </si>
  <si>
    <t>Champagne BL102</t>
  </si>
  <si>
    <t>Pearl BL1101</t>
  </si>
  <si>
    <t>Brownie BL212</t>
  </si>
  <si>
    <t>Iron Ore BL904</t>
  </si>
  <si>
    <t>Malted Milk DS102</t>
  </si>
  <si>
    <t>Cream DS601</t>
  </si>
  <si>
    <t>French Vanilla E103</t>
  </si>
  <si>
    <t>Soft White FR-S602</t>
  </si>
  <si>
    <t>Slate LV107</t>
  </si>
  <si>
    <t>Sandstone LV202</t>
  </si>
  <si>
    <t>Desert S605</t>
  </si>
  <si>
    <t>Pewter S905</t>
  </si>
  <si>
    <t>Light Brown</t>
  </si>
  <si>
    <t>Charcoal B112</t>
  </si>
  <si>
    <t>Mercury B1005</t>
  </si>
  <si>
    <t>Cherry BL111</t>
  </si>
  <si>
    <t>Coal BL213</t>
  </si>
  <si>
    <t>Jade BL910</t>
  </si>
  <si>
    <t>Mushroom DS104</t>
  </si>
  <si>
    <t>Espresso DS606</t>
  </si>
  <si>
    <t>Latte E107</t>
  </si>
  <si>
    <t>Wheat FR-S604</t>
  </si>
  <si>
    <t>Soot LV106</t>
  </si>
  <si>
    <t>Shiraz LV206</t>
  </si>
  <si>
    <t>Eggshell S603</t>
  </si>
  <si>
    <t>Reed S912</t>
  </si>
  <si>
    <t>Rose</t>
  </si>
  <si>
    <t>Cheesecake B114</t>
  </si>
  <si>
    <t>Meringue B1001</t>
  </si>
  <si>
    <t>Lavender BL110</t>
  </si>
  <si>
    <t>Copper BL204</t>
  </si>
  <si>
    <t>Mandarin BL906</t>
  </si>
  <si>
    <t>Sesame Seed DS107</t>
  </si>
  <si>
    <t>Magnolia E102</t>
  </si>
  <si>
    <t>Straw LV102</t>
  </si>
  <si>
    <t>Fox S604</t>
  </si>
  <si>
    <t>Snowflake S901</t>
  </si>
  <si>
    <t>Chinchilla B110</t>
  </si>
  <si>
    <t>Onyx B1012</t>
  </si>
  <si>
    <t>Mahogany BL112</t>
  </si>
  <si>
    <t>Lily BL201</t>
  </si>
  <si>
    <t>Merlot BL909</t>
  </si>
  <si>
    <t>Steel Wool DS105</t>
  </si>
  <si>
    <t>Pine Nut E112</t>
  </si>
  <si>
    <t>Ghost White S601</t>
  </si>
  <si>
    <t>Stone S908</t>
  </si>
  <si>
    <t>Earth B111</t>
  </si>
  <si>
    <t>Sorbet B1004</t>
  </si>
  <si>
    <t>Mouse BL109</t>
  </si>
  <si>
    <t>Sky BL206</t>
  </si>
  <si>
    <t>Midnight BL913</t>
  </si>
  <si>
    <t>Pistachio E110</t>
  </si>
  <si>
    <t>Light Olive S608</t>
  </si>
  <si>
    <t>Grape B115</t>
  </si>
  <si>
    <t>Spun Sugar B1002</t>
  </si>
  <si>
    <t>Mustard BL104</t>
  </si>
  <si>
    <t>Storm BL208</t>
  </si>
  <si>
    <t>Musk BL903</t>
  </si>
  <si>
    <t>Sahara Sand E104</t>
  </si>
  <si>
    <t>Ivory B121</t>
  </si>
  <si>
    <t>Thistle B1009</t>
  </si>
  <si>
    <t>Powder Blue BL107</t>
  </si>
  <si>
    <t>Thundercloud BL209</t>
  </si>
  <si>
    <t>Otter BL907</t>
  </si>
  <si>
    <t>Wine E109</t>
  </si>
  <si>
    <t>Popped Corn S602</t>
  </si>
  <si>
    <t>Lime B108</t>
  </si>
  <si>
    <t>Walnut B1010</t>
  </si>
  <si>
    <t>Salt BL101</t>
  </si>
  <si>
    <t>Truffle BL210</t>
  </si>
  <si>
    <t>Purple S609</t>
  </si>
  <si>
    <t>Marble B109</t>
  </si>
  <si>
    <t>Tangerine BL105</t>
  </si>
  <si>
    <t>Vanilla Lush BL202</t>
  </si>
  <si>
    <t>Steel BL911</t>
  </si>
  <si>
    <t>Titanium S606</t>
  </si>
  <si>
    <t>Mint B119</t>
  </si>
  <si>
    <t>Watermelon BL106</t>
  </si>
  <si>
    <t>Mocha B122</t>
  </si>
  <si>
    <t>Peach B103</t>
  </si>
  <si>
    <t>Pink Fizz B105</t>
  </si>
  <si>
    <t>Platinum B125</t>
  </si>
  <si>
    <t>Pumice B107</t>
  </si>
  <si>
    <t>Rustic B118</t>
  </si>
  <si>
    <t>Smoke B124</t>
  </si>
  <si>
    <t>Snowy B101</t>
  </si>
  <si>
    <t>Tan B117</t>
  </si>
  <si>
    <t>Violet B104</t>
  </si>
  <si>
    <t>Zest B113</t>
  </si>
  <si>
    <t>Dark Red</t>
  </si>
  <si>
    <t>Store Name</t>
  </si>
  <si>
    <t>#</t>
  </si>
  <si>
    <t>Delivery Address</t>
  </si>
  <si>
    <t>Panels Fixed With Light Stop Beading</t>
  </si>
  <si>
    <t>Panels Fixed With Light Stop Beading, Front &amp; Back</t>
  </si>
  <si>
    <t>This Section Can Be Used To Enter Your Store Names &amp; Delivery Addresses.
Please Enter &amp; Update The Details In The Sections Provided &amp; This Will Automatically Populate Into The Summary Section &amp; Then The Individual Order Forms.</t>
  </si>
  <si>
    <t>Transition</t>
  </si>
  <si>
    <t>Fauxwood Eco Air</t>
  </si>
  <si>
    <t>Fauxwood Eco Elite</t>
  </si>
  <si>
    <t>CMBEmail</t>
  </si>
  <si>
    <t>ShutterEmail</t>
  </si>
  <si>
    <t>CMBPhone</t>
  </si>
  <si>
    <t>ShutterPhone</t>
  </si>
  <si>
    <t>support@pacificwholesale.com.au</t>
  </si>
  <si>
    <t>Tel. +61 2 8850 9312</t>
  </si>
  <si>
    <t>Top &amp; Bottom Rail, 137.5mm x 21mm - Standard Profile</t>
  </si>
  <si>
    <t>Divider Rail/Mid Rail (Centre Rail), 79.5mm x 21mm - Standard Profile</t>
  </si>
  <si>
    <t>TopBottom Rail 137.5mm x 21mmReinforced Profile</t>
  </si>
  <si>
    <t>Divider RailMid Rail Centre Rail 79.5mm x 21mm Reinforced Profile</t>
  </si>
  <si>
    <t>Metal Return Clip For Fascia</t>
  </si>
  <si>
    <t>60mm Plain Stiles (Supplied With Astragal/D Mould Stiles Only)</t>
  </si>
  <si>
    <t>Tel. +61 2 8850 9305</t>
  </si>
  <si>
    <t>Top &amp; Bottom Rail, 152mm x 19mm - Reinforced Curved Profile</t>
  </si>
  <si>
    <t>Divider Rail/Mid Rail (Centre Rail), 98mm x 19mm - Reinforced Curved Profile</t>
  </si>
  <si>
    <t>Tel. +61 2 8850 9306</t>
  </si>
  <si>
    <t>service@pacificwholesale.com.au</t>
  </si>
  <si>
    <t>Before Sending The Order:
1. Please Check The Quantity's Below Are Correct. 
2. When Complete, Save In This Tab And Email To Pacific Wholesale To The Appropriate Email Address.</t>
  </si>
  <si>
    <t>Stacey Carsburg</t>
  </si>
  <si>
    <r>
      <t>CUSTOM MADE BLINDS GO TO:</t>
    </r>
    <r>
      <rPr>
        <sz val="10"/>
        <color indexed="10"/>
        <rFont val="Arial"/>
        <family val="2"/>
      </rPr>
      <t/>
    </r>
  </si>
  <si>
    <r>
      <t xml:space="preserve">PACIFIC BLINDS SALES COORDINATOR </t>
    </r>
    <r>
      <rPr>
        <i/>
        <sz val="10"/>
        <rFont val="Arial"/>
        <family val="2"/>
      </rPr>
      <t>(PWD Internal Use)</t>
    </r>
  </si>
  <si>
    <t>Premium Blockout Woven</t>
  </si>
  <si>
    <t>Cold Metal BL2004</t>
  </si>
  <si>
    <t>Desert Sand BL2003</t>
  </si>
  <si>
    <t>Espresso BL2008</t>
  </si>
  <si>
    <t>Honeycomb BL2006</t>
  </si>
  <si>
    <t>Latte BL2002</t>
  </si>
  <si>
    <t>Natural BL2001</t>
  </si>
  <si>
    <t>Slate BL2005</t>
  </si>
  <si>
    <t>Walnut BL2007</t>
  </si>
  <si>
    <t>BL20_Colour</t>
  </si>
  <si>
    <t>CMBPhone2</t>
  </si>
  <si>
    <t xml:space="preserve"> +61 2 8850 9306</t>
  </si>
  <si>
    <t xml:space="preserve"> +61 2 8850 9305</t>
  </si>
  <si>
    <t xml:space="preserve"> +61 2 8850 9312</t>
  </si>
  <si>
    <t>Battery Operated Motor - Remote</t>
  </si>
  <si>
    <t>Battery Operated Motor - No Remote</t>
  </si>
  <si>
    <t>ChainMotor</t>
  </si>
  <si>
    <t>Motorised Remote</t>
  </si>
  <si>
    <t>Motorised No Remote</t>
  </si>
  <si>
    <t>50mm Shaded Grey P305</t>
  </si>
  <si>
    <t>50mm Silver Button P304</t>
  </si>
  <si>
    <t>Priscilla Serio</t>
  </si>
  <si>
    <t>Samantha Doak</t>
  </si>
  <si>
    <t>Premium Blockout</t>
  </si>
  <si>
    <t>Premium Room Darkening</t>
  </si>
  <si>
    <t>Premium Woven Room Darkening</t>
  </si>
  <si>
    <t>B5_Colour</t>
  </si>
  <si>
    <t>BL30_Colour</t>
  </si>
  <si>
    <t>Cotton BL201</t>
  </si>
  <si>
    <t>Chocolate BL212</t>
  </si>
  <si>
    <t>Grey BL207</t>
  </si>
  <si>
    <t>Macadamia BL202</t>
  </si>
  <si>
    <t>Metal BL208</t>
  </si>
  <si>
    <t>Sand BL203</t>
  </si>
  <si>
    <t>Taupe BL210</t>
  </si>
  <si>
    <t>Ash B512</t>
  </si>
  <si>
    <t>Autumn B505</t>
  </si>
  <si>
    <t>Haze B514</t>
  </si>
  <si>
    <t>Ivory B501</t>
  </si>
  <si>
    <t>Light Bark B504</t>
  </si>
  <si>
    <t>Marshmallow B511</t>
  </si>
  <si>
    <t>Mocha B506</t>
  </si>
  <si>
    <t>Peacock B503</t>
  </si>
  <si>
    <t>Safari B513</t>
  </si>
  <si>
    <t>Sandstone B502</t>
  </si>
  <si>
    <t>Storm B515</t>
  </si>
  <si>
    <t>Champagne BL3004</t>
  </si>
  <si>
    <t>Dark Pebble BL3007</t>
  </si>
  <si>
    <t>Dusk BL3005</t>
  </si>
  <si>
    <t>Oak BL3006</t>
  </si>
  <si>
    <t>Oatmeal BL3003</t>
  </si>
  <si>
    <t>Silver BL3001</t>
  </si>
  <si>
    <t>Warm Grey BL3002</t>
  </si>
  <si>
    <t>BL2PRD_Colour</t>
  </si>
  <si>
    <t>45mm Single Cellular Blind</t>
  </si>
  <si>
    <t>Blockout Bamboo Print</t>
  </si>
  <si>
    <t>Translucent Crepe Woven</t>
  </si>
  <si>
    <t>Translucent Bamboo Print</t>
  </si>
  <si>
    <t>Translucent Sheer A</t>
  </si>
  <si>
    <t>Translucent Slub Woven</t>
  </si>
  <si>
    <t>Corded Standard 45mm Single</t>
  </si>
  <si>
    <t>Corded Day Night 45mm Single</t>
  </si>
  <si>
    <t>Corded Top Down Bottom Up 45mm Single</t>
  </si>
  <si>
    <t>Cordless Standard 45mm Single</t>
  </si>
  <si>
    <t>Cordless Day Night 45mm Single</t>
  </si>
  <si>
    <t>Cordless Top Down Bottom Up 45mm Single</t>
  </si>
  <si>
    <t>Clutch Standard 45mm Single</t>
  </si>
  <si>
    <t>Clutch Day Night 45mm Single</t>
  </si>
  <si>
    <t>Clutch Top Down Bottom Up 45mm Single</t>
  </si>
  <si>
    <t>Motorised Battery 45mm Single</t>
  </si>
  <si>
    <t>Motorised Hardwired 45mm Single</t>
  </si>
  <si>
    <t>Translucent Lux-Linen</t>
  </si>
  <si>
    <t>Translucent Marble</t>
  </si>
  <si>
    <t>Translucent Sala</t>
  </si>
  <si>
    <t>Translucent Woodgrain</t>
  </si>
  <si>
    <t>Bamboo Print Antique Pewter</t>
  </si>
  <si>
    <t>Bamboo Print Avocado</t>
  </si>
  <si>
    <t>Bamboo Print Dark Chocolate</t>
  </si>
  <si>
    <t>Bamboo Print Dark Gray B</t>
  </si>
  <si>
    <t>Bamboo Print Gray Sheen</t>
  </si>
  <si>
    <t>Bamboo Print Jean Blue</t>
  </si>
  <si>
    <t>Bamboo Print Pongee</t>
  </si>
  <si>
    <t>Bamboo Print Royal Gray</t>
  </si>
  <si>
    <t>Bamboo Print Sticks &amp; Stones</t>
  </si>
  <si>
    <t>Cornsilk A</t>
  </si>
  <si>
    <t>Espresso A</t>
  </si>
  <si>
    <t>Fawn A</t>
  </si>
  <si>
    <t>Fire Brick A</t>
  </si>
  <si>
    <t>Light Aquamarine</t>
  </si>
  <si>
    <t>Light Olive Green</t>
  </si>
  <si>
    <t>Mink A</t>
  </si>
  <si>
    <t>Royal Gray A</t>
  </si>
  <si>
    <t>Sangria A</t>
  </si>
  <si>
    <t>Tumbleweed</t>
  </si>
  <si>
    <t>Antique Red</t>
  </si>
  <si>
    <t>Bottle Of Bordeaux</t>
  </si>
  <si>
    <t>Fresh Brew</t>
  </si>
  <si>
    <t>In The Navy</t>
  </si>
  <si>
    <t>Poppyseed</t>
  </si>
  <si>
    <t>Salamander</t>
  </si>
  <si>
    <t>Silhouette</t>
  </si>
  <si>
    <t>Silken Peacock</t>
  </si>
  <si>
    <t>Stormy Sky</t>
  </si>
  <si>
    <t>Argos White</t>
  </si>
  <si>
    <t>Gray White</t>
  </si>
  <si>
    <t>Passive White</t>
  </si>
  <si>
    <t>Stone Harbour</t>
  </si>
  <si>
    <t>Stormy Gray</t>
  </si>
  <si>
    <t>Amazing Worldly Gray</t>
  </si>
  <si>
    <t>Gray Online</t>
  </si>
  <si>
    <t>Gray Ponder</t>
  </si>
  <si>
    <t>Passive</t>
  </si>
  <si>
    <t>Worldly Gray</t>
  </si>
  <si>
    <t>Accessible Beige</t>
  </si>
  <si>
    <t>Amazing Gray</t>
  </si>
  <si>
    <t>Gray Matters</t>
  </si>
  <si>
    <t>Gray Screen</t>
  </si>
  <si>
    <t>Tony Taupe</t>
  </si>
  <si>
    <t xml:space="preserve">Poppyseed </t>
  </si>
  <si>
    <t>Chantilly Lace</t>
  </si>
  <si>
    <t>Cotswold</t>
  </si>
  <si>
    <t>Hazy Skies</t>
  </si>
  <si>
    <t>Taos Taupe</t>
  </si>
  <si>
    <t>Gray Sheen</t>
  </si>
  <si>
    <t xml:space="preserve"> 45mm Single Cell Blockout Standard</t>
  </si>
  <si>
    <t xml:space="preserve"> 38mm Single Cell Blockout Bamboo Print</t>
  </si>
  <si>
    <t xml:space="preserve"> 38mm Single Cell Translucent Crepe Woven</t>
  </si>
  <si>
    <t xml:space="preserve"> 38mm Single Cell Translucent Sheer A</t>
  </si>
  <si>
    <t xml:space="preserve"> 38mm Single Cell Translucent Bamboo Print</t>
  </si>
  <si>
    <t xml:space="preserve"> 38mm Single Cell Translucent Slub Woven</t>
  </si>
  <si>
    <t xml:space="preserve"> 45mm Single Cell Translucent Standard</t>
  </si>
  <si>
    <t xml:space="preserve"> 45mm Single Cell Translucent Marble</t>
  </si>
  <si>
    <t xml:space="preserve"> 45mm Single Cell Translucent Sala</t>
  </si>
  <si>
    <t xml:space="preserve"> 45mm Single Cell Translucent Sheer</t>
  </si>
  <si>
    <t xml:space="preserve"> 45mm Single Cell Translucent Woodgrain</t>
  </si>
  <si>
    <t>Cellular Colour 2 45mm Single Cellular Blind</t>
  </si>
  <si>
    <t>Standard Antique Red</t>
  </si>
  <si>
    <t>Standard Bottle Of Bordeaux</t>
  </si>
  <si>
    <t>Standard Fresh Brew</t>
  </si>
  <si>
    <t>Standard In The Navy</t>
  </si>
  <si>
    <t>Standard Poppyseed</t>
  </si>
  <si>
    <t>Standard Salamander</t>
  </si>
  <si>
    <t>Standard Silhouette</t>
  </si>
  <si>
    <t>Standard Silken Peacock</t>
  </si>
  <si>
    <t>Standard Stormy Sky</t>
  </si>
  <si>
    <t>Standard Federal Blue</t>
  </si>
  <si>
    <t xml:space="preserve"> 38mm Single Cellular Blind Day Night Blockout Colours</t>
  </si>
  <si>
    <t>Sala Argos White</t>
  </si>
  <si>
    <t>Sala Gray White</t>
  </si>
  <si>
    <t>Sala Passive White</t>
  </si>
  <si>
    <t>Sala Stone Harbour</t>
  </si>
  <si>
    <t>Sala Stormy Gray</t>
  </si>
  <si>
    <t>Marble Amazing Worldly Gray</t>
  </si>
  <si>
    <t>Marble Gray Ponder</t>
  </si>
  <si>
    <t>Marble Passive</t>
  </si>
  <si>
    <t>Marble Worldly Gray</t>
  </si>
  <si>
    <t>Marble Gray Online</t>
  </si>
  <si>
    <t>Woodgrain Accessible Beige</t>
  </si>
  <si>
    <t>Woodgrain Amazing Gray</t>
  </si>
  <si>
    <t>Woodgrain Gray Matters</t>
  </si>
  <si>
    <t>Woodgrain Gray Screen</t>
  </si>
  <si>
    <t>Woodgrain Tony Taupe</t>
  </si>
  <si>
    <t>Lux-Linen Chantilly Lace</t>
  </si>
  <si>
    <t>Lux-Linen Cotswold</t>
  </si>
  <si>
    <t>Lux-Linen Cotton</t>
  </si>
  <si>
    <t>Lux-Linen Hazy Skies</t>
  </si>
  <si>
    <t>Lux-Linen Royal Gray A</t>
  </si>
  <si>
    <t>Lux-Linen Taos Taupe</t>
  </si>
  <si>
    <t>Sheer Gray Sheen</t>
  </si>
  <si>
    <t>Sheer A Cotton</t>
  </si>
  <si>
    <t>Sheer A Alabaster</t>
  </si>
  <si>
    <t xml:space="preserve">Sheer A Gray Sheen </t>
  </si>
  <si>
    <t xml:space="preserve">Sheer A Snow White </t>
  </si>
  <si>
    <t>Slub Woven Alabaster</t>
  </si>
  <si>
    <t>Slub Woven Black</t>
  </si>
  <si>
    <t>Slub Woven Cocoa</t>
  </si>
  <si>
    <t>Slub Woven Cotton</t>
  </si>
  <si>
    <t xml:space="preserve">Slub Woven Gray Sheen </t>
  </si>
  <si>
    <t>Crepe Woven Chocolate</t>
  </si>
  <si>
    <t>Crepe Woven Cornsilk A</t>
  </si>
  <si>
    <t>Crepe Woven Cotton</t>
  </si>
  <si>
    <t>Crepe Woven Espresso A</t>
  </si>
  <si>
    <t>Crepe Woven Fawn A</t>
  </si>
  <si>
    <t>Crepe Woven Fire Brick A</t>
  </si>
  <si>
    <t>Crepe Woven Light Aquamarine</t>
  </si>
  <si>
    <t>Crepe Woven Light Olive Green</t>
  </si>
  <si>
    <t>Crepe Woven Mink A</t>
  </si>
  <si>
    <t>Crepe Woven Royal Gray A</t>
  </si>
  <si>
    <t>Crepe Woven Sangria A</t>
  </si>
  <si>
    <t>Crepe Woven Tumbleweed</t>
  </si>
  <si>
    <t>45mm Single</t>
  </si>
  <si>
    <t>Anthracite</t>
  </si>
  <si>
    <t>Antique Pewter</t>
  </si>
  <si>
    <t>Cloak Gray</t>
  </si>
  <si>
    <t>Cyberspace</t>
  </si>
  <si>
    <t>Dark Chocolate</t>
  </si>
  <si>
    <t>Pier</t>
  </si>
  <si>
    <t>Roycroft Bottle Green</t>
  </si>
  <si>
    <t>Roycroft Mist Gray</t>
  </si>
  <si>
    <t>Sticks &amp; Stones</t>
  </si>
  <si>
    <t>Warm Cocoa</t>
  </si>
  <si>
    <t>Aqua Glass</t>
  </si>
  <si>
    <t>Buff Yellow</t>
  </si>
  <si>
    <t>Crystal Pink</t>
  </si>
  <si>
    <t>Gray Ridge</t>
  </si>
  <si>
    <t>Orion Blue</t>
  </si>
  <si>
    <t>Frech Press</t>
  </si>
  <si>
    <t>Standard Anthracite</t>
  </si>
  <si>
    <t>Standard Antique Pewter</t>
  </si>
  <si>
    <t>Standard Cloak Gray</t>
  </si>
  <si>
    <t>Standard Cyberspace</t>
  </si>
  <si>
    <t>Standard Dark Chocolate</t>
  </si>
  <si>
    <t>Standard Pier</t>
  </si>
  <si>
    <t>Standard Roycroft Bottle Green</t>
  </si>
  <si>
    <t>Standard Roycroft Mist Gray</t>
  </si>
  <si>
    <t>Standard Sticks &amp; Stones</t>
  </si>
  <si>
    <t>Standard Warm Cocoa</t>
  </si>
  <si>
    <t>Standard White Dove</t>
  </si>
  <si>
    <t>Linen Royal Gray</t>
  </si>
  <si>
    <t>Sheer Anthracite</t>
  </si>
  <si>
    <t>Woven Anthracite</t>
  </si>
  <si>
    <t>Woven Antique Pewter</t>
  </si>
  <si>
    <t>Woven Frech Press</t>
  </si>
  <si>
    <t>Woven Ironstone</t>
  </si>
  <si>
    <t>Woven White Dove</t>
  </si>
  <si>
    <t>Standard Aqua Glass</t>
  </si>
  <si>
    <t>Standard Buff Yellow</t>
  </si>
  <si>
    <t>Standard Crystal Pink</t>
  </si>
  <si>
    <t>Standard Gray Ridge</t>
  </si>
  <si>
    <t>Standard Orion Blue</t>
  </si>
  <si>
    <t>Sheer Avocado</t>
  </si>
  <si>
    <t>Sheer Black</t>
  </si>
  <si>
    <t xml:space="preserve">Sheer Gray Sheen </t>
  </si>
  <si>
    <t>Sheer Pink Flamingo</t>
  </si>
  <si>
    <t xml:space="preserve">Sheer Pink Flamingo </t>
  </si>
  <si>
    <t xml:space="preserve">Sheer Avocado </t>
  </si>
  <si>
    <t xml:space="preserve"> 45mm Single Cell Translucent Lux_Linen</t>
  </si>
  <si>
    <t>Motorised Standard</t>
  </si>
  <si>
    <t>Motorised Day Night</t>
  </si>
  <si>
    <t>Motorised Top Down, Bottom Up</t>
  </si>
  <si>
    <t>Motorised Standard 38mm Double</t>
  </si>
  <si>
    <t>Motorised Day Night 38mm Double</t>
  </si>
  <si>
    <t>Motorised Top Down Bottom Up 38mm Double</t>
  </si>
  <si>
    <t>Motorised Standard 38mm Single</t>
  </si>
  <si>
    <t>Motorised Day Night 38mm Single</t>
  </si>
  <si>
    <t>Motorised Top Down Bottom Up 38mm Single</t>
  </si>
  <si>
    <t>Motorised Standard 25mm Single</t>
  </si>
  <si>
    <t>Motorised Day Night 25mm Single</t>
  </si>
  <si>
    <t>Motorised Top Down Bottom Up 25mm Single</t>
  </si>
  <si>
    <t>Motorised Standard 45mm Single</t>
  </si>
  <si>
    <t>Motorised Day Night 45mm Single</t>
  </si>
  <si>
    <t>Motorised Top Down Bottom Up 45mm Single</t>
  </si>
  <si>
    <t>Control Motorised</t>
  </si>
  <si>
    <t>Katrina Sosa</t>
  </si>
  <si>
    <t>Beth Boord</t>
  </si>
  <si>
    <t>Control Motorised DNTDBU</t>
  </si>
  <si>
    <t>Semi Blockout Grain</t>
  </si>
  <si>
    <t>Semi Blockout Textured</t>
  </si>
  <si>
    <t>Privacy Textured</t>
  </si>
  <si>
    <t>Privacy Grain</t>
  </si>
  <si>
    <t>Privacy Large</t>
  </si>
  <si>
    <t>Semi Blockout</t>
  </si>
  <si>
    <t>Privacy Standard</t>
  </si>
  <si>
    <t>Blonde BL4602</t>
  </si>
  <si>
    <t>Dust BL4604</t>
  </si>
  <si>
    <t>Snow BL4600</t>
  </si>
  <si>
    <t>Frost BL4601</t>
  </si>
  <si>
    <t>Pebble BL4611</t>
  </si>
  <si>
    <t>BL46_Colour</t>
  </si>
  <si>
    <t>Oat BL4803</t>
  </si>
  <si>
    <t>Iron BL4806</t>
  </si>
  <si>
    <t>Pale BL5202</t>
  </si>
  <si>
    <t>Cream BL5203</t>
  </si>
  <si>
    <t>Hazel BL5205</t>
  </si>
  <si>
    <t>Chiffon BL5206</t>
  </si>
  <si>
    <t>Smoky BL5208</t>
  </si>
  <si>
    <t>Ocean BL5209</t>
  </si>
  <si>
    <t>Royal BL5210</t>
  </si>
  <si>
    <t>Leather BL5211</t>
  </si>
  <si>
    <t>Porcelain BL5001</t>
  </si>
  <si>
    <t>Lace BL5002</t>
  </si>
  <si>
    <t>Linen BL5003</t>
  </si>
  <si>
    <t>Coin BL5004</t>
  </si>
  <si>
    <t>Shadow BL5006</t>
  </si>
  <si>
    <t>Biscuit BL5802</t>
  </si>
  <si>
    <t>Honey BL5803</t>
  </si>
  <si>
    <t>Seal BL5805</t>
  </si>
  <si>
    <t>Spruce BL5806</t>
  </si>
  <si>
    <t>Steel Blue BL5807</t>
  </si>
  <si>
    <t>Powder SP101</t>
  </si>
  <si>
    <t>Umber SP104</t>
  </si>
  <si>
    <t>Pearl SP1001</t>
  </si>
  <si>
    <t>Pewter SP1003</t>
  </si>
  <si>
    <t>Hazelnut SH202</t>
  </si>
  <si>
    <t>Fawn SH203</t>
  </si>
  <si>
    <t>Cedar SH206</t>
  </si>
  <si>
    <t>Cloud BL4801</t>
  </si>
  <si>
    <t>Dove BL4802</t>
  </si>
  <si>
    <t>Stone BL4804</t>
  </si>
  <si>
    <t>Hazy BL4805</t>
  </si>
  <si>
    <t>Daisy BL5201</t>
  </si>
  <si>
    <t>Bone BL5204</t>
  </si>
  <si>
    <t>Ashen BL5207</t>
  </si>
  <si>
    <t>Coffee BL5005</t>
  </si>
  <si>
    <t>Bright Silver BL5801</t>
  </si>
  <si>
    <t>Steel Grey BL5804</t>
  </si>
  <si>
    <t>Jet Black BL5808</t>
  </si>
  <si>
    <t>Beige SP102</t>
  </si>
  <si>
    <t>Lead SP103</t>
  </si>
  <si>
    <t>Buttermilk SP1002</t>
  </si>
  <si>
    <t>Wood SP1004</t>
  </si>
  <si>
    <t>Coconut SH201</t>
  </si>
  <si>
    <t>Soft Grey SH204</t>
  </si>
  <si>
    <t>Graphite SH205</t>
  </si>
  <si>
    <t>Multi Shade, Semi Blockout Grain</t>
  </si>
  <si>
    <t>BL48_Colour</t>
  </si>
  <si>
    <t>Multi Shade, Semi Blockout Textured</t>
  </si>
  <si>
    <t>BL52_Colour</t>
  </si>
  <si>
    <t>Multi Shade, Privacy Textured</t>
  </si>
  <si>
    <t>Multi Shade, Privacy Grain</t>
  </si>
  <si>
    <t>Triple Shade, Jacquard Weave</t>
  </si>
  <si>
    <t>BL50_Colour</t>
  </si>
  <si>
    <t>Multi Shade, Privacy Large</t>
  </si>
  <si>
    <t>Triple Shade, Semi Blockout</t>
  </si>
  <si>
    <t>Triple Shade, Privacy Standard</t>
  </si>
  <si>
    <t>BL58_Colour</t>
  </si>
  <si>
    <t>SP1_Colour</t>
  </si>
  <si>
    <t>SP10_Colour</t>
  </si>
  <si>
    <t>SH2_Colour</t>
  </si>
  <si>
    <t>Privacy/Blockout Standard</t>
  </si>
  <si>
    <t>Privacy/Blockout Woven</t>
  </si>
  <si>
    <t>Powered Operated Motor With Power Adapter (Hardwired Motor) - Left Side Wand</t>
  </si>
  <si>
    <t>Powered Operated Motor With Power Adapter (Hardwired Motor) - Right Side Wand</t>
  </si>
  <si>
    <t>Powered Operated Motor With Power Adapter (Hardwired Motor) - Remote</t>
  </si>
  <si>
    <t>Powered Operated Motor With Power Adapter (Hardwired Motor) - No Remote</t>
  </si>
  <si>
    <t>Rechargeable Battery Operated Motor With Power Adapter - Left Side Wand</t>
  </si>
  <si>
    <t>Rechargeable Battery Operated Motor With Power Adapter - Right Side Wand</t>
  </si>
  <si>
    <t>Rechargeable Battery Operated Motor With Power Adapter - Remote</t>
  </si>
  <si>
    <t>Rechargeable Battery Operated Motor With Power Adapter - No Remote</t>
  </si>
  <si>
    <t>45mm Single Cellular Cell In A Cell Blind</t>
  </si>
  <si>
    <t>Corded Standard 45mm Single Cell In A Cell</t>
  </si>
  <si>
    <t>Corded Day Night 45mm Single Cell In A Cell</t>
  </si>
  <si>
    <t>Corded Top Down Bottom Up 45mm Single Cell In A Cell</t>
  </si>
  <si>
    <t>Cordless Standard 45mm Single Cell In A Cell</t>
  </si>
  <si>
    <t>Cordless Day Night 45mm Single Cell In A Cell</t>
  </si>
  <si>
    <t>Cordless Top Down Bottom Up 45mm Single Cell In A Cell</t>
  </si>
  <si>
    <t>Clutch Standard 45mm Single Cell In A Cell</t>
  </si>
  <si>
    <t>Clutch Day Night 45mm Single Cell In A Cell</t>
  </si>
  <si>
    <t>Clutch Top Down Bottom Up 45mm Single Cell In A Cell</t>
  </si>
  <si>
    <t>Motorised Battery 45mm Single Cell In A Cell</t>
  </si>
  <si>
    <t>Motorised Hardwired 45mm Single Cell In A Cell</t>
  </si>
  <si>
    <t>Motorised Standard 45mm Single Cell In A Cell</t>
  </si>
  <si>
    <t>Motorised Day Night 45mm Single Cell In A Cell</t>
  </si>
  <si>
    <t>Motorised Top Down Bottom Up 45mm Single Cell In A Cell</t>
  </si>
  <si>
    <t>Blockout Sala</t>
  </si>
  <si>
    <t>Blockout Marble</t>
  </si>
  <si>
    <t>Blockout Woodgrain</t>
  </si>
  <si>
    <t>Blockout Lux-Linen</t>
  </si>
  <si>
    <t>Blockout Woodgrain Linen</t>
  </si>
  <si>
    <t>Translucent Woodgrain Linen</t>
  </si>
  <si>
    <t>Acacia Haze</t>
  </si>
  <si>
    <t>Gourmet Chocolate</t>
  </si>
  <si>
    <t>Gray Moss</t>
  </si>
  <si>
    <t>Navy</t>
  </si>
  <si>
    <t>Plebian Blue</t>
  </si>
  <si>
    <t>Stallion</t>
  </si>
  <si>
    <t>Wild Ginger</t>
  </si>
  <si>
    <t>Stone Harbor</t>
  </si>
  <si>
    <t>Blanched Almond A</t>
  </si>
  <si>
    <t>Beige B</t>
  </si>
  <si>
    <t>Coral Black</t>
  </si>
  <si>
    <t>Dawn Gray</t>
  </si>
  <si>
    <t>Blue Wind</t>
  </si>
  <si>
    <t>Light Walnut</t>
  </si>
  <si>
    <t>Classic Gray</t>
  </si>
  <si>
    <t>Silver Gray</t>
  </si>
  <si>
    <t>Gray Storm</t>
  </si>
  <si>
    <t>Ivory A</t>
  </si>
  <si>
    <t>Taupe B</t>
  </si>
  <si>
    <t>Skylight Cordless</t>
  </si>
  <si>
    <t>Skylight Motorised Remote</t>
  </si>
  <si>
    <t>Multi Shade, Eco Friendly</t>
  </si>
  <si>
    <t>Frosted GRS101</t>
  </si>
  <si>
    <t>Camel GRS102</t>
  </si>
  <si>
    <t>Stormy Grey GRS103</t>
  </si>
  <si>
    <t>Thunder GRS104</t>
  </si>
  <si>
    <t>GRS1_Colour</t>
  </si>
  <si>
    <t>Eco Friendly</t>
  </si>
  <si>
    <t>Skylight Product</t>
  </si>
  <si>
    <t>WindowTypeSkylight</t>
  </si>
  <si>
    <t>Skylight Cordless Control</t>
  </si>
  <si>
    <t>Skylight Motorised Remote Control</t>
  </si>
  <si>
    <t>None - With Extendable Pole (914.4mm - 1676.4mm)</t>
  </si>
  <si>
    <t>Motor Power Side</t>
  </si>
  <si>
    <t>Control Skylight Cordless</t>
  </si>
  <si>
    <t>Control Skylight Motorised Remote</t>
  </si>
  <si>
    <t>Motor Side Table</t>
  </si>
  <si>
    <t>Motor Side Yes</t>
  </si>
  <si>
    <t>Motor Side No</t>
  </si>
  <si>
    <t>Motor Side</t>
  </si>
  <si>
    <t xml:space="preserve">Standard Poppyseed </t>
  </si>
  <si>
    <t>Woodgrain Linen Blanched Almond A</t>
  </si>
  <si>
    <t>Woodgrain Linen Coral Black</t>
  </si>
  <si>
    <t>Woodgrain Linen Dawn Gray</t>
  </si>
  <si>
    <t>Woodgrain Linen Light Walnut</t>
  </si>
  <si>
    <t>Woodgrain Linen Silver Gray</t>
  </si>
  <si>
    <t>Sala Stone Harbor</t>
  </si>
  <si>
    <t>Standard Beige B</t>
  </si>
  <si>
    <t>Standard Blue Wind</t>
  </si>
  <si>
    <t>Standard Classic Gray</t>
  </si>
  <si>
    <t>Standard Gray Storm</t>
  </si>
  <si>
    <t>Standard Ivory A</t>
  </si>
  <si>
    <t>Standard Taupe B</t>
  </si>
  <si>
    <t>Bamboo Antique Pewter</t>
  </si>
  <si>
    <t>Bamboo Sticks &amp; Stones</t>
  </si>
  <si>
    <t xml:space="preserve"> 45mm Single Cellular Blind Day Night Blockout Colours</t>
  </si>
  <si>
    <t xml:space="preserve"> 45mm Cell In A Cell Cellular Blind Day Night Blockout Colours</t>
  </si>
  <si>
    <t>Crepe Woven Acacia Haze</t>
  </si>
  <si>
    <t>Crepe Woven Anthracite</t>
  </si>
  <si>
    <t>Crepe Woven Gourmet Chocolate</t>
  </si>
  <si>
    <t>Crepe Woven Gray Moss</t>
  </si>
  <si>
    <t>Crepe Woven Navy</t>
  </si>
  <si>
    <t>Crepe Woven Plebian Blue</t>
  </si>
  <si>
    <t>Crepe Woven Stallion</t>
  </si>
  <si>
    <t>Crepe Woven Wild Ginger</t>
  </si>
  <si>
    <t>Cellular Colour 2 45mm Cell In A Cell Cellular Blind</t>
  </si>
  <si>
    <t xml:space="preserve"> 45mm Single Cell Blockout Woodgrain</t>
  </si>
  <si>
    <t xml:space="preserve"> 45mm Single Cell Translucent Crepe Woven</t>
  </si>
  <si>
    <t xml:space="preserve"> 45mm Single Cell Translucent Woodgrain Linen</t>
  </si>
  <si>
    <t xml:space="preserve"> 45mm Single Cell Blockout Woodgrain Linen</t>
  </si>
  <si>
    <t xml:space="preserve"> 45mm Single Cell Blockout Marble</t>
  </si>
  <si>
    <t xml:space="preserve"> 45mm Single Cell Blockout Sala</t>
  </si>
  <si>
    <t xml:space="preserve"> 45mm Single Cell Translucent Cell In A Cell</t>
  </si>
  <si>
    <t xml:space="preserve"> 45mm Single Cell Cell In A Cell Translucent Bamboo</t>
  </si>
  <si>
    <t xml:space="preserve"> 45mm Single Cell Cell In A Cell Blockout</t>
  </si>
  <si>
    <t xml:space="preserve"> 45mm Single Cell Cell In A Cell Blockout Bamboo</t>
  </si>
  <si>
    <t>Privacy Luxe</t>
  </si>
  <si>
    <t>Privacy Textured Grain</t>
  </si>
  <si>
    <t>Privacy Natural</t>
  </si>
  <si>
    <t>BK10_Colour</t>
  </si>
  <si>
    <t>BK50_Colour</t>
  </si>
  <si>
    <t>BK20_Colour</t>
  </si>
  <si>
    <t>Amber Gold BK104</t>
  </si>
  <si>
    <t>Brass BK106</t>
  </si>
  <si>
    <t>Dark Cedar BK108</t>
  </si>
  <si>
    <t>Fudge BK107</t>
  </si>
  <si>
    <t>Hazelwood BK105</t>
  </si>
  <si>
    <t>Light Cream BK103</t>
  </si>
  <si>
    <t>Raven BK109</t>
  </si>
  <si>
    <t>Smoke White BK101</t>
  </si>
  <si>
    <t>Sterling BK102</t>
  </si>
  <si>
    <t>Chestnut BK504</t>
  </si>
  <si>
    <t>Chromium BK501</t>
  </si>
  <si>
    <t>Coal BK503</t>
  </si>
  <si>
    <t>Light Slate BK502</t>
  </si>
  <si>
    <t>Charcoal Grey BK207</t>
  </si>
  <si>
    <t>Chrome Grey BK204</t>
  </si>
  <si>
    <t>Classic Silver BK202</t>
  </si>
  <si>
    <t>Cookie BK205</t>
  </si>
  <si>
    <t>Dark Brown BK206</t>
  </si>
  <si>
    <t>Elephant Grey BK203</t>
  </si>
  <si>
    <t>Intense Black BK208</t>
  </si>
  <si>
    <t>Pearl Grey BK201</t>
  </si>
  <si>
    <t>Multi Shade, Privacy Textured Grain</t>
  </si>
  <si>
    <t>Multi Shade, Privacy Luxe</t>
  </si>
  <si>
    <t>Multi Shade, Privacy Natural</t>
  </si>
  <si>
    <t>Roma Shade</t>
  </si>
  <si>
    <t>Roma Shade Finish</t>
  </si>
  <si>
    <t>Monti</t>
  </si>
  <si>
    <t>Prati</t>
  </si>
  <si>
    <t>Termini</t>
  </si>
  <si>
    <t>Tridente</t>
  </si>
  <si>
    <t>Trullo</t>
  </si>
  <si>
    <t>Monte Grappa White</t>
  </si>
  <si>
    <t>Light Grey</t>
  </si>
  <si>
    <t>Dark Grey</t>
  </si>
  <si>
    <t>Mont Blanc White</t>
  </si>
  <si>
    <t>Soft Sand</t>
  </si>
  <si>
    <t>Night</t>
  </si>
  <si>
    <t>Mount Etna White</t>
  </si>
  <si>
    <t>Monti_Colour</t>
  </si>
  <si>
    <t>Prati_Colour</t>
  </si>
  <si>
    <t>Termini_Colour</t>
  </si>
  <si>
    <t>Tridente_Colour</t>
  </si>
  <si>
    <t>Headbox</t>
  </si>
  <si>
    <t>Roma Shade Headbox</t>
  </si>
  <si>
    <t>50mm Timber Blind</t>
  </si>
  <si>
    <t>50mm Venetian</t>
  </si>
  <si>
    <t>63mm Venetian</t>
  </si>
  <si>
    <t>50mm Bright White</t>
  </si>
  <si>
    <t>50mm Classic White</t>
  </si>
  <si>
    <t>50mm Earl Grey</t>
  </si>
  <si>
    <t>50mm Snow White</t>
  </si>
  <si>
    <t>50mm Super White</t>
  </si>
  <si>
    <t>50mm Beechwood</t>
  </si>
  <si>
    <t>50mm Cedar Image Medium</t>
  </si>
  <si>
    <t>50mm Maple</t>
  </si>
  <si>
    <t>50mm Riva</t>
  </si>
  <si>
    <t>50mm Walnut</t>
  </si>
  <si>
    <t>63mm Snow White</t>
  </si>
  <si>
    <t>63mm Super White</t>
  </si>
  <si>
    <t xml:space="preserve"> 45mm Single Cell Blockout Lux_Linen</t>
  </si>
  <si>
    <t>FittingBoth</t>
  </si>
  <si>
    <t>FittingRecess</t>
  </si>
  <si>
    <t>Fitting Select</t>
  </si>
  <si>
    <t>Transition Blinds &amp; Roma Shades</t>
  </si>
  <si>
    <t>Transition Range Blinds &amp; Roma Shades</t>
  </si>
  <si>
    <t>U Channels</t>
  </si>
  <si>
    <t>UChannelNA</t>
  </si>
  <si>
    <t>UChannelYes</t>
  </si>
  <si>
    <t>Left &amp; Right Sides</t>
  </si>
  <si>
    <t>Left &amp; Right Sides &amp; Bottom</t>
  </si>
  <si>
    <t>ChannelYes</t>
  </si>
  <si>
    <t>ChannelNo</t>
  </si>
  <si>
    <t>Lookup Channel</t>
  </si>
  <si>
    <t>ChannelNAYes</t>
  </si>
  <si>
    <t>U Channel Sizes</t>
  </si>
  <si>
    <t>TOTAL</t>
  </si>
  <si>
    <t>Total Metres (m)</t>
  </si>
  <si>
    <t>RecessFace</t>
  </si>
  <si>
    <t>U Channels Select</t>
  </si>
  <si>
    <t>U Channel Product</t>
  </si>
  <si>
    <t>Deduction</t>
  </si>
  <si>
    <t>Yes Or No</t>
  </si>
  <si>
    <t>Rechargeable USB-C Operated Motor with Wand and Remote Control - Left Side</t>
  </si>
  <si>
    <t>Rechargeable USB-C Operated Motor with Wand and Remote Control - Right Side</t>
  </si>
  <si>
    <t>Control Normal</t>
  </si>
  <si>
    <t>Control Motorised With USB</t>
  </si>
  <si>
    <t>Control Cordless Top Down  Bottom Up</t>
  </si>
  <si>
    <t>Control Corded Top Down  Bottom Up</t>
  </si>
  <si>
    <t>Control Clutch Top Down  Bottom Up</t>
  </si>
  <si>
    <t>Rechargeable Battery Operated Motor With Wand Control &amp; USB-C Power Adapter With Remote - Left Side Wand</t>
  </si>
  <si>
    <t>Rechargeable Battery Operated Motor With Wand Control &amp; USB-C Power Adapter With Remote - Right Side Wand</t>
  </si>
  <si>
    <t>Motor Left</t>
  </si>
  <si>
    <t>Motor Right</t>
  </si>
  <si>
    <t>Minimum</t>
  </si>
  <si>
    <t>Width</t>
  </si>
  <si>
    <t>Check Size Calc</t>
  </si>
  <si>
    <t>Minimum Width</t>
  </si>
  <si>
    <t>Maximum Width</t>
  </si>
  <si>
    <t>Minimum Height</t>
  </si>
  <si>
    <t>Maximum Height</t>
  </si>
  <si>
    <t>Height</t>
  </si>
  <si>
    <t>Side U Channels</t>
  </si>
  <si>
    <t>Side U Channel Colour</t>
  </si>
  <si>
    <t>SIDE U CHANNEL SIZES</t>
  </si>
  <si>
    <t>Side U Channel Metres (m)</t>
  </si>
  <si>
    <t>White/Snow White</t>
  </si>
  <si>
    <t>Ivory/Classic White</t>
  </si>
  <si>
    <t>Gray/Earl Gray</t>
  </si>
  <si>
    <t>CordlockNoCordless</t>
  </si>
  <si>
    <t>CordlockYesCordless</t>
  </si>
  <si>
    <t>Cordless</t>
  </si>
  <si>
    <t>Cord Lock Select</t>
  </si>
  <si>
    <t>TiltCordless</t>
  </si>
  <si>
    <t>Tilt Select</t>
  </si>
  <si>
    <t>Cordless Hook Wand Left</t>
  </si>
  <si>
    <t>Cordless Hook Wand Right</t>
  </si>
  <si>
    <t>Motor Position</t>
  </si>
  <si>
    <t>Guide Option</t>
  </si>
  <si>
    <t>Pelmet Type</t>
  </si>
  <si>
    <t>Pelmet Height</t>
  </si>
  <si>
    <t>Pelmet Depth</t>
  </si>
  <si>
    <t>Blade Type</t>
  </si>
  <si>
    <t>Blade Colour</t>
  </si>
  <si>
    <t>Mounting</t>
  </si>
  <si>
    <t>C Profile 60mm Blade C60</t>
  </si>
  <si>
    <t>C Profile 80mm Blade C80</t>
  </si>
  <si>
    <t>CR Profile 65mm Blade CR65</t>
  </si>
  <si>
    <t>CR Profile 80mm Blade CR80</t>
  </si>
  <si>
    <t>ZR Profile 105mm Blade ZR105</t>
  </si>
  <si>
    <t>Top Fit</t>
  </si>
  <si>
    <t>Cable Guide</t>
  </si>
  <si>
    <t>Guide Profile</t>
  </si>
  <si>
    <t>CCRProfileGuideOption</t>
  </si>
  <si>
    <t>ZRProfileGuideOption</t>
  </si>
  <si>
    <t>GuidSelect</t>
  </si>
  <si>
    <t>L Profile</t>
  </si>
  <si>
    <t>U Profile</t>
  </si>
  <si>
    <t>No Pelmet</t>
  </si>
  <si>
    <t>EVBPelmet</t>
  </si>
  <si>
    <t>CCRColours</t>
  </si>
  <si>
    <t>ZRColour</t>
  </si>
  <si>
    <t>GuideSelect</t>
  </si>
  <si>
    <t>ColourSelect</t>
  </si>
  <si>
    <t>Colour Select</t>
  </si>
  <si>
    <t>Grey PWD 8</t>
  </si>
  <si>
    <t>Silver PWD 6</t>
  </si>
  <si>
    <t>Cprofile</t>
  </si>
  <si>
    <t>Internal Aluminium Venetian Blinds</t>
  </si>
  <si>
    <t>External Aluminium Venetian Blinds</t>
  </si>
  <si>
    <t>IVBAluminiumProduct</t>
  </si>
  <si>
    <t>25mm Aluminium C Profile Blade Blind</t>
  </si>
  <si>
    <t>25mm Aluminium L Profile Blade Blind</t>
  </si>
  <si>
    <t>PWD 2600</t>
  </si>
  <si>
    <t>PWD 2901</t>
  </si>
  <si>
    <t>PWD 6010</t>
  </si>
  <si>
    <t>PWD 7003</t>
  </si>
  <si>
    <t>PWD 2806</t>
  </si>
  <si>
    <t>PWD 18011</t>
  </si>
  <si>
    <t>PWD 18012</t>
  </si>
  <si>
    <t>PWD 19001</t>
  </si>
  <si>
    <t>PWD 18010</t>
  </si>
  <si>
    <t>PWD 9003</t>
  </si>
  <si>
    <t>PWD 9018</t>
  </si>
  <si>
    <t>PWD 9019</t>
  </si>
  <si>
    <t>PWD 21005</t>
  </si>
  <si>
    <t>PWD 21006</t>
  </si>
  <si>
    <t>PWD 21007</t>
  </si>
  <si>
    <t>PWD 2601</t>
  </si>
  <si>
    <t>PWD 2659</t>
  </si>
  <si>
    <t>PWD 6001</t>
  </si>
  <si>
    <t>PWD 2300</t>
  </si>
  <si>
    <t>PWD 9012</t>
  </si>
  <si>
    <t>PWD 2807</t>
  </si>
  <si>
    <t>PWD 18001</t>
  </si>
  <si>
    <t>PWD 18002</t>
  </si>
  <si>
    <t>PWD 18003</t>
  </si>
  <si>
    <t>PWD 21003</t>
  </si>
  <si>
    <t>PWD 2602</t>
  </si>
  <si>
    <t>PWD 6003</t>
  </si>
  <si>
    <t>PWD 2301</t>
  </si>
  <si>
    <t>PWD 9006</t>
  </si>
  <si>
    <t>PWD 9011</t>
  </si>
  <si>
    <t>PWD 9016</t>
  </si>
  <si>
    <t>PWD 18005</t>
  </si>
  <si>
    <t>PWD 18006</t>
  </si>
  <si>
    <t>PWD 18007</t>
  </si>
  <si>
    <t>PWD 18008</t>
  </si>
  <si>
    <t>PWD 18009</t>
  </si>
  <si>
    <t>PWD 9015</t>
  </si>
  <si>
    <t>PWD 18021</t>
  </si>
  <si>
    <t>PWD 18022</t>
  </si>
  <si>
    <t>PWD 18023</t>
  </si>
  <si>
    <t>PWD 19007</t>
  </si>
  <si>
    <t>PWD 21010</t>
  </si>
  <si>
    <t>PWD 2906</t>
  </si>
  <si>
    <t>PWD 2907</t>
  </si>
  <si>
    <t>PWD 7006</t>
  </si>
  <si>
    <t>PWD 9010</t>
  </si>
  <si>
    <t>PWD 2902</t>
  </si>
  <si>
    <t>PWD 6007</t>
  </si>
  <si>
    <t>PWD 2306</t>
  </si>
  <si>
    <t>PWD 9007</t>
  </si>
  <si>
    <t>PWD 9021</t>
  </si>
  <si>
    <t>PWD 18016</t>
  </si>
  <si>
    <t>PWD 18017</t>
  </si>
  <si>
    <t>PWD 19005</t>
  </si>
  <si>
    <t>PWD 9005</t>
  </si>
  <si>
    <t>PWD 9022</t>
  </si>
  <si>
    <t>PWD 9017</t>
  </si>
  <si>
    <t>PWD 9020</t>
  </si>
  <si>
    <t>PWD 21008</t>
  </si>
  <si>
    <t>PWD 21009</t>
  </si>
  <si>
    <t>PWD 3500</t>
  </si>
  <si>
    <t>PWD 3050</t>
  </si>
  <si>
    <t>PWD 3511</t>
  </si>
  <si>
    <t>PWD 3703</t>
  </si>
  <si>
    <t>PWD 3553</t>
  </si>
  <si>
    <t>PWD 8305</t>
  </si>
  <si>
    <t>PWD 3501</t>
  </si>
  <si>
    <t>PWD 3051</t>
  </si>
  <si>
    <t>PWD 3521</t>
  </si>
  <si>
    <t>PWD 39006</t>
  </si>
  <si>
    <t>PWD 3502</t>
  </si>
  <si>
    <t>PWD 3522</t>
  </si>
  <si>
    <t>PWD 8302</t>
  </si>
  <si>
    <t>PWD 3508</t>
  </si>
  <si>
    <t>PWD 39009</t>
  </si>
  <si>
    <t>PWD 3510</t>
  </si>
  <si>
    <t>PWD 3503</t>
  </si>
  <si>
    <t>PWD 3523</t>
  </si>
  <si>
    <t>PWD 5620</t>
  </si>
  <si>
    <t>PWD 5116</t>
  </si>
  <si>
    <t>PWD 5020</t>
  </si>
  <si>
    <t>PWD 53006</t>
  </si>
  <si>
    <t>PWD 5601</t>
  </si>
  <si>
    <t>PWD 5001</t>
  </si>
  <si>
    <t>PWD 5602</t>
  </si>
  <si>
    <t>PWD 5002</t>
  </si>
  <si>
    <t>PWD 55002</t>
  </si>
  <si>
    <t>PWD 5607</t>
  </si>
  <si>
    <t>PWD 55005</t>
  </si>
  <si>
    <t>PWD 55004</t>
  </si>
  <si>
    <t>PWD 5665</t>
  </si>
  <si>
    <t>PWD 59915</t>
  </si>
  <si>
    <t>PWD 59916</t>
  </si>
  <si>
    <t>PWD 53036</t>
  </si>
  <si>
    <t>35mm Aluminium C Profile Blade Blind</t>
  </si>
  <si>
    <t>50mm Aluminium C Profile Blade Blind</t>
  </si>
  <si>
    <t>50mm Aluminium L Profile Blade Blind</t>
  </si>
  <si>
    <t>Control25mm</t>
  </si>
  <si>
    <t>Motorised</t>
  </si>
  <si>
    <t>Control35mm</t>
  </si>
  <si>
    <t>Chain Control</t>
  </si>
  <si>
    <t>Control50mm</t>
  </si>
  <si>
    <t>Pull Cord</t>
  </si>
  <si>
    <t xml:space="preserve"> 25mmCBladeColour</t>
  </si>
  <si>
    <t xml:space="preserve"> 25mmLBladeColour</t>
  </si>
  <si>
    <t xml:space="preserve"> 25mmSBladeColour</t>
  </si>
  <si>
    <t xml:space="preserve"> 35mmCBladeColour</t>
  </si>
  <si>
    <t xml:space="preserve"> 50mmCBladeColour</t>
  </si>
  <si>
    <t xml:space="preserve"> 50mmLBladeColour</t>
  </si>
  <si>
    <t>Control Select</t>
  </si>
  <si>
    <t>25mm Aluminium S Profile Blade Blind</t>
  </si>
  <si>
    <t>35mm Aluminium S Profile Blade Blind</t>
  </si>
  <si>
    <t xml:space="preserve"> 35mmSBladeColour</t>
  </si>
  <si>
    <t>IVBCordlockSide</t>
  </si>
  <si>
    <t>IVBCordlockNA</t>
  </si>
  <si>
    <t>PWD 2652</t>
  </si>
  <si>
    <t xml:space="preserve"> 30mmLBladeColour</t>
  </si>
  <si>
    <t>PWD 3509</t>
  </si>
  <si>
    <t>PWD 3552</t>
  </si>
  <si>
    <t>PWD 3032</t>
  </si>
  <si>
    <t>30mm Aluminium L Profile Blade Blind</t>
  </si>
  <si>
    <t>Control30mm</t>
  </si>
  <si>
    <t>ControlSideSelect</t>
  </si>
  <si>
    <t>Motor Remote</t>
  </si>
  <si>
    <t>IVBTiltNo</t>
  </si>
  <si>
    <t>IVBTiltYes</t>
  </si>
  <si>
    <t>MotorNo</t>
  </si>
  <si>
    <t>MotorYes</t>
  </si>
  <si>
    <t>Single Remote</t>
  </si>
  <si>
    <t>Multi Remote</t>
  </si>
  <si>
    <t>Motor</t>
  </si>
  <si>
    <t>TiltSelect</t>
  </si>
  <si>
    <t>MotorSelect</t>
  </si>
  <si>
    <t>Internal Aluminium Venetian</t>
  </si>
  <si>
    <t>External Aluminium Venetian</t>
  </si>
  <si>
    <t>Phone: +61 2 9680 7999</t>
  </si>
  <si>
    <t xml:space="preserve"> +61 2 9680 7999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</si>
</sst>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dd/mm/yyyy;@"/>
  </numFmts>
  <fonts count="114">
    <font>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1"/>
    </font>
    <font>
      <b/>
      <sz val="11"/>
      <color indexed="8"/>
      <name val="Calibri"/>
      <family val="2"/>
    </font>
    <font>
      <sz val="11"/>
      <color indexed="10"/>
      <name val="Calibri"/>
      <family val="2"/>
    </font>
    <font>
      <u/>
      <sz val="10"/>
      <color indexed="12"/>
      <name val="Arial"/>
      <family val="2"/>
    </font>
    <font>
      <b/>
      <sz val="10"/>
      <name val="Arial"/>
      <family val="2"/>
    </font>
    <font>
      <sz val="8"/>
      <name val="Arial"/>
      <family val="2"/>
    </font>
    <font>
      <sz val="9"/>
      <color indexed="8"/>
      <name val="Arial"/>
      <family val="2"/>
    </font>
    <font>
      <sz val="9"/>
      <name val="Arial"/>
      <family val="2"/>
    </font>
    <font>
      <b/>
      <sz val="12"/>
      <name val="Arial"/>
      <family val="2"/>
    </font>
    <font>
      <sz val="10"/>
      <name val="Arial"/>
      <family val="2"/>
    </font>
    <font>
      <sz val="9"/>
      <name val="宋体"/>
      <charset val="134"/>
    </font>
    <font>
      <sz val="10"/>
      <color indexed="10"/>
      <name val="Arial"/>
      <family val="2"/>
    </font>
    <font>
      <b/>
      <sz val="16"/>
      <name val="Tahoma"/>
      <family val="2"/>
    </font>
    <font>
      <b/>
      <sz val="12"/>
      <name val="Tahoma"/>
      <family val="2"/>
    </font>
    <font>
      <b/>
      <sz val="11"/>
      <name val="Calibri"/>
      <family val="2"/>
    </font>
    <font>
      <sz val="12"/>
      <name val="Arial"/>
      <family val="2"/>
    </font>
    <font>
      <sz val="12"/>
      <name val="Tahoma"/>
      <family val="2"/>
    </font>
    <font>
      <b/>
      <sz val="12"/>
      <name val="Calibri"/>
      <family val="2"/>
    </font>
    <font>
      <sz val="12"/>
      <name val="Calibri"/>
      <family val="2"/>
    </font>
    <font>
      <sz val="9"/>
      <name val="Tahoma"/>
      <family val="2"/>
    </font>
    <font>
      <b/>
      <sz val="14"/>
      <name val="Tahoma"/>
      <family val="2"/>
    </font>
    <font>
      <b/>
      <sz val="11"/>
      <name val="Tahoma"/>
      <family val="2"/>
    </font>
    <font>
      <sz val="11"/>
      <name val="Calibri"/>
      <family val="2"/>
    </font>
    <font>
      <sz val="11"/>
      <name val="Tahoma"/>
      <family val="2"/>
    </font>
    <font>
      <b/>
      <i/>
      <sz val="12"/>
      <name val="Tahoma"/>
      <family val="2"/>
    </font>
    <font>
      <b/>
      <sz val="14"/>
      <name val="Calibri"/>
      <family val="2"/>
    </font>
    <font>
      <sz val="8"/>
      <color indexed="81"/>
      <name val="Tahoma"/>
      <family val="2"/>
    </font>
    <font>
      <sz val="10"/>
      <name val="Tahoma"/>
      <family val="2"/>
    </font>
    <font>
      <b/>
      <sz val="14"/>
      <name val="Arial"/>
      <family val="2"/>
    </font>
    <font>
      <b/>
      <sz val="20"/>
      <name val="Arial"/>
      <family val="2"/>
    </font>
    <font>
      <b/>
      <sz val="9"/>
      <name val="Arial"/>
      <family val="2"/>
    </font>
    <font>
      <sz val="16"/>
      <name val="Arial"/>
      <family val="2"/>
    </font>
    <font>
      <sz val="16"/>
      <color indexed="10"/>
      <name val="Arial"/>
      <family val="2"/>
    </font>
    <font>
      <sz val="7.5"/>
      <name val="Tahoma"/>
      <family val="2"/>
    </font>
    <font>
      <sz val="9"/>
      <color indexed="81"/>
      <name val="Tahoma"/>
      <family val="2"/>
    </font>
    <font>
      <b/>
      <i/>
      <sz val="10"/>
      <name val="Arial"/>
      <family val="2"/>
    </font>
    <font>
      <b/>
      <sz val="11"/>
      <name val="Calibri"/>
      <family val="2"/>
      <scheme val="minor"/>
    </font>
    <font>
      <b/>
      <sz val="12"/>
      <color rgb="FFFF0000"/>
      <name val="Arial"/>
      <family val="2"/>
    </font>
    <font>
      <b/>
      <sz val="12"/>
      <name val="Calibri"/>
      <family val="2"/>
      <scheme val="minor"/>
    </font>
    <font>
      <sz val="11"/>
      <name val="Calibri"/>
      <family val="2"/>
      <scheme val="minor"/>
    </font>
    <font>
      <b/>
      <sz val="14"/>
      <name val="Calibri"/>
      <family val="2"/>
      <scheme val="minor"/>
    </font>
    <font>
      <b/>
      <i/>
      <sz val="11"/>
      <name val="Calibri"/>
      <family val="2"/>
      <scheme val="minor"/>
    </font>
    <font>
      <i/>
      <sz val="11"/>
      <name val="Calibri"/>
      <family val="2"/>
      <scheme val="minor"/>
    </font>
    <font>
      <b/>
      <i/>
      <sz val="11"/>
      <color indexed="12"/>
      <name val="Calibri"/>
      <family val="2"/>
      <scheme val="minor"/>
    </font>
    <font>
      <i/>
      <sz val="8"/>
      <color indexed="81"/>
      <name val="Tahoma"/>
      <family val="2"/>
    </font>
    <font>
      <b/>
      <i/>
      <sz val="11"/>
      <color rgb="FFFF0000"/>
      <name val="Calibri"/>
      <family val="2"/>
      <scheme val="minor"/>
    </font>
    <font>
      <sz val="12"/>
      <name val="Calibri"/>
      <family val="2"/>
      <scheme val="minor"/>
    </font>
    <font>
      <i/>
      <sz val="11"/>
      <color rgb="FFFF0000"/>
      <name val="Calibri"/>
      <family val="2"/>
      <scheme val="minor"/>
    </font>
    <font>
      <sz val="12"/>
      <color rgb="FFFF0000"/>
      <name val="Tahoma"/>
      <family val="2"/>
    </font>
    <font>
      <b/>
      <sz val="11"/>
      <color theme="1"/>
      <name val="Calibri"/>
      <family val="2"/>
      <scheme val="minor"/>
    </font>
    <font>
      <sz val="12"/>
      <color rgb="FF7030A0"/>
      <name val="Tahoma"/>
      <family val="2"/>
    </font>
    <font>
      <b/>
      <sz val="11"/>
      <color indexed="10"/>
      <name val="Calibri"/>
      <family val="2"/>
      <scheme val="minor"/>
    </font>
    <font>
      <b/>
      <sz val="11"/>
      <color theme="3"/>
      <name val="Calibri"/>
      <family val="2"/>
      <scheme val="minor"/>
    </font>
    <font>
      <b/>
      <sz val="20"/>
      <color theme="8"/>
      <name val="Arial"/>
      <family val="2"/>
    </font>
    <font>
      <b/>
      <sz val="11"/>
      <color indexed="14"/>
      <name val="Calibri"/>
      <family val="2"/>
      <scheme val="minor"/>
    </font>
    <font>
      <b/>
      <sz val="11"/>
      <color indexed="17"/>
      <name val="Calibri"/>
      <family val="2"/>
      <scheme val="minor"/>
    </font>
    <font>
      <b/>
      <sz val="11"/>
      <color indexed="12"/>
      <name val="Calibri"/>
      <family val="2"/>
      <scheme val="minor"/>
    </font>
    <font>
      <b/>
      <sz val="20"/>
      <color theme="2" tint="-0.499984740745262"/>
      <name val="Arial"/>
      <family val="2"/>
    </font>
    <font>
      <i/>
      <sz val="10"/>
      <name val="Arial"/>
      <family val="2"/>
    </font>
    <font>
      <sz val="12"/>
      <color theme="1"/>
      <name val="Tahoma"/>
      <family val="2"/>
    </font>
    <font>
      <sz val="10"/>
      <color rgb="FF00B050"/>
      <name val="Arial"/>
      <family val="2"/>
    </font>
    <font>
      <b/>
      <sz val="11"/>
      <color theme="1"/>
      <name val="Calibri"/>
      <family val="2"/>
    </font>
    <font>
      <sz val="10"/>
      <color rgb="FFFF0000"/>
      <name val="Arial"/>
      <family val="2"/>
    </font>
    <font>
      <sz val="9"/>
      <color rgb="FFFF0000"/>
      <name val="Arial"/>
      <family val="2"/>
    </font>
    <font>
      <sz val="11"/>
      <color rgb="FFFF0000"/>
      <name val="Calibri"/>
      <family val="2"/>
      <scheme val="minor"/>
    </font>
    <font>
      <sz val="10"/>
      <name val="Arial"/>
      <family val="2"/>
    </font>
    <font>
      <b/>
      <i/>
      <sz val="12"/>
      <name val="Arial"/>
      <family val="2"/>
    </font>
    <font>
      <b/>
      <sz val="12"/>
      <name val="Arial"/>
      <family val="2"/>
    </font>
    <font>
      <b/>
      <sz val="14"/>
      <name val="Arial"/>
      <family val="2"/>
    </font>
    <font>
      <b/>
      <sz val="18"/>
      <name val="Arial"/>
      <family val="2"/>
    </font>
    <font>
      <sz val="18"/>
      <name val="Arial"/>
      <family val="2"/>
    </font>
    <font>
      <sz val="12"/>
      <name val="Arial"/>
      <family val="2"/>
    </font>
    <font>
      <b/>
      <sz val="10"/>
      <name val="Arial"/>
      <family val="2"/>
    </font>
    <font>
      <sz val="14"/>
      <name val="Arial"/>
      <family val="2"/>
    </font>
    <font>
      <b/>
      <i/>
      <sz val="10"/>
      <name val="Arial"/>
      <family val="2"/>
    </font>
    <font>
      <i/>
      <sz val="10"/>
      <name val="Arial"/>
      <family val="2"/>
    </font>
    <font>
      <b/>
      <sz val="16"/>
      <name val="Tahoma"/>
      <family val="2"/>
    </font>
    <font>
      <sz val="10"/>
      <name val="Arial"/>
      <family val="2"/>
    </font>
    <font>
      <b/>
      <sz val="12"/>
      <name val="Tahoma"/>
      <family val="2"/>
    </font>
    <font>
      <b/>
      <sz val="11"/>
      <name val="Calibri"/>
      <family val="2"/>
    </font>
    <font>
      <b/>
      <sz val="20"/>
      <name val="Arial"/>
      <family val="2"/>
    </font>
    <font>
      <sz val="12"/>
      <name val="Tahoma"/>
      <family val="2"/>
    </font>
    <font>
      <b/>
      <sz val="11"/>
      <name val="Calibri"/>
      <family val="2"/>
      <scheme val="minor"/>
    </font>
    <font>
      <sz val="12"/>
      <name val="Arial"/>
      <family val="2"/>
    </font>
    <font>
      <b/>
      <sz val="12"/>
      <name val="Calibri"/>
      <family val="2"/>
    </font>
    <font>
      <b/>
      <sz val="12"/>
      <color rgb="FFFF0000"/>
      <name val="Arial"/>
      <family val="2"/>
    </font>
    <font>
      <sz val="11"/>
      <name val="Calibri"/>
      <family val="2"/>
    </font>
    <font>
      <sz val="12"/>
      <name val="Calibri"/>
      <family val="2"/>
    </font>
    <font>
      <b/>
      <i/>
      <sz val="11"/>
      <name val="Calibri"/>
      <family val="2"/>
      <scheme val="minor"/>
    </font>
    <font>
      <i/>
      <sz val="11"/>
      <name val="Calibri"/>
      <family val="2"/>
      <scheme val="minor"/>
    </font>
    <font>
      <sz val="11"/>
      <name val="Tahoma"/>
      <family val="2"/>
    </font>
    <font>
      <sz val="7.5"/>
      <name val="Tahoma"/>
      <family val="2"/>
    </font>
    <font>
      <b/>
      <sz val="9"/>
      <color indexed="8"/>
      <name val="Arial"/>
      <family val="2"/>
    </font>
    <font>
      <sz val="11"/>
      <color rgb="FF000000"/>
      <name val="Calibri"/>
      <family val="2"/>
    </font>
    <font>
      <b/>
      <sz val="11"/>
      <color rgb="FF000000"/>
      <name val="Calibri"/>
      <family val="2"/>
    </font>
    <font>
      <i/>
      <sz val="11"/>
      <color rgb="FF000000"/>
      <name val="Calibri"/>
      <family val="2"/>
    </font>
    <font>
      <b/>
      <sz val="16"/>
      <color theme="0"/>
      <name val="Tahoma"/>
      <family val="2"/>
    </font>
    <font>
      <sz val="10"/>
      <color theme="0"/>
      <name val="Arial"/>
      <family val="2"/>
    </font>
  </fonts>
  <fills count="6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theme="0"/>
        <bgColor indexed="64"/>
      </patternFill>
    </fill>
    <fill>
      <patternFill patternType="solid">
        <fgColor rgb="FF92D050"/>
        <bgColor indexed="64"/>
      </patternFill>
    </fill>
    <fill>
      <patternFill patternType="solid">
        <fgColor theme="8" tint="0.39994506668294322"/>
        <bgColor indexed="64"/>
      </patternFill>
    </fill>
    <fill>
      <patternFill patternType="solid">
        <fgColor theme="9" tint="0.39994506668294322"/>
        <bgColor indexed="64"/>
      </patternFill>
    </fill>
    <fill>
      <patternFill patternType="solid">
        <fgColor theme="9" tint="0.39997558519241921"/>
        <bgColor indexed="64"/>
      </patternFill>
    </fill>
    <fill>
      <patternFill patternType="solid">
        <fgColor rgb="FFCCCCFF"/>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2" tint="-0.499984740745262"/>
        <bgColor indexed="64"/>
      </patternFill>
    </fill>
    <fill>
      <patternFill patternType="solid">
        <fgColor theme="8"/>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99FF"/>
        <bgColor indexed="64"/>
      </patternFill>
    </fill>
    <fill>
      <patternFill patternType="solid">
        <fgColor rgb="FFC6E0B4"/>
        <bgColor indexed="64"/>
      </patternFill>
    </fill>
    <fill>
      <patternFill patternType="solid">
        <fgColor theme="4" tint="0.79995117038483843"/>
        <bgColor indexed="64"/>
      </patternFill>
    </fill>
    <fill>
      <patternFill patternType="solid">
        <fgColor theme="1"/>
        <bgColor indexed="64"/>
      </patternFill>
    </fill>
  </fills>
  <borders count="1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hair">
        <color indexed="64"/>
      </left>
      <right/>
      <top style="double">
        <color indexed="64"/>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thick">
        <color indexed="64"/>
      </bottom>
      <diagonal/>
    </border>
    <border>
      <left style="hair">
        <color indexed="64"/>
      </left>
      <right/>
      <top style="hair">
        <color indexed="64"/>
      </top>
      <bottom style="thick">
        <color indexed="64"/>
      </bottom>
      <diagonal/>
    </border>
    <border>
      <left/>
      <right style="hair">
        <color indexed="64"/>
      </right>
      <top style="hair">
        <color indexed="64"/>
      </top>
      <bottom style="hair">
        <color indexed="64"/>
      </bottom>
      <diagonal/>
    </border>
    <border>
      <left style="hair">
        <color indexed="64"/>
      </left>
      <right/>
      <top style="double">
        <color indexed="64"/>
      </top>
      <bottom style="hair">
        <color indexed="64"/>
      </bottom>
      <diagonal/>
    </border>
    <border>
      <left style="hair">
        <color indexed="64"/>
      </left>
      <right style="hair">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diagonal/>
    </border>
    <border>
      <left style="hair">
        <color indexed="64"/>
      </left>
      <right style="thick">
        <color indexed="64"/>
      </right>
      <top style="double">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thick">
        <color indexed="64"/>
      </right>
      <top style="hair">
        <color indexed="64"/>
      </top>
      <bottom style="thick">
        <color indexed="64"/>
      </bottom>
      <diagonal/>
    </border>
    <border>
      <left style="hair">
        <color indexed="64"/>
      </left>
      <right style="thick">
        <color indexed="64"/>
      </right>
      <top/>
      <bottom style="hair">
        <color indexed="64"/>
      </bottom>
      <diagonal/>
    </border>
    <border>
      <left/>
      <right style="hair">
        <color indexed="64"/>
      </right>
      <top style="double">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thick">
        <color indexed="64"/>
      </bottom>
      <diagonal/>
    </border>
    <border>
      <left/>
      <right style="hair">
        <color indexed="64"/>
      </right>
      <top style="hair">
        <color indexed="64"/>
      </top>
      <bottom style="thick">
        <color indexed="64"/>
      </bottom>
      <diagonal/>
    </border>
    <border>
      <left/>
      <right style="hair">
        <color indexed="64"/>
      </right>
      <top/>
      <bottom style="hair">
        <color indexed="64"/>
      </bottom>
      <diagonal/>
    </border>
    <border>
      <left style="thick">
        <color indexed="64"/>
      </left>
      <right style="hair">
        <color indexed="64"/>
      </right>
      <top/>
      <bottom style="hair">
        <color indexed="64"/>
      </bottom>
      <diagonal/>
    </border>
    <border>
      <left style="thick">
        <color indexed="64"/>
      </left>
      <right/>
      <top style="hair">
        <color indexed="64"/>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bottom/>
      <diagonal/>
    </border>
    <border>
      <left style="thin">
        <color indexed="64"/>
      </left>
      <right/>
      <top/>
      <bottom style="thin">
        <color indexed="64"/>
      </bottom>
      <diagonal/>
    </border>
    <border>
      <left style="thick">
        <color indexed="64"/>
      </left>
      <right style="hair">
        <color indexed="64"/>
      </right>
      <top style="thick">
        <color indexed="64"/>
      </top>
      <bottom style="double">
        <color indexed="64"/>
      </bottom>
      <diagonal/>
    </border>
    <border>
      <left style="hair">
        <color indexed="64"/>
      </left>
      <right/>
      <top style="thick">
        <color indexed="64"/>
      </top>
      <bottom style="double">
        <color indexed="64"/>
      </bottom>
      <diagonal/>
    </border>
    <border>
      <left style="hair">
        <color indexed="64"/>
      </left>
      <right style="hair">
        <color indexed="64"/>
      </right>
      <top style="thick">
        <color indexed="64"/>
      </top>
      <bottom style="double">
        <color indexed="64"/>
      </bottom>
      <diagonal/>
    </border>
    <border>
      <left/>
      <right style="hair">
        <color indexed="64"/>
      </right>
      <top style="thick">
        <color indexed="64"/>
      </top>
      <bottom style="double">
        <color indexed="64"/>
      </bottom>
      <diagonal/>
    </border>
    <border>
      <left style="hair">
        <color indexed="64"/>
      </left>
      <right style="thick">
        <color indexed="64"/>
      </right>
      <top style="thick">
        <color indexed="64"/>
      </top>
      <bottom style="double">
        <color indexed="64"/>
      </bottom>
      <diagonal/>
    </border>
    <border>
      <left style="hair">
        <color indexed="64"/>
      </left>
      <right/>
      <top style="thick">
        <color indexed="64"/>
      </top>
      <bottom/>
      <diagonal/>
    </border>
    <border>
      <left/>
      <right style="hair">
        <color indexed="64"/>
      </right>
      <top style="thick">
        <color indexed="64"/>
      </top>
      <bottom/>
      <diagonal/>
    </border>
    <border>
      <left style="hair">
        <color indexed="64"/>
      </left>
      <right style="hair">
        <color indexed="64"/>
      </right>
      <top style="hair">
        <color indexed="64"/>
      </top>
      <bottom/>
      <diagonal/>
    </border>
    <border>
      <left style="hair">
        <color indexed="64"/>
      </left>
      <right style="hair">
        <color indexed="64"/>
      </right>
      <top style="thick">
        <color indexed="64"/>
      </top>
      <bottom/>
      <diagonal/>
    </border>
    <border>
      <left style="hair">
        <color indexed="64"/>
      </left>
      <right style="thick">
        <color indexed="64"/>
      </right>
      <top style="thick">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double">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style="thick">
        <color indexed="64"/>
      </bottom>
      <diagonal/>
    </border>
    <border>
      <left/>
      <right style="hair">
        <color indexed="64"/>
      </right>
      <top/>
      <bottom style="thick">
        <color indexed="64"/>
      </bottom>
      <diagonal/>
    </border>
    <border>
      <left/>
      <right/>
      <top style="thick">
        <color indexed="64"/>
      </top>
      <bottom style="double">
        <color indexed="64"/>
      </bottom>
      <diagonal/>
    </border>
    <border>
      <left/>
      <right/>
      <top style="double">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ck">
        <color indexed="64"/>
      </bottom>
      <diagonal/>
    </border>
    <border>
      <left/>
      <right/>
      <top style="hair">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medium">
        <color indexed="64"/>
      </right>
      <top/>
      <bottom style="hair">
        <color indexed="64"/>
      </bottom>
      <diagonal/>
    </border>
    <border>
      <left style="thick">
        <color indexed="64"/>
      </left>
      <right style="medium">
        <color indexed="64"/>
      </right>
      <top style="hair">
        <color indexed="64"/>
      </top>
      <bottom style="hair">
        <color indexed="64"/>
      </bottom>
      <diagonal/>
    </border>
    <border>
      <left style="thick">
        <color indexed="64"/>
      </left>
      <right style="medium">
        <color indexed="64"/>
      </right>
      <top/>
      <bottom style="thick">
        <color indexed="64"/>
      </bottom>
      <diagonal/>
    </border>
    <border>
      <left/>
      <right/>
      <top/>
      <bottom style="thick">
        <color indexed="64"/>
      </bottom>
      <diagonal/>
    </border>
    <border>
      <left style="medium">
        <color indexed="64"/>
      </left>
      <right style="medium">
        <color indexed="64"/>
      </right>
      <top style="hair">
        <color indexed="64"/>
      </top>
      <bottom style="thick">
        <color indexed="64"/>
      </bottom>
      <diagonal/>
    </border>
    <border>
      <left style="thick">
        <color indexed="64"/>
      </left>
      <right style="medium">
        <color indexed="64"/>
      </right>
      <top style="thick">
        <color indexed="64"/>
      </top>
      <bottom style="double">
        <color indexed="64"/>
      </bottom>
      <diagonal/>
    </border>
    <border>
      <left style="medium">
        <color indexed="64"/>
      </left>
      <right style="medium">
        <color indexed="64"/>
      </right>
      <top style="thick">
        <color indexed="64"/>
      </top>
      <bottom style="double">
        <color indexed="64"/>
      </bottom>
      <diagonal/>
    </border>
    <border>
      <left style="medium">
        <color indexed="64"/>
      </left>
      <right style="thick">
        <color indexed="64"/>
      </right>
      <top style="thick">
        <color indexed="64"/>
      </top>
      <bottom style="double">
        <color indexed="64"/>
      </bottom>
      <diagonal/>
    </border>
    <border>
      <left style="medium">
        <color indexed="64"/>
      </left>
      <right/>
      <top style="thick">
        <color indexed="64"/>
      </top>
      <bottom style="double">
        <color indexed="64"/>
      </bottom>
      <diagonal/>
    </border>
    <border>
      <left/>
      <right style="medium">
        <color indexed="64"/>
      </right>
      <top style="thick">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ck">
        <color indexed="64"/>
      </left>
      <right/>
      <top style="medium">
        <color indexed="64"/>
      </top>
      <bottom style="double">
        <color indexed="64"/>
      </bottom>
      <diagonal/>
    </border>
    <border>
      <left style="thick">
        <color indexed="64"/>
      </left>
      <right/>
      <top/>
      <bottom style="hair">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hair">
        <color indexed="64"/>
      </bottom>
      <diagonal/>
    </border>
    <border>
      <left style="thick">
        <color indexed="64"/>
      </left>
      <right/>
      <top style="hair">
        <color indexed="64"/>
      </top>
      <bottom style="thick">
        <color indexed="64"/>
      </bottom>
      <diagonal/>
    </border>
    <border>
      <left style="thin">
        <color auto="1"/>
      </left>
      <right style="thin">
        <color auto="1"/>
      </right>
      <top style="thick">
        <color auto="1"/>
      </top>
      <bottom style="thin">
        <color auto="1"/>
      </bottom>
      <diagonal/>
    </border>
    <border>
      <left style="medium">
        <color indexed="64"/>
      </left>
      <right style="thick">
        <color indexed="64"/>
      </right>
      <top style="medium">
        <color indexed="64"/>
      </top>
      <bottom style="double">
        <color indexed="64"/>
      </bottom>
      <diagonal/>
    </border>
    <border>
      <left style="medium">
        <color indexed="64"/>
      </left>
      <right style="hair">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ck">
        <color indexed="64"/>
      </bottom>
      <diagonal/>
    </border>
    <border>
      <left style="medium">
        <color indexed="64"/>
      </left>
      <right/>
      <top/>
      <bottom style="hair">
        <color indexed="64"/>
      </bottom>
      <diagonal/>
    </border>
    <border>
      <left/>
      <right/>
      <top style="thick">
        <color indexed="64"/>
      </top>
      <bottom style="medium">
        <color indexed="64"/>
      </bottom>
      <diagonal/>
    </border>
    <border>
      <left/>
      <right style="thick">
        <color indexed="64"/>
      </right>
      <top style="thick">
        <color indexed="64"/>
      </top>
      <bottom style="double">
        <color indexed="64"/>
      </bottom>
      <diagonal/>
    </border>
    <border>
      <left/>
      <right style="thick">
        <color indexed="64"/>
      </right>
      <top style="double">
        <color indexed="64"/>
      </top>
      <bottom style="hair">
        <color indexed="64"/>
      </bottom>
      <diagonal/>
    </border>
    <border>
      <left/>
      <right style="thick">
        <color indexed="64"/>
      </right>
      <top style="hair">
        <color indexed="64"/>
      </top>
      <bottom style="hair">
        <color indexed="64"/>
      </bottom>
      <diagonal/>
    </border>
    <border>
      <left/>
      <right style="thick">
        <color indexed="64"/>
      </right>
      <top style="hair">
        <color indexed="64"/>
      </top>
      <bottom style="thick">
        <color indexed="64"/>
      </bottom>
      <diagonal/>
    </border>
    <border>
      <left style="medium">
        <color indexed="64"/>
      </left>
      <right/>
      <top style="double">
        <color indexed="64"/>
      </top>
      <bottom/>
      <diagonal/>
    </border>
    <border>
      <left/>
      <right/>
      <top style="double">
        <color indexed="64"/>
      </top>
      <bottom/>
      <diagonal/>
    </border>
    <border>
      <left/>
      <right style="thick">
        <color indexed="64"/>
      </right>
      <top style="double">
        <color indexed="64"/>
      </top>
      <bottom/>
      <diagonal/>
    </border>
    <border>
      <left style="medium">
        <color indexed="64"/>
      </left>
      <right/>
      <top/>
      <bottom/>
      <diagonal/>
    </border>
    <border>
      <left/>
      <right style="thick">
        <color indexed="64"/>
      </right>
      <top/>
      <bottom/>
      <diagonal/>
    </border>
    <border>
      <left style="medium">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style="double">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ck">
        <color indexed="64"/>
      </bottom>
      <diagonal/>
    </border>
  </borders>
  <cellStyleXfs count="44">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3" borderId="0" applyNumberFormat="0" applyBorder="0" applyAlignment="0" applyProtection="0">
      <alignment vertical="center"/>
    </xf>
    <xf numFmtId="0" fontId="5" fillId="20" borderId="1" applyNumberFormat="0" applyAlignment="0" applyProtection="0">
      <alignment vertical="center"/>
    </xf>
    <xf numFmtId="0" fontId="6" fillId="21" borderId="2" applyNumberFormat="0" applyAlignment="0" applyProtection="0">
      <alignment vertical="center"/>
    </xf>
    <xf numFmtId="0" fontId="7" fillId="0" borderId="0" applyNumberFormat="0" applyFill="0" applyBorder="0" applyAlignment="0" applyProtection="0">
      <alignment vertical="center"/>
    </xf>
    <xf numFmtId="0" fontId="8" fillId="4" borderId="0" applyNumberFormat="0" applyBorder="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top"/>
      <protection locked="0"/>
    </xf>
    <xf numFmtId="0" fontId="12" fillId="7" borderId="1" applyNumberFormat="0" applyAlignment="0" applyProtection="0">
      <alignment vertical="center"/>
    </xf>
    <xf numFmtId="0" fontId="13" fillId="0" borderId="6" applyNumberFormat="0" applyFill="0" applyAlignment="0" applyProtection="0">
      <alignment vertical="center"/>
    </xf>
    <xf numFmtId="0" fontId="14" fillId="22" borderId="0" applyNumberFormat="0" applyBorder="0" applyAlignment="0" applyProtection="0">
      <alignment vertical="center"/>
    </xf>
    <xf numFmtId="0" fontId="25" fillId="0" borderId="0"/>
    <xf numFmtId="0" fontId="25" fillId="23" borderId="7" applyNumberFormat="0" applyFont="0" applyAlignment="0" applyProtection="0">
      <alignment vertical="center"/>
    </xf>
    <xf numFmtId="0" fontId="15" fillId="20" borderId="8" applyNumberForma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0" applyNumberFormat="0" applyFill="0" applyBorder="0" applyAlignment="0" applyProtection="0">
      <alignment vertical="center"/>
    </xf>
  </cellStyleXfs>
  <cellXfs count="851">
    <xf numFmtId="0" fontId="0" fillId="0" borderId="0" xfId="0"/>
    <xf numFmtId="0" fontId="22" fillId="0" borderId="7" xfId="0" applyFont="1" applyBorder="1" applyAlignment="1">
      <alignment horizontal="left" wrapText="1"/>
    </xf>
    <xf numFmtId="0" fontId="23" fillId="0" borderId="7" xfId="0" applyFont="1" applyBorder="1" applyAlignment="1">
      <alignment horizontal="left"/>
    </xf>
    <xf numFmtId="0" fontId="22" fillId="0" borderId="10" xfId="0" applyFont="1" applyBorder="1" applyAlignment="1">
      <alignment horizontal="left" wrapText="1"/>
    </xf>
    <xf numFmtId="0" fontId="22" fillId="0" borderId="0" xfId="0" applyFont="1" applyAlignment="1">
      <alignment horizontal="left" wrapText="1"/>
    </xf>
    <xf numFmtId="0" fontId="23" fillId="0" borderId="0" xfId="0" applyFont="1" applyAlignment="1">
      <alignment horizontal="left"/>
    </xf>
    <xf numFmtId="0" fontId="27" fillId="0" borderId="0" xfId="0" applyFont="1"/>
    <xf numFmtId="0" fontId="36" fillId="0" borderId="11" xfId="0" applyFont="1" applyBorder="1" applyAlignment="1" applyProtection="1">
      <alignment horizontal="center" vertical="center"/>
      <protection locked="0"/>
    </xf>
    <xf numFmtId="0" fontId="37" fillId="0" borderId="0" xfId="0" applyFont="1" applyAlignment="1" applyProtection="1">
      <alignment horizontal="right" vertical="center"/>
      <protection locked="0"/>
    </xf>
    <xf numFmtId="0" fontId="39" fillId="0" borderId="13" xfId="0" applyFont="1" applyBorder="1" applyAlignment="1" applyProtection="1">
      <alignment horizontal="center" vertical="center" wrapText="1"/>
      <protection locked="0"/>
    </xf>
    <xf numFmtId="0" fontId="39" fillId="0" borderId="14" xfId="0" applyFont="1" applyBorder="1" applyAlignment="1" applyProtection="1">
      <alignment horizontal="center" vertical="center"/>
      <protection locked="0"/>
    </xf>
    <xf numFmtId="0" fontId="39" fillId="0" borderId="16" xfId="0" applyFont="1" applyBorder="1" applyAlignment="1" applyProtection="1">
      <alignment horizontal="center" vertical="center" wrapText="1" shrinkToFit="1"/>
      <protection locked="0"/>
    </xf>
    <xf numFmtId="0" fontId="39" fillId="0" borderId="17" xfId="0" applyFont="1" applyBorder="1" applyAlignment="1" applyProtection="1">
      <alignment horizontal="center" vertical="center" wrapText="1"/>
      <protection locked="0"/>
    </xf>
    <xf numFmtId="0" fontId="39" fillId="0" borderId="18" xfId="0" applyFont="1" applyBorder="1" applyAlignment="1" applyProtection="1">
      <alignment horizontal="center" vertical="center" wrapText="1"/>
      <protection locked="0"/>
    </xf>
    <xf numFmtId="0" fontId="39" fillId="0" borderId="18" xfId="0" applyFont="1" applyBorder="1" applyAlignment="1" applyProtection="1">
      <alignment horizontal="center" vertical="center"/>
      <protection locked="0"/>
    </xf>
    <xf numFmtId="0" fontId="39" fillId="0" borderId="18" xfId="0" applyFont="1" applyBorder="1" applyAlignment="1" applyProtection="1">
      <alignment horizontal="center" vertical="center" wrapText="1" shrinkToFit="1"/>
      <protection locked="0"/>
    </xf>
    <xf numFmtId="0" fontId="39" fillId="0" borderId="18" xfId="0" applyFont="1" applyBorder="1" applyAlignment="1" applyProtection="1">
      <alignment horizontal="center" vertical="center" shrinkToFit="1"/>
      <protection locked="0"/>
    </xf>
    <xf numFmtId="0" fontId="39" fillId="0" borderId="19" xfId="0" applyFont="1" applyBorder="1" applyAlignment="1" applyProtection="1">
      <alignment horizontal="center" vertical="center" wrapText="1"/>
      <protection locked="0"/>
    </xf>
    <xf numFmtId="0" fontId="39" fillId="0" borderId="14" xfId="0" applyFont="1" applyBorder="1" applyAlignment="1" applyProtection="1">
      <alignment horizontal="center" vertical="center" wrapText="1" shrinkToFit="1"/>
      <protection locked="0"/>
    </xf>
    <xf numFmtId="0" fontId="39" fillId="0" borderId="14"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0" borderId="21" xfId="0" applyFont="1" applyBorder="1" applyAlignment="1" applyProtection="1">
      <alignment horizontal="center" vertical="center" wrapText="1"/>
      <protection locked="0"/>
    </xf>
    <xf numFmtId="0" fontId="39" fillId="0" borderId="21" xfId="0" applyFont="1" applyBorder="1" applyAlignment="1" applyProtection="1">
      <alignment horizontal="center" vertical="center"/>
      <protection locked="0"/>
    </xf>
    <xf numFmtId="0" fontId="39" fillId="0" borderId="15" xfId="0" applyFont="1" applyBorder="1" applyAlignment="1" applyProtection="1">
      <alignment horizontal="center" vertical="center" wrapText="1"/>
      <protection locked="0"/>
    </xf>
    <xf numFmtId="0" fontId="39" fillId="0" borderId="16" xfId="0" applyFont="1" applyBorder="1" applyAlignment="1" applyProtection="1">
      <alignment horizontal="center" vertical="center"/>
      <protection locked="0"/>
    </xf>
    <xf numFmtId="0" fontId="39" fillId="0" borderId="16" xfId="0" applyFont="1" applyBorder="1" applyAlignment="1" applyProtection="1">
      <alignment horizontal="center" vertical="center" wrapText="1"/>
      <protection locked="0"/>
    </xf>
    <xf numFmtId="0" fontId="39" fillId="0" borderId="16" xfId="0" applyFont="1" applyBorder="1" applyAlignment="1" applyProtection="1">
      <alignment horizontal="center" vertical="center" shrinkToFit="1"/>
      <protection locked="0"/>
    </xf>
    <xf numFmtId="0" fontId="39" fillId="0" borderId="23"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39" fillId="0" borderId="21" xfId="0" applyFont="1" applyBorder="1" applyAlignment="1" applyProtection="1">
      <alignment horizontal="center" vertical="center" shrinkToFit="1"/>
      <protection locked="0"/>
    </xf>
    <xf numFmtId="0" fontId="31" fillId="0" borderId="12" xfId="0" applyFont="1" applyBorder="1" applyAlignment="1" applyProtection="1">
      <alignment horizontal="center" vertical="center" wrapText="1"/>
      <protection locked="0"/>
    </xf>
    <xf numFmtId="0" fontId="31" fillId="0" borderId="26" xfId="0" applyFont="1" applyBorder="1" applyAlignment="1" applyProtection="1">
      <alignment horizontal="center" vertical="center" wrapText="1"/>
      <protection locked="0"/>
    </xf>
    <xf numFmtId="0" fontId="0" fillId="0" borderId="0" xfId="0" applyProtection="1">
      <protection locked="0"/>
    </xf>
    <xf numFmtId="0" fontId="0" fillId="0" borderId="27" xfId="0" applyBorder="1" applyProtection="1">
      <protection locked="0"/>
    </xf>
    <xf numFmtId="0" fontId="0" fillId="26" borderId="0" xfId="0" applyFill="1"/>
    <xf numFmtId="0" fontId="0" fillId="0" borderId="0" xfId="0" applyAlignment="1">
      <alignment wrapText="1"/>
    </xf>
    <xf numFmtId="0" fontId="23" fillId="0" borderId="0" xfId="0" applyFont="1" applyAlignment="1">
      <alignment horizontal="left" vertical="center" wrapText="1"/>
    </xf>
    <xf numFmtId="0" fontId="20" fillId="26" borderId="0" xfId="0" applyFont="1" applyFill="1"/>
    <xf numFmtId="0" fontId="20" fillId="0" borderId="0" xfId="0" applyFont="1"/>
    <xf numFmtId="0" fontId="39" fillId="0" borderId="25" xfId="0" applyFont="1" applyBorder="1" applyAlignment="1" applyProtection="1">
      <alignment horizontal="center" vertical="center" wrapText="1"/>
      <protection locked="0"/>
    </xf>
    <xf numFmtId="0" fontId="39" fillId="0" borderId="32" xfId="0" applyFont="1" applyBorder="1" applyAlignment="1" applyProtection="1">
      <alignment horizontal="center" vertical="center"/>
      <protection locked="0"/>
    </xf>
    <xf numFmtId="0" fontId="39" fillId="0" borderId="25" xfId="0" applyFont="1" applyBorder="1" applyAlignment="1" applyProtection="1">
      <alignment horizontal="center" vertical="center"/>
      <protection locked="0"/>
    </xf>
    <xf numFmtId="0" fontId="38" fillId="0" borderId="33" xfId="0" applyFont="1" applyBorder="1" applyAlignment="1" applyProtection="1">
      <alignment vertical="center"/>
      <protection locked="0"/>
    </xf>
    <xf numFmtId="0" fontId="39" fillId="0" borderId="21" xfId="0" applyFont="1" applyBorder="1" applyAlignment="1" applyProtection="1">
      <alignment horizontal="center" vertical="center" wrapText="1" shrinkToFit="1"/>
      <protection locked="0"/>
    </xf>
    <xf numFmtId="0" fontId="39" fillId="0" borderId="37" xfId="0" applyFont="1" applyBorder="1" applyAlignment="1" applyProtection="1">
      <alignment horizontal="center" vertical="center" wrapText="1"/>
      <protection locked="0"/>
    </xf>
    <xf numFmtId="0" fontId="39" fillId="0" borderId="37" xfId="0" applyFont="1" applyBorder="1" applyAlignment="1" applyProtection="1">
      <alignment horizontal="center" vertical="center"/>
      <protection locked="0"/>
    </xf>
    <xf numFmtId="0" fontId="39" fillId="0" borderId="37" xfId="0" applyFont="1" applyBorder="1" applyAlignment="1" applyProtection="1">
      <alignment horizontal="center" vertical="center" wrapText="1" shrinkToFit="1"/>
      <protection locked="0"/>
    </xf>
    <xf numFmtId="0" fontId="28" fillId="0" borderId="11" xfId="0" applyFont="1" applyBorder="1" applyAlignment="1" applyProtection="1">
      <alignment vertical="center"/>
      <protection locked="0"/>
    </xf>
    <xf numFmtId="0" fontId="28" fillId="0" borderId="0" xfId="0" applyFont="1" applyAlignment="1" applyProtection="1">
      <alignment vertical="center"/>
      <protection locked="0"/>
    </xf>
    <xf numFmtId="0" fontId="30" fillId="0" borderId="40" xfId="0" applyFont="1" applyBorder="1" applyAlignment="1" applyProtection="1">
      <alignment horizontal="center" vertical="center"/>
      <protection locked="0"/>
    </xf>
    <xf numFmtId="0" fontId="30" fillId="0" borderId="41" xfId="0" applyFont="1" applyBorder="1" applyAlignment="1" applyProtection="1">
      <alignment horizontal="center" vertical="center"/>
      <protection locked="0"/>
    </xf>
    <xf numFmtId="0" fontId="30" fillId="0" borderId="42" xfId="0" applyFont="1" applyBorder="1" applyAlignment="1" applyProtection="1">
      <alignment horizontal="center" vertical="center"/>
      <protection locked="0"/>
    </xf>
    <xf numFmtId="0" fontId="30" fillId="0" borderId="43" xfId="0" applyFont="1" applyBorder="1" applyAlignment="1" applyProtection="1">
      <alignment horizontal="center" vertical="center"/>
      <protection locked="0"/>
    </xf>
    <xf numFmtId="0" fontId="32" fillId="0" borderId="0" xfId="0" applyFont="1" applyAlignment="1" applyProtection="1">
      <alignment vertical="center"/>
      <protection locked="0"/>
    </xf>
    <xf numFmtId="0" fontId="32" fillId="0" borderId="0" xfId="0" applyFont="1" applyAlignment="1" applyProtection="1">
      <alignment horizontal="center" vertical="center" wrapText="1"/>
      <protection locked="0"/>
    </xf>
    <xf numFmtId="0" fontId="41" fillId="0" borderId="0" xfId="0" applyFont="1" applyAlignment="1" applyProtection="1">
      <alignment horizontal="center" wrapText="1" shrinkToFit="1"/>
      <protection locked="0"/>
    </xf>
    <xf numFmtId="0" fontId="32" fillId="0" borderId="0" xfId="0" applyFont="1" applyAlignment="1" applyProtection="1">
      <alignment horizontal="left" vertical="top" wrapText="1"/>
      <protection locked="0"/>
    </xf>
    <xf numFmtId="0" fontId="29"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14" fontId="29" fillId="0" borderId="0" xfId="0" applyNumberFormat="1" applyFont="1" applyAlignment="1" applyProtection="1">
      <alignment horizontal="left" vertical="center"/>
      <protection locked="0"/>
    </xf>
    <xf numFmtId="0" fontId="29" fillId="0" borderId="0" xfId="0" applyFont="1" applyAlignment="1" applyProtection="1">
      <alignment horizontal="left" vertical="center" indent="1" shrinkToFit="1"/>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29" fillId="0" borderId="0" xfId="0" applyFont="1" applyAlignment="1" applyProtection="1">
      <alignment horizontal="center" vertical="center" shrinkToFit="1"/>
      <protection locked="0"/>
    </xf>
    <xf numFmtId="0" fontId="32" fillId="0" borderId="0" xfId="0" applyFont="1" applyAlignment="1" applyProtection="1">
      <alignment horizontal="center" vertical="center"/>
      <protection locked="0"/>
    </xf>
    <xf numFmtId="0" fontId="30" fillId="2" borderId="48" xfId="0" applyFont="1" applyFill="1" applyBorder="1" applyAlignment="1" applyProtection="1">
      <alignment horizontal="center" vertical="center" wrapText="1"/>
      <protection locked="0"/>
    </xf>
    <xf numFmtId="0" fontId="30" fillId="2" borderId="49" xfId="0" applyFont="1" applyFill="1" applyBorder="1" applyAlignment="1" applyProtection="1">
      <alignment horizontal="center" vertical="center" wrapText="1"/>
      <protection locked="0"/>
    </xf>
    <xf numFmtId="0" fontId="30" fillId="2" borderId="50" xfId="0" applyFont="1" applyFill="1" applyBorder="1" applyAlignment="1" applyProtection="1">
      <alignment horizontal="center" vertical="center" wrapText="1"/>
      <protection locked="0"/>
    </xf>
    <xf numFmtId="0" fontId="30" fillId="2" borderId="51" xfId="0" applyFont="1" applyFill="1" applyBorder="1" applyAlignment="1" applyProtection="1">
      <alignment horizontal="center" vertical="center" wrapText="1"/>
      <protection locked="0"/>
    </xf>
    <xf numFmtId="0" fontId="30" fillId="2" borderId="52" xfId="0" applyFont="1" applyFill="1" applyBorder="1" applyAlignment="1" applyProtection="1">
      <alignment horizontal="center" vertical="center" wrapText="1"/>
      <protection locked="0"/>
    </xf>
    <xf numFmtId="0" fontId="31" fillId="25" borderId="25" xfId="0" applyFont="1" applyFill="1" applyBorder="1" applyAlignment="1" applyProtection="1">
      <alignment horizontal="center" vertical="center" wrapText="1"/>
      <protection locked="0"/>
    </xf>
    <xf numFmtId="0" fontId="31" fillId="25" borderId="18" xfId="0" applyFont="1" applyFill="1" applyBorder="1" applyAlignment="1" applyProtection="1">
      <alignment horizontal="center" vertical="center" wrapText="1"/>
      <protection locked="0"/>
    </xf>
    <xf numFmtId="0" fontId="31" fillId="25" borderId="21" xfId="0" applyFont="1" applyFill="1" applyBorder="1" applyAlignment="1" applyProtection="1">
      <alignment horizontal="center" vertical="center" wrapText="1"/>
      <protection locked="0"/>
    </xf>
    <xf numFmtId="0" fontId="34" fillId="0" borderId="33" xfId="0" applyFont="1" applyBorder="1" applyAlignment="1" applyProtection="1">
      <alignment vertical="center"/>
      <protection locked="0"/>
    </xf>
    <xf numFmtId="0" fontId="30" fillId="2" borderId="56" xfId="0" applyFont="1" applyFill="1" applyBorder="1" applyAlignment="1" applyProtection="1">
      <alignment horizontal="center" vertical="center" wrapText="1"/>
      <protection locked="0"/>
    </xf>
    <xf numFmtId="0" fontId="30" fillId="2" borderId="57" xfId="0" applyFont="1" applyFill="1" applyBorder="1" applyAlignment="1" applyProtection="1">
      <alignment horizontal="center" vertical="center" wrapText="1"/>
      <protection locked="0"/>
    </xf>
    <xf numFmtId="0" fontId="30" fillId="0" borderId="0" xfId="0" applyFont="1" applyAlignment="1" applyProtection="1">
      <alignment horizontal="center" vertical="center"/>
      <protection locked="0"/>
    </xf>
    <xf numFmtId="0" fontId="45" fillId="0" borderId="0" xfId="0" applyFont="1" applyAlignment="1" applyProtection="1">
      <alignment vertical="center"/>
      <protection locked="0"/>
    </xf>
    <xf numFmtId="0" fontId="0" fillId="0" borderId="0" xfId="0" applyAlignment="1" applyProtection="1">
      <alignment vertical="center"/>
      <protection locked="0"/>
    </xf>
    <xf numFmtId="164" fontId="35" fillId="0" borderId="0" xfId="0" applyNumberFormat="1" applyFont="1" applyAlignment="1" applyProtection="1">
      <alignment vertical="center"/>
      <protection locked="0"/>
    </xf>
    <xf numFmtId="0" fontId="29" fillId="0" borderId="46" xfId="0" applyFont="1" applyBorder="1" applyAlignment="1" applyProtection="1">
      <alignment horizontal="left" vertical="center"/>
      <protection locked="0"/>
    </xf>
    <xf numFmtId="49" fontId="32" fillId="0" borderId="0" xfId="0" applyNumberFormat="1" applyFont="1" applyAlignment="1" applyProtection="1">
      <alignment vertical="center"/>
      <protection locked="0"/>
    </xf>
    <xf numFmtId="0" fontId="29" fillId="0" borderId="0" xfId="0" applyFont="1" applyAlignment="1" applyProtection="1">
      <alignment horizontal="left" vertical="top"/>
      <protection locked="0"/>
    </xf>
    <xf numFmtId="0" fontId="29" fillId="0" borderId="0" xfId="0" applyFont="1" applyAlignment="1" applyProtection="1">
      <alignment horizontal="center" vertical="center"/>
      <protection locked="0"/>
    </xf>
    <xf numFmtId="0" fontId="43" fillId="0" borderId="0" xfId="0" applyFont="1" applyAlignment="1" applyProtection="1">
      <alignment horizontal="center" vertical="center"/>
      <protection locked="0"/>
    </xf>
    <xf numFmtId="0" fontId="39" fillId="0" borderId="16"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21" xfId="0" applyFont="1" applyBorder="1" applyAlignment="1">
      <alignment horizontal="center" vertical="center" wrapText="1"/>
    </xf>
    <xf numFmtId="0" fontId="0" fillId="0" borderId="7" xfId="0" applyBorder="1"/>
    <xf numFmtId="0" fontId="28" fillId="0" borderId="59" xfId="0" applyFont="1" applyBorder="1" applyAlignment="1" applyProtection="1">
      <alignment horizontal="center" vertical="center"/>
      <protection locked="0"/>
    </xf>
    <xf numFmtId="0" fontId="33" fillId="0" borderId="0" xfId="0" applyFont="1" applyAlignment="1" applyProtection="1">
      <alignment horizontal="center" vertical="center"/>
      <protection locked="0"/>
    </xf>
    <xf numFmtId="0" fontId="28" fillId="0" borderId="27" xfId="0" applyFont="1" applyBorder="1" applyAlignment="1" applyProtection="1">
      <alignment horizontal="center" vertical="center"/>
      <protection locked="0"/>
    </xf>
    <xf numFmtId="0" fontId="30" fillId="2" borderId="53" xfId="0" applyFont="1" applyFill="1" applyBorder="1" applyAlignment="1" applyProtection="1">
      <alignment horizontal="center" vertical="center" wrapText="1"/>
      <protection locked="0"/>
    </xf>
    <xf numFmtId="0" fontId="39" fillId="0" borderId="22" xfId="0" applyFont="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38" fillId="0" borderId="47" xfId="0" applyFont="1" applyBorder="1" applyAlignment="1" applyProtection="1">
      <alignment horizontal="left" vertical="center"/>
      <protection locked="0"/>
    </xf>
    <xf numFmtId="0" fontId="34" fillId="0" borderId="33" xfId="0" applyFont="1" applyBorder="1" applyAlignment="1" applyProtection="1">
      <alignment horizontal="left" vertical="center"/>
      <protection locked="0"/>
    </xf>
    <xf numFmtId="0" fontId="0" fillId="0" borderId="0" xfId="0"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48" fillId="0" borderId="0" xfId="0" applyFont="1" applyProtection="1">
      <protection locked="0"/>
    </xf>
    <xf numFmtId="0" fontId="38" fillId="0" borderId="26" xfId="0" applyFont="1" applyBorder="1" applyAlignment="1" applyProtection="1">
      <alignment vertical="center"/>
      <protection locked="0"/>
    </xf>
    <xf numFmtId="0" fontId="34" fillId="0" borderId="35" xfId="0" applyFont="1" applyBorder="1" applyAlignment="1" applyProtection="1">
      <alignment vertical="center"/>
      <protection locked="0"/>
    </xf>
    <xf numFmtId="0" fontId="34" fillId="0" borderId="36" xfId="0" applyFont="1" applyBorder="1" applyAlignment="1" applyProtection="1">
      <alignment vertical="center"/>
      <protection locked="0"/>
    </xf>
    <xf numFmtId="0" fontId="38" fillId="0" borderId="35" xfId="0" applyFont="1" applyBorder="1" applyAlignment="1" applyProtection="1">
      <alignment vertical="center"/>
      <protection locked="0"/>
    </xf>
    <xf numFmtId="14" fontId="29" fillId="0" borderId="36" xfId="0" applyNumberFormat="1" applyFont="1" applyBorder="1" applyAlignment="1" applyProtection="1">
      <alignment horizontal="left" vertical="center"/>
      <protection locked="0"/>
    </xf>
    <xf numFmtId="0" fontId="55" fillId="0" borderId="0" xfId="0" applyFont="1"/>
    <xf numFmtId="0" fontId="39" fillId="0" borderId="16" xfId="0" applyFont="1" applyBorder="1" applyAlignment="1">
      <alignment horizontal="center" vertical="center" wrapText="1" shrinkToFit="1"/>
    </xf>
    <xf numFmtId="0" fontId="39" fillId="0" borderId="18" xfId="0" applyFont="1" applyBorder="1" applyAlignment="1">
      <alignment horizontal="center" vertical="center" wrapText="1" shrinkToFit="1"/>
    </xf>
    <xf numFmtId="0" fontId="39" fillId="0" borderId="21" xfId="0" applyFont="1" applyBorder="1" applyAlignment="1">
      <alignment horizontal="center" vertical="center" wrapText="1" shrinkToFit="1"/>
    </xf>
    <xf numFmtId="0" fontId="0" fillId="33" borderId="0" xfId="0" applyFill="1"/>
    <xf numFmtId="0" fontId="39" fillId="0" borderId="22" xfId="0" applyFont="1" applyBorder="1" applyAlignment="1" applyProtection="1">
      <alignment horizontal="center" vertical="center" wrapText="1" shrinkToFit="1"/>
      <protection locked="0"/>
    </xf>
    <xf numFmtId="0" fontId="39" fillId="0" borderId="19" xfId="0" applyFont="1" applyBorder="1" applyAlignment="1" applyProtection="1">
      <alignment horizontal="center" vertical="center" wrapText="1" shrinkToFit="1"/>
      <protection locked="0"/>
    </xf>
    <xf numFmtId="0" fontId="39" fillId="0" borderId="24" xfId="0" applyFont="1" applyBorder="1" applyAlignment="1" applyProtection="1">
      <alignment horizontal="center" vertical="center" wrapText="1" shrinkToFit="1"/>
      <protection locked="0"/>
    </xf>
    <xf numFmtId="0" fontId="28" fillId="0" borderId="59" xfId="0" applyFont="1" applyBorder="1" applyAlignment="1" applyProtection="1">
      <alignment vertical="center"/>
      <protection locked="0"/>
    </xf>
    <xf numFmtId="0" fontId="28" fillId="0" borderId="27" xfId="0" applyFont="1" applyBorder="1" applyAlignment="1" applyProtection="1">
      <alignment vertical="center"/>
      <protection locked="0"/>
    </xf>
    <xf numFmtId="0" fontId="33" fillId="0" borderId="0" xfId="0" applyFont="1" applyAlignment="1" applyProtection="1">
      <alignment vertical="center"/>
      <protection locked="0"/>
    </xf>
    <xf numFmtId="0" fontId="33" fillId="0" borderId="33" xfId="0" applyFont="1" applyBorder="1" applyAlignment="1" applyProtection="1">
      <alignment vertical="center"/>
      <protection locked="0"/>
    </xf>
    <xf numFmtId="0" fontId="32" fillId="0" borderId="35" xfId="0" applyFont="1" applyBorder="1" applyAlignment="1" applyProtection="1">
      <alignment vertical="center"/>
      <protection locked="0"/>
    </xf>
    <xf numFmtId="0" fontId="32" fillId="0" borderId="33" xfId="0" applyFont="1" applyBorder="1" applyAlignment="1" applyProtection="1">
      <alignment vertical="center"/>
      <protection locked="0"/>
    </xf>
    <xf numFmtId="0" fontId="52" fillId="0" borderId="0" xfId="0" applyFont="1" applyAlignment="1" applyProtection="1">
      <alignment vertical="center"/>
      <protection locked="0"/>
    </xf>
    <xf numFmtId="0" fontId="29" fillId="0" borderId="58" xfId="0" applyFont="1" applyBorder="1" applyAlignment="1" applyProtection="1">
      <alignment horizontal="left" vertical="center"/>
      <protection locked="0"/>
    </xf>
    <xf numFmtId="0" fontId="38" fillId="0" borderId="36" xfId="0" applyFont="1" applyBorder="1" applyAlignment="1" applyProtection="1">
      <alignment vertical="center"/>
      <protection locked="0"/>
    </xf>
    <xf numFmtId="0" fontId="29" fillId="0" borderId="0" xfId="0" applyFont="1" applyAlignment="1" applyProtection="1">
      <alignment horizontal="left" vertical="top" wrapText="1"/>
      <protection locked="0"/>
    </xf>
    <xf numFmtId="0" fontId="30" fillId="0" borderId="75" xfId="0" applyFont="1" applyBorder="1" applyAlignment="1" applyProtection="1">
      <alignment horizontal="center" vertical="center"/>
      <protection locked="0"/>
    </xf>
    <xf numFmtId="0" fontId="30" fillId="0" borderId="76" xfId="0" applyFont="1" applyBorder="1" applyAlignment="1" applyProtection="1">
      <alignment horizontal="center" vertical="center"/>
      <protection locked="0"/>
    </xf>
    <xf numFmtId="0" fontId="30" fillId="0" borderId="77" xfId="0" applyFont="1" applyBorder="1" applyAlignment="1" applyProtection="1">
      <alignment horizontal="center" vertical="center"/>
      <protection locked="0"/>
    </xf>
    <xf numFmtId="0" fontId="58" fillId="0" borderId="0" xfId="0" applyFont="1" applyAlignment="1" applyProtection="1">
      <alignment horizontal="center" vertical="center"/>
      <protection locked="0"/>
    </xf>
    <xf numFmtId="0" fontId="30" fillId="36" borderId="49" xfId="0" applyFont="1" applyFill="1" applyBorder="1" applyAlignment="1" applyProtection="1">
      <alignment horizontal="center" vertical="center" wrapText="1"/>
      <protection locked="0"/>
    </xf>
    <xf numFmtId="0" fontId="30" fillId="36" borderId="50" xfId="0" applyFont="1" applyFill="1" applyBorder="1" applyAlignment="1" applyProtection="1">
      <alignment horizontal="center" vertical="center" wrapText="1"/>
      <protection locked="0"/>
    </xf>
    <xf numFmtId="0" fontId="30" fillId="36" borderId="51" xfId="0" applyFont="1" applyFill="1" applyBorder="1" applyAlignment="1" applyProtection="1">
      <alignment horizontal="center" vertical="center" wrapText="1"/>
      <protection locked="0"/>
    </xf>
    <xf numFmtId="0" fontId="30" fillId="36" borderId="53" xfId="0" applyFont="1" applyFill="1" applyBorder="1" applyAlignment="1" applyProtection="1">
      <alignment horizontal="center" vertical="center" wrapText="1"/>
      <protection locked="0"/>
    </xf>
    <xf numFmtId="0" fontId="30" fillId="37" borderId="56" xfId="0" applyFont="1" applyFill="1" applyBorder="1" applyAlignment="1" applyProtection="1">
      <alignment horizontal="center" vertical="center" wrapText="1"/>
      <protection locked="0"/>
    </xf>
    <xf numFmtId="0" fontId="30" fillId="37" borderId="50" xfId="0" applyFont="1" applyFill="1" applyBorder="1" applyAlignment="1" applyProtection="1">
      <alignment horizontal="center" vertical="center" wrapText="1"/>
      <protection locked="0"/>
    </xf>
    <xf numFmtId="0" fontId="30" fillId="37" borderId="49" xfId="0" applyFont="1" applyFill="1" applyBorder="1" applyAlignment="1" applyProtection="1">
      <alignment horizontal="center" vertical="center" wrapText="1"/>
      <protection locked="0"/>
    </xf>
    <xf numFmtId="0" fontId="30" fillId="38" borderId="80" xfId="0" applyFont="1" applyFill="1" applyBorder="1" applyAlignment="1" applyProtection="1">
      <alignment horizontal="center" vertical="center" wrapText="1"/>
      <protection locked="0"/>
    </xf>
    <xf numFmtId="0" fontId="30" fillId="0" borderId="89" xfId="0" applyFont="1" applyBorder="1" applyAlignment="1" applyProtection="1">
      <alignment horizontal="center" vertical="center"/>
      <protection locked="0"/>
    </xf>
    <xf numFmtId="0" fontId="39" fillId="0" borderId="45" xfId="0" applyFont="1" applyBorder="1" applyAlignment="1" applyProtection="1">
      <alignment vertical="center"/>
      <protection locked="0"/>
    </xf>
    <xf numFmtId="0" fontId="39" fillId="0" borderId="91" xfId="0" applyFont="1" applyBorder="1" applyAlignment="1" applyProtection="1">
      <alignment vertical="center"/>
      <protection locked="0"/>
    </xf>
    <xf numFmtId="0" fontId="39" fillId="0" borderId="67" xfId="0" applyFont="1" applyBorder="1" applyAlignment="1" applyProtection="1">
      <alignment horizontal="center" vertical="center"/>
      <protection locked="0"/>
    </xf>
    <xf numFmtId="0" fontId="39" fillId="0" borderId="66" xfId="0" applyFont="1" applyBorder="1" applyAlignment="1" applyProtection="1">
      <alignment horizontal="center" vertical="center"/>
      <protection locked="0"/>
    </xf>
    <xf numFmtId="0" fontId="30" fillId="0" borderId="92" xfId="0" applyFont="1" applyBorder="1" applyAlignment="1" applyProtection="1">
      <alignment horizontal="center" vertical="center"/>
      <protection locked="0"/>
    </xf>
    <xf numFmtId="0" fontId="39" fillId="0" borderId="79" xfId="0" applyFont="1" applyBorder="1" applyAlignment="1" applyProtection="1">
      <alignment vertical="center"/>
      <protection locked="0"/>
    </xf>
    <xf numFmtId="0" fontId="39" fillId="0" borderId="16" xfId="0" applyFont="1" applyBorder="1" applyAlignment="1">
      <alignment horizontal="center" vertical="center"/>
    </xf>
    <xf numFmtId="0" fontId="39" fillId="0" borderId="18" xfId="0" applyFont="1" applyBorder="1" applyAlignment="1">
      <alignment horizontal="center" vertical="center"/>
    </xf>
    <xf numFmtId="0" fontId="39" fillId="0" borderId="21" xfId="0" applyFont="1" applyBorder="1" applyAlignment="1">
      <alignment horizontal="center" vertical="center"/>
    </xf>
    <xf numFmtId="0" fontId="39" fillId="0" borderId="70" xfId="0" applyFont="1" applyBorder="1" applyAlignment="1" applyProtection="1">
      <alignment horizontal="center" vertical="center"/>
      <protection locked="0"/>
    </xf>
    <xf numFmtId="0" fontId="59" fillId="0" borderId="72" xfId="34" applyFont="1" applyBorder="1" applyAlignment="1" applyProtection="1">
      <alignment horizontal="center" vertical="center"/>
      <protection locked="0"/>
    </xf>
    <xf numFmtId="0" fontId="58" fillId="41" borderId="74" xfId="34" applyFont="1" applyFill="1" applyBorder="1" applyAlignment="1" applyProtection="1">
      <alignment horizontal="center" vertical="center"/>
      <protection locked="0"/>
    </xf>
    <xf numFmtId="0" fontId="30" fillId="41" borderId="54" xfId="0" applyFont="1" applyFill="1" applyBorder="1" applyAlignment="1" applyProtection="1">
      <alignment horizontal="center" vertical="center" wrapText="1"/>
      <protection locked="0"/>
    </xf>
    <xf numFmtId="0" fontId="52" fillId="2" borderId="93" xfId="0" applyFont="1" applyFill="1" applyBorder="1" applyAlignment="1">
      <alignment horizontal="center" vertical="center" wrapText="1"/>
    </xf>
    <xf numFmtId="0" fontId="52" fillId="0" borderId="93" xfId="0" applyFont="1" applyBorder="1" applyAlignment="1">
      <alignment horizontal="center" vertical="center" wrapText="1"/>
    </xf>
    <xf numFmtId="0" fontId="52" fillId="0" borderId="93" xfId="0" applyFont="1" applyBorder="1" applyAlignment="1" applyProtection="1">
      <alignment horizontal="center" vertical="center" wrapText="1"/>
      <protection locked="0"/>
    </xf>
    <xf numFmtId="0" fontId="52" fillId="0" borderId="93" xfId="0" applyFont="1" applyBorder="1" applyAlignment="1" applyProtection="1">
      <alignment horizontal="center" vertical="center"/>
      <protection locked="0"/>
    </xf>
    <xf numFmtId="0" fontId="52" fillId="0" borderId="93" xfId="0" applyFont="1" applyBorder="1" applyAlignment="1" applyProtection="1">
      <alignment vertical="center"/>
      <protection locked="0"/>
    </xf>
    <xf numFmtId="0" fontId="39" fillId="0" borderId="12" xfId="0" applyFont="1" applyBorder="1" applyAlignment="1">
      <alignment horizontal="center" vertical="center" wrapText="1"/>
    </xf>
    <xf numFmtId="0" fontId="32" fillId="0" borderId="12" xfId="0" applyFont="1" applyBorder="1" applyAlignment="1">
      <alignment horizontal="center" vertical="center"/>
    </xf>
    <xf numFmtId="0" fontId="32" fillId="0" borderId="12" xfId="0" applyFont="1" applyBorder="1" applyAlignment="1" applyProtection="1">
      <alignment vertical="center"/>
      <protection locked="0"/>
    </xf>
    <xf numFmtId="0" fontId="39" fillId="0" borderId="74" xfId="0" applyFont="1" applyBorder="1" applyAlignment="1">
      <alignment horizontal="center" vertical="center" wrapText="1"/>
    </xf>
    <xf numFmtId="0" fontId="32" fillId="0" borderId="74" xfId="0" applyFont="1" applyBorder="1" applyAlignment="1">
      <alignment horizontal="center" vertical="center"/>
    </xf>
    <xf numFmtId="0" fontId="32" fillId="0" borderId="74" xfId="0" applyFont="1" applyBorder="1" applyAlignment="1" applyProtection="1">
      <alignment vertical="center"/>
      <protection locked="0"/>
    </xf>
    <xf numFmtId="0" fontId="32" fillId="0" borderId="74" xfId="0" applyFont="1" applyBorder="1" applyAlignment="1" applyProtection="1">
      <alignment horizontal="center" vertical="center"/>
      <protection locked="0"/>
    </xf>
    <xf numFmtId="164" fontId="30" fillId="8" borderId="52" xfId="0" applyNumberFormat="1" applyFont="1" applyFill="1" applyBorder="1" applyAlignment="1" applyProtection="1">
      <alignment horizontal="center" vertical="center"/>
      <protection locked="0"/>
    </xf>
    <xf numFmtId="164" fontId="35" fillId="8" borderId="28" xfId="0" applyNumberFormat="1" applyFont="1" applyFill="1" applyBorder="1" applyAlignment="1">
      <alignment horizontal="center" vertical="center"/>
    </xf>
    <xf numFmtId="164" fontId="35" fillId="8" borderId="29" xfId="0" applyNumberFormat="1" applyFont="1" applyFill="1" applyBorder="1" applyAlignment="1">
      <alignment horizontal="center" vertical="center"/>
    </xf>
    <xf numFmtId="164" fontId="35" fillId="8" borderId="30" xfId="0" applyNumberFormat="1" applyFont="1" applyFill="1" applyBorder="1" applyAlignment="1">
      <alignment horizontal="center" vertical="center"/>
    </xf>
    <xf numFmtId="0" fontId="63" fillId="0" borderId="99" xfId="0" applyFont="1" applyBorder="1" applyAlignment="1" applyProtection="1">
      <alignment vertical="center"/>
      <protection locked="0"/>
    </xf>
    <xf numFmtId="0" fontId="56" fillId="0" borderId="78" xfId="0" applyFont="1" applyBorder="1" applyAlignment="1" applyProtection="1">
      <alignment vertical="center" wrapText="1"/>
      <protection locked="0"/>
    </xf>
    <xf numFmtId="0" fontId="32" fillId="0" borderId="78" xfId="0" applyFont="1" applyBorder="1" applyAlignment="1" applyProtection="1">
      <alignment vertical="center"/>
      <protection locked="0"/>
    </xf>
    <xf numFmtId="0" fontId="32" fillId="0" borderId="12" xfId="0" applyFont="1" applyBorder="1" applyAlignment="1" applyProtection="1">
      <alignment horizontal="center" vertical="center"/>
      <protection locked="0"/>
    </xf>
    <xf numFmtId="0" fontId="52" fillId="0" borderId="12" xfId="0" applyFont="1" applyBorder="1" applyAlignment="1" applyProtection="1">
      <alignment horizontal="center" vertical="center" wrapText="1"/>
      <protection locked="0"/>
    </xf>
    <xf numFmtId="0" fontId="32" fillId="0" borderId="27" xfId="0" applyFont="1" applyBorder="1" applyAlignment="1" applyProtection="1">
      <alignment vertical="center"/>
      <protection locked="0"/>
    </xf>
    <xf numFmtId="0" fontId="0" fillId="0" borderId="0" xfId="0" applyAlignment="1" applyProtection="1">
      <alignment horizontal="center"/>
      <protection locked="0"/>
    </xf>
    <xf numFmtId="0" fontId="0" fillId="26" borderId="12" xfId="0" applyFill="1" applyBorder="1" applyAlignment="1" applyProtection="1">
      <alignment horizontal="center"/>
      <protection locked="0"/>
    </xf>
    <xf numFmtId="0" fontId="39" fillId="0" borderId="28" xfId="0" applyFont="1" applyBorder="1" applyAlignment="1" applyProtection="1">
      <alignment horizontal="center" vertical="center" shrinkToFit="1"/>
      <protection locked="0"/>
    </xf>
    <xf numFmtId="0" fontId="39" fillId="0" borderId="29" xfId="0" applyFont="1" applyBorder="1" applyAlignment="1" applyProtection="1">
      <alignment horizontal="center" vertical="center" shrinkToFit="1"/>
      <protection locked="0"/>
    </xf>
    <xf numFmtId="0" fontId="39" fillId="0" borderId="30" xfId="0" applyFont="1" applyBorder="1" applyAlignment="1" applyProtection="1">
      <alignment horizontal="center" vertical="center" shrinkToFit="1"/>
      <protection locked="0"/>
    </xf>
    <xf numFmtId="0" fontId="39" fillId="0" borderId="31" xfId="0" applyFont="1" applyBorder="1" applyAlignment="1" applyProtection="1">
      <alignment horizontal="center" vertical="center" shrinkToFit="1"/>
      <protection locked="0"/>
    </xf>
    <xf numFmtId="0" fontId="0" fillId="27" borderId="0" xfId="0" applyFill="1"/>
    <xf numFmtId="0" fontId="57" fillId="0" borderId="0" xfId="0" applyFont="1" applyAlignment="1" applyProtection="1">
      <alignment vertical="center"/>
      <protection locked="0"/>
    </xf>
    <xf numFmtId="0" fontId="33" fillId="0" borderId="0" xfId="0" applyFont="1" applyAlignment="1" applyProtection="1">
      <alignment horizontal="left" vertical="center" indent="1"/>
      <protection locked="0"/>
    </xf>
    <xf numFmtId="0" fontId="32" fillId="0" borderId="11" xfId="0" applyFont="1" applyBorder="1" applyAlignment="1" applyProtection="1">
      <alignment vertical="center"/>
      <protection locked="0"/>
    </xf>
    <xf numFmtId="0" fontId="0" fillId="26" borderId="0" xfId="0" applyFill="1" applyAlignment="1">
      <alignment horizontal="center"/>
    </xf>
    <xf numFmtId="0" fontId="64" fillId="0" borderId="0" xfId="0" applyFont="1" applyAlignment="1" applyProtection="1">
      <alignment horizontal="center" vertical="center"/>
      <protection locked="0"/>
    </xf>
    <xf numFmtId="0" fontId="64" fillId="0" borderId="0" xfId="0" applyFont="1" applyAlignment="1" applyProtection="1">
      <alignment vertical="center"/>
      <protection locked="0"/>
    </xf>
    <xf numFmtId="0" fontId="52" fillId="0" borderId="0" xfId="0" applyFont="1" applyAlignment="1" applyProtection="1">
      <alignment horizontal="center" vertical="center"/>
      <protection locked="0"/>
    </xf>
    <xf numFmtId="0" fontId="0" fillId="0" borderId="12" xfId="0" applyBorder="1" applyAlignment="1">
      <alignment horizontal="center"/>
    </xf>
    <xf numFmtId="0" fontId="0" fillId="0" borderId="0" xfId="0" applyAlignment="1">
      <alignment horizontal="center"/>
    </xf>
    <xf numFmtId="0" fontId="0" fillId="27" borderId="12" xfId="0" applyFill="1" applyBorder="1" applyAlignment="1">
      <alignment horizontal="center"/>
    </xf>
    <xf numFmtId="0" fontId="20" fillId="27" borderId="12" xfId="0" applyFont="1" applyFill="1" applyBorder="1" applyAlignment="1">
      <alignment horizontal="center"/>
    </xf>
    <xf numFmtId="0" fontId="0" fillId="42" borderId="12" xfId="0" applyFill="1" applyBorder="1" applyAlignment="1">
      <alignment horizontal="center"/>
    </xf>
    <xf numFmtId="0" fontId="65" fillId="42" borderId="12" xfId="0" applyFont="1" applyFill="1" applyBorder="1" applyAlignment="1">
      <alignment horizontal="center"/>
    </xf>
    <xf numFmtId="0" fontId="0" fillId="44" borderId="12" xfId="0" applyFill="1" applyBorder="1" applyAlignment="1">
      <alignment horizontal="center"/>
    </xf>
    <xf numFmtId="0" fontId="65" fillId="44" borderId="12" xfId="0" applyFont="1" applyFill="1" applyBorder="1" applyAlignment="1">
      <alignment horizontal="center"/>
    </xf>
    <xf numFmtId="0" fontId="0" fillId="45" borderId="12" xfId="0" applyFill="1" applyBorder="1" applyAlignment="1">
      <alignment horizontal="center"/>
    </xf>
    <xf numFmtId="0" fontId="20" fillId="45" borderId="12" xfId="0" applyFont="1" applyFill="1" applyBorder="1" applyAlignment="1">
      <alignment horizontal="center" vertical="center"/>
    </xf>
    <xf numFmtId="0" fontId="0" fillId="46" borderId="12" xfId="0" applyFill="1" applyBorder="1" applyAlignment="1">
      <alignment horizontal="center"/>
    </xf>
    <xf numFmtId="0" fontId="20" fillId="46" borderId="12" xfId="0" applyFont="1" applyFill="1" applyBorder="1" applyAlignment="1">
      <alignment horizontal="center"/>
    </xf>
    <xf numFmtId="0" fontId="0" fillId="30" borderId="0" xfId="0" applyFill="1" applyAlignment="1">
      <alignment horizontal="center"/>
    </xf>
    <xf numFmtId="0" fontId="0" fillId="0" borderId="12" xfId="0" applyBorder="1"/>
    <xf numFmtId="0" fontId="0" fillId="47" borderId="0" xfId="0" applyFill="1" applyAlignment="1">
      <alignment horizontal="center"/>
    </xf>
    <xf numFmtId="0" fontId="0" fillId="48" borderId="0" xfId="0" applyFill="1" applyAlignment="1">
      <alignment horizontal="center"/>
    </xf>
    <xf numFmtId="0" fontId="0" fillId="34" borderId="0" xfId="0" applyFill="1" applyAlignment="1">
      <alignment horizontal="center"/>
    </xf>
    <xf numFmtId="0" fontId="20" fillId="0" borderId="0" xfId="0" applyFont="1" applyAlignment="1">
      <alignment horizontal="center"/>
    </xf>
    <xf numFmtId="0" fontId="0" fillId="34" borderId="0" xfId="0" applyFill="1"/>
    <xf numFmtId="0" fontId="65" fillId="0" borderId="12" xfId="0" applyFont="1" applyBorder="1" applyAlignment="1">
      <alignment horizontal="center"/>
    </xf>
    <xf numFmtId="0" fontId="0" fillId="26" borderId="12" xfId="0" applyFill="1" applyBorder="1"/>
    <xf numFmtId="0" fontId="20" fillId="0" borderId="12" xfId="0" applyFont="1" applyBorder="1"/>
    <xf numFmtId="0" fontId="57" fillId="0" borderId="0" xfId="0" applyFont="1" applyAlignment="1">
      <alignment horizontal="center" vertical="center"/>
    </xf>
    <xf numFmtId="0" fontId="39" fillId="0" borderId="91" xfId="0" applyFont="1" applyBorder="1" applyAlignment="1" applyProtection="1">
      <alignment horizontal="center" vertical="center" wrapText="1"/>
      <protection locked="0"/>
    </xf>
    <xf numFmtId="0" fontId="0" fillId="29" borderId="0" xfId="0" applyFill="1"/>
    <xf numFmtId="49" fontId="34" fillId="0" borderId="0" xfId="0" applyNumberFormat="1" applyFont="1" applyAlignment="1" applyProtection="1">
      <alignment horizontal="right" vertical="center"/>
      <protection locked="0"/>
    </xf>
    <xf numFmtId="0" fontId="52" fillId="34" borderId="88" xfId="0" applyFont="1" applyFill="1" applyBorder="1" applyAlignment="1" applyProtection="1">
      <alignment horizontal="center" vertical="center" wrapText="1"/>
      <protection locked="0"/>
    </xf>
    <xf numFmtId="0" fontId="52" fillId="34" borderId="90" xfId="0" applyFont="1" applyFill="1" applyBorder="1" applyAlignment="1" applyProtection="1">
      <alignment horizontal="center" vertical="center" wrapText="1"/>
      <protection locked="0"/>
    </xf>
    <xf numFmtId="0" fontId="52" fillId="34" borderId="86" xfId="0" applyFont="1" applyFill="1" applyBorder="1" applyAlignment="1" applyProtection="1">
      <alignment horizontal="center" vertical="center" wrapText="1"/>
      <protection locked="0"/>
    </xf>
    <xf numFmtId="0" fontId="52" fillId="40" borderId="90" xfId="0" applyFont="1" applyFill="1" applyBorder="1" applyAlignment="1" applyProtection="1">
      <alignment horizontal="center" vertical="center"/>
      <protection locked="0"/>
    </xf>
    <xf numFmtId="0" fontId="52" fillId="0" borderId="0" xfId="0" applyFont="1" applyAlignment="1" applyProtection="1">
      <alignment horizontal="center" vertical="center" wrapText="1"/>
      <protection locked="0"/>
    </xf>
    <xf numFmtId="0" fontId="66" fillId="0" borderId="0" xfId="0" applyFont="1" applyAlignment="1" applyProtection="1">
      <alignment horizontal="center" vertical="center"/>
      <protection locked="0"/>
    </xf>
    <xf numFmtId="0" fontId="32" fillId="0" borderId="12" xfId="0" applyFont="1" applyBorder="1" applyAlignment="1" applyProtection="1">
      <alignment horizontal="center" vertical="center" wrapText="1"/>
      <protection locked="0"/>
    </xf>
    <xf numFmtId="0" fontId="52" fillId="0" borderId="12" xfId="0" applyFont="1" applyBorder="1" applyAlignment="1" applyProtection="1">
      <alignment vertical="center"/>
      <protection locked="0"/>
    </xf>
    <xf numFmtId="0" fontId="52" fillId="43" borderId="12" xfId="0" applyFont="1" applyFill="1" applyBorder="1" applyAlignment="1" applyProtection="1">
      <alignment horizontal="center" vertical="center" wrapText="1"/>
      <protection locked="0"/>
    </xf>
    <xf numFmtId="0" fontId="67" fillId="43" borderId="12" xfId="0" applyFont="1" applyFill="1" applyBorder="1" applyAlignment="1" applyProtection="1">
      <alignment horizontal="center" vertical="center" wrapText="1"/>
      <protection locked="0"/>
    </xf>
    <xf numFmtId="0" fontId="68" fillId="43" borderId="12" xfId="0" applyFont="1" applyFill="1" applyBorder="1" applyAlignment="1" applyProtection="1">
      <alignment horizontal="center" vertical="center" wrapText="1"/>
      <protection locked="0"/>
    </xf>
    <xf numFmtId="0" fontId="52" fillId="40" borderId="12" xfId="0" applyFont="1" applyFill="1" applyBorder="1" applyAlignment="1" applyProtection="1">
      <alignment horizontal="center" vertical="center" wrapText="1"/>
      <protection locked="0"/>
    </xf>
    <xf numFmtId="0" fontId="70" fillId="40" borderId="12" xfId="0" applyFont="1" applyFill="1" applyBorder="1" applyAlignment="1" applyProtection="1">
      <alignment horizontal="center" vertical="center" wrapText="1"/>
      <protection locked="0"/>
    </xf>
    <xf numFmtId="0" fontId="71" fillId="40" borderId="12" xfId="0" applyFont="1" applyFill="1" applyBorder="1" applyAlignment="1" applyProtection="1">
      <alignment horizontal="center" vertical="center" wrapText="1"/>
      <protection locked="0"/>
    </xf>
    <xf numFmtId="0" fontId="67" fillId="40" borderId="12" xfId="0" applyFont="1" applyFill="1" applyBorder="1" applyAlignment="1" applyProtection="1">
      <alignment horizontal="center" vertical="center" wrapText="1"/>
      <protection locked="0"/>
    </xf>
    <xf numFmtId="0" fontId="72" fillId="40" borderId="12" xfId="0" applyFont="1" applyFill="1" applyBorder="1" applyAlignment="1" applyProtection="1">
      <alignment horizontal="center" vertical="center" wrapText="1"/>
      <protection locked="0"/>
    </xf>
    <xf numFmtId="0" fontId="30" fillId="2" borderId="0" xfId="0" applyFont="1" applyFill="1" applyAlignment="1" applyProtection="1">
      <alignment horizontal="center" vertical="center" wrapText="1"/>
      <protection locked="0"/>
    </xf>
    <xf numFmtId="0" fontId="39" fillId="0" borderId="0" xfId="0" applyFont="1" applyAlignment="1" applyProtection="1">
      <alignment horizontal="center" vertical="center" shrinkToFit="1"/>
      <protection locked="0"/>
    </xf>
    <xf numFmtId="0" fontId="49" fillId="0" borderId="0" xfId="0" applyFont="1" applyAlignment="1" applyProtection="1">
      <alignment horizontal="center" vertical="center" wrapText="1" shrinkToFit="1"/>
      <protection locked="0"/>
    </xf>
    <xf numFmtId="0" fontId="30" fillId="0" borderId="0" xfId="0" applyFont="1" applyAlignment="1" applyProtection="1">
      <alignment horizontal="center" vertical="center" wrapText="1"/>
      <protection locked="0"/>
    </xf>
    <xf numFmtId="0" fontId="0" fillId="0" borderId="12" xfId="0" applyBorder="1" applyAlignment="1">
      <alignment wrapText="1"/>
    </xf>
    <xf numFmtId="0" fontId="0" fillId="0" borderId="111" xfId="0" applyBorder="1" applyAlignment="1">
      <alignment wrapText="1"/>
    </xf>
    <xf numFmtId="0" fontId="0" fillId="34" borderId="12" xfId="0" applyFill="1" applyBorder="1" applyAlignment="1">
      <alignment horizontal="center"/>
    </xf>
    <xf numFmtId="0" fontId="39" fillId="25" borderId="18" xfId="0" applyFont="1" applyFill="1" applyBorder="1" applyAlignment="1" applyProtection="1">
      <alignment horizontal="center" vertical="center" wrapText="1"/>
      <protection locked="0"/>
    </xf>
    <xf numFmtId="0" fontId="39" fillId="25" borderId="21" xfId="0" applyFont="1" applyFill="1" applyBorder="1" applyAlignment="1" applyProtection="1">
      <alignment horizontal="center" vertical="center" wrapText="1"/>
      <protection locked="0"/>
    </xf>
    <xf numFmtId="0" fontId="0" fillId="49" borderId="0" xfId="0" applyFill="1"/>
    <xf numFmtId="0" fontId="30" fillId="50" borderId="49" xfId="0" applyFont="1" applyFill="1" applyBorder="1" applyAlignment="1" applyProtection="1">
      <alignment horizontal="center" vertical="center" wrapText="1"/>
      <protection locked="0"/>
    </xf>
    <xf numFmtId="0" fontId="0" fillId="0" borderId="12" xfId="0" applyBorder="1" applyAlignment="1" applyProtection="1">
      <alignment horizontal="center"/>
      <protection locked="0"/>
    </xf>
    <xf numFmtId="0" fontId="30" fillId="0" borderId="26" xfId="0" applyFont="1" applyBorder="1" applyAlignment="1" applyProtection="1">
      <alignment vertical="center"/>
      <protection locked="0"/>
    </xf>
    <xf numFmtId="0" fontId="0" fillId="31" borderId="0" xfId="0" applyFill="1"/>
    <xf numFmtId="0" fontId="0" fillId="30" borderId="0" xfId="0" applyFill="1"/>
    <xf numFmtId="0" fontId="21" fillId="0" borderId="46" xfId="0" applyFont="1" applyBorder="1"/>
    <xf numFmtId="0" fontId="39" fillId="25" borderId="16" xfId="0" applyFont="1" applyFill="1" applyBorder="1" applyAlignment="1" applyProtection="1">
      <alignment horizontal="center" vertical="center" wrapText="1"/>
      <protection locked="0"/>
    </xf>
    <xf numFmtId="0" fontId="21" fillId="34" borderId="12" xfId="0" applyFont="1" applyFill="1" applyBorder="1"/>
    <xf numFmtId="0" fontId="0" fillId="0" borderId="58" xfId="0" applyBorder="1" applyProtection="1">
      <protection locked="0"/>
    </xf>
    <xf numFmtId="0" fontId="0" fillId="0" borderId="36" xfId="0" applyBorder="1" applyProtection="1">
      <protection locked="0"/>
    </xf>
    <xf numFmtId="0" fontId="21" fillId="0" borderId="12" xfId="0" applyFont="1" applyBorder="1"/>
    <xf numFmtId="0" fontId="37" fillId="0" borderId="46" xfId="0" applyFont="1" applyBorder="1" applyAlignment="1" applyProtection="1">
      <alignment horizontal="right" vertical="center"/>
      <protection locked="0"/>
    </xf>
    <xf numFmtId="0" fontId="57" fillId="0" borderId="71" xfId="0" applyFont="1" applyBorder="1" applyAlignment="1" applyProtection="1">
      <alignment horizontal="center" vertical="center"/>
      <protection locked="0"/>
    </xf>
    <xf numFmtId="2" fontId="0" fillId="0" borderId="12" xfId="0" applyNumberFormat="1" applyBorder="1" applyAlignment="1" applyProtection="1">
      <alignment horizontal="center"/>
      <protection locked="0"/>
    </xf>
    <xf numFmtId="2" fontId="39" fillId="50" borderId="16" xfId="0" applyNumberFormat="1" applyFont="1" applyFill="1" applyBorder="1" applyAlignment="1">
      <alignment horizontal="center" vertical="center" wrapText="1"/>
    </xf>
    <xf numFmtId="2" fontId="39" fillId="50" borderId="18" xfId="0" applyNumberFormat="1" applyFont="1" applyFill="1" applyBorder="1" applyAlignment="1">
      <alignment horizontal="center" vertical="center" wrapText="1"/>
    </xf>
    <xf numFmtId="2" fontId="39" fillId="50" borderId="21" xfId="0" applyNumberFormat="1" applyFont="1" applyFill="1" applyBorder="1" applyAlignment="1">
      <alignment horizontal="center" vertical="center" wrapText="1"/>
    </xf>
    <xf numFmtId="0" fontId="20" fillId="0" borderId="111" xfId="0" applyFont="1" applyBorder="1"/>
    <xf numFmtId="0" fontId="33" fillId="0" borderId="111" xfId="0" applyFont="1" applyBorder="1" applyAlignment="1" applyProtection="1">
      <alignment vertical="center"/>
      <protection locked="0"/>
    </xf>
    <xf numFmtId="0" fontId="0" fillId="0" borderId="111" xfId="0" applyBorder="1" applyProtection="1">
      <protection locked="0"/>
    </xf>
    <xf numFmtId="0" fontId="31" fillId="0" borderId="0" xfId="0" applyFont="1" applyAlignment="1" applyProtection="1">
      <alignment vertical="center"/>
      <protection locked="0"/>
    </xf>
    <xf numFmtId="0" fontId="53" fillId="0" borderId="0" xfId="0" applyFont="1" applyAlignment="1" applyProtection="1">
      <alignment vertical="center"/>
      <protection locked="0"/>
    </xf>
    <xf numFmtId="0" fontId="32" fillId="0" borderId="11" xfId="0" applyFont="1" applyBorder="1" applyAlignment="1" applyProtection="1">
      <alignment horizontal="left" vertical="center"/>
      <protection locked="0"/>
    </xf>
    <xf numFmtId="0" fontId="52" fillId="0" borderId="0" xfId="0" applyFont="1" applyAlignment="1" applyProtection="1">
      <alignment vertical="center" wrapText="1"/>
      <protection locked="0"/>
    </xf>
    <xf numFmtId="0" fontId="29" fillId="0" borderId="11" xfId="0" applyFont="1" applyBorder="1" applyAlignment="1" applyProtection="1">
      <alignment horizontal="left" vertical="center" indent="1" shrinkToFit="1"/>
      <protection locked="0"/>
    </xf>
    <xf numFmtId="0" fontId="29" fillId="0" borderId="11" xfId="0" applyFont="1" applyBorder="1" applyAlignment="1" applyProtection="1">
      <alignment horizontal="center" vertical="center" shrinkToFit="1"/>
      <protection locked="0"/>
    </xf>
    <xf numFmtId="0" fontId="29" fillId="0" borderId="12" xfId="0" applyFont="1" applyBorder="1" applyAlignment="1" applyProtection="1">
      <alignment horizontal="center" vertical="center"/>
      <protection locked="0"/>
    </xf>
    <xf numFmtId="0" fontId="54" fillId="0" borderId="12" xfId="0" applyFont="1" applyBorder="1" applyAlignment="1">
      <alignment horizontal="center" vertical="center"/>
    </xf>
    <xf numFmtId="0" fontId="75" fillId="0" borderId="12" xfId="0" applyFont="1" applyBorder="1" applyAlignment="1" applyProtection="1">
      <alignment vertical="center"/>
      <protection locked="0"/>
    </xf>
    <xf numFmtId="0" fontId="33" fillId="0" borderId="11" xfId="0" applyFont="1" applyBorder="1" applyAlignment="1" applyProtection="1">
      <alignment vertical="center"/>
      <protection locked="0"/>
    </xf>
    <xf numFmtId="0" fontId="0" fillId="0" borderId="112" xfId="0" applyBorder="1"/>
    <xf numFmtId="0" fontId="76" fillId="0" borderId="0" xfId="0" applyFont="1" applyAlignment="1" applyProtection="1">
      <alignment horizontal="center"/>
      <protection locked="0"/>
    </xf>
    <xf numFmtId="0" fontId="77" fillId="2" borderId="49" xfId="0" applyFont="1" applyFill="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39" fillId="33" borderId="16" xfId="0" applyFont="1" applyFill="1" applyBorder="1" applyAlignment="1" applyProtection="1">
      <alignment horizontal="center" vertical="center" wrapText="1" shrinkToFit="1"/>
      <protection locked="0"/>
    </xf>
    <xf numFmtId="0" fontId="54" fillId="0" borderId="12" xfId="0" applyFont="1" applyBorder="1" applyAlignment="1" applyProtection="1">
      <alignment horizontal="center" vertical="center"/>
      <protection locked="0"/>
    </xf>
    <xf numFmtId="0" fontId="20" fillId="29" borderId="0" xfId="0" applyFont="1" applyFill="1"/>
    <xf numFmtId="0" fontId="54" fillId="0" borderId="12" xfId="0" applyFont="1" applyBorder="1" applyAlignment="1" applyProtection="1">
      <alignment horizontal="center" vertical="center" wrapText="1"/>
      <protection locked="0"/>
    </xf>
    <xf numFmtId="0" fontId="32" fillId="26" borderId="12" xfId="0" applyFont="1" applyFill="1" applyBorder="1" applyAlignment="1" applyProtection="1">
      <alignment horizontal="center" vertical="center"/>
      <protection locked="0"/>
    </xf>
    <xf numFmtId="0" fontId="52" fillId="29" borderId="93" xfId="0" applyFont="1" applyFill="1" applyBorder="1" applyAlignment="1" applyProtection="1">
      <alignment horizontal="center" vertical="center"/>
      <protection locked="0"/>
    </xf>
    <xf numFmtId="0" fontId="32" fillId="29" borderId="0" xfId="0" applyFont="1" applyFill="1" applyAlignment="1" applyProtection="1">
      <alignment horizontal="center" vertical="center"/>
      <protection locked="0"/>
    </xf>
    <xf numFmtId="0" fontId="54" fillId="29" borderId="12" xfId="0" applyFont="1" applyFill="1" applyBorder="1" applyAlignment="1">
      <alignment horizontal="center" vertical="center"/>
    </xf>
    <xf numFmtId="0" fontId="39" fillId="0" borderId="19" xfId="0" applyFont="1" applyBorder="1" applyAlignment="1" applyProtection="1">
      <alignment horizontal="center" vertical="center"/>
      <protection locked="0"/>
    </xf>
    <xf numFmtId="0" fontId="39" fillId="0" borderId="24" xfId="0" applyFont="1" applyBorder="1" applyAlignment="1" applyProtection="1">
      <alignment horizontal="center" vertical="center"/>
      <protection locked="0"/>
    </xf>
    <xf numFmtId="0" fontId="30" fillId="2" borderId="49" xfId="0" applyFont="1" applyFill="1" applyBorder="1" applyAlignment="1" applyProtection="1">
      <alignment horizontal="center" vertical="center"/>
      <protection locked="0"/>
    </xf>
    <xf numFmtId="0" fontId="39" fillId="0" borderId="20" xfId="0" applyFont="1" applyBorder="1" applyAlignment="1" applyProtection="1">
      <alignment horizontal="center" vertical="center"/>
      <protection locked="0"/>
    </xf>
    <xf numFmtId="0" fontId="39" fillId="0" borderId="63" xfId="0" applyFont="1" applyBorder="1" applyAlignment="1" applyProtection="1">
      <alignment horizontal="center" vertical="center"/>
      <protection locked="0"/>
    </xf>
    <xf numFmtId="0" fontId="28" fillId="0" borderId="58" xfId="0" applyFont="1" applyBorder="1" applyAlignment="1" applyProtection="1">
      <alignment vertical="center"/>
      <protection locked="0"/>
    </xf>
    <xf numFmtId="0" fontId="33" fillId="0" borderId="111" xfId="0" applyFont="1" applyBorder="1" applyAlignment="1" applyProtection="1">
      <alignment horizontal="center" vertical="center"/>
      <protection locked="0"/>
    </xf>
    <xf numFmtId="0" fontId="33" fillId="0" borderId="34" xfId="0" applyFont="1" applyBorder="1" applyAlignment="1" applyProtection="1">
      <alignment vertical="center"/>
      <protection locked="0"/>
    </xf>
    <xf numFmtId="0" fontId="57" fillId="0" borderId="12" xfId="0" applyFont="1" applyBorder="1" applyAlignment="1" applyProtection="1">
      <alignment horizontal="center" vertical="center" shrinkToFit="1"/>
      <protection locked="0"/>
    </xf>
    <xf numFmtId="0" fontId="0" fillId="52" borderId="12" xfId="0" applyFill="1" applyBorder="1" applyAlignment="1">
      <alignment horizontal="center" vertical="center"/>
    </xf>
    <xf numFmtId="0" fontId="0" fillId="53" borderId="12" xfId="0" applyFill="1" applyBorder="1" applyAlignment="1">
      <alignment horizontal="center" vertical="center"/>
    </xf>
    <xf numFmtId="0" fontId="0" fillId="54" borderId="12" xfId="0" applyFill="1" applyBorder="1" applyAlignment="1">
      <alignment horizontal="center" vertical="center"/>
    </xf>
    <xf numFmtId="0" fontId="0" fillId="55" borderId="12" xfId="0" applyFill="1" applyBorder="1" applyAlignment="1">
      <alignment horizontal="center" vertical="center"/>
    </xf>
    <xf numFmtId="0" fontId="0" fillId="56" borderId="12" xfId="0" applyFill="1" applyBorder="1" applyAlignment="1">
      <alignment horizontal="center" vertical="center"/>
    </xf>
    <xf numFmtId="0" fontId="0" fillId="57" borderId="12" xfId="0" applyFill="1" applyBorder="1" applyAlignment="1">
      <alignment horizontal="center" vertical="center"/>
    </xf>
    <xf numFmtId="0" fontId="0" fillId="58" borderId="12" xfId="0" applyFill="1" applyBorder="1" applyAlignment="1">
      <alignment horizontal="center" vertical="center"/>
    </xf>
    <xf numFmtId="0" fontId="0" fillId="47" borderId="12" xfId="0" applyFill="1" applyBorder="1" applyAlignment="1">
      <alignment horizontal="center" vertical="center"/>
    </xf>
    <xf numFmtId="0" fontId="55" fillId="55" borderId="12" xfId="0" applyFont="1" applyFill="1" applyBorder="1" applyAlignment="1">
      <alignment horizontal="center" vertical="center"/>
    </xf>
    <xf numFmtId="0" fontId="57" fillId="0" borderId="113" xfId="0" applyFont="1" applyBorder="1" applyAlignment="1" applyProtection="1">
      <alignment horizontal="center" vertical="center"/>
      <protection locked="0"/>
    </xf>
    <xf numFmtId="0" fontId="0" fillId="52" borderId="12" xfId="0" applyFill="1" applyBorder="1" applyAlignment="1">
      <alignment horizontal="center"/>
    </xf>
    <xf numFmtId="0" fontId="0" fillId="53" borderId="12" xfId="0" applyFill="1" applyBorder="1" applyAlignment="1">
      <alignment horizontal="center"/>
    </xf>
    <xf numFmtId="0" fontId="0" fillId="54" borderId="12" xfId="0" applyFill="1" applyBorder="1" applyAlignment="1">
      <alignment horizontal="center"/>
    </xf>
    <xf numFmtId="0" fontId="0" fillId="55" borderId="12" xfId="0" applyFill="1" applyBorder="1" applyAlignment="1">
      <alignment horizontal="center"/>
    </xf>
    <xf numFmtId="0" fontId="0" fillId="56" borderId="12" xfId="0" applyFill="1" applyBorder="1" applyAlignment="1">
      <alignment horizontal="center"/>
    </xf>
    <xf numFmtId="0" fontId="0" fillId="57" borderId="12" xfId="0" applyFill="1" applyBorder="1" applyAlignment="1">
      <alignment horizontal="center"/>
    </xf>
    <xf numFmtId="0" fontId="0" fillId="58" borderId="12" xfId="0" applyFill="1" applyBorder="1" applyAlignment="1">
      <alignment horizontal="center"/>
    </xf>
    <xf numFmtId="0" fontId="0" fillId="47" borderId="12" xfId="0" applyFill="1" applyBorder="1" applyAlignment="1">
      <alignment horizontal="center"/>
    </xf>
    <xf numFmtId="0" fontId="55" fillId="55" borderId="12" xfId="0" applyFont="1" applyFill="1" applyBorder="1" applyAlignment="1">
      <alignment horizontal="center"/>
    </xf>
    <xf numFmtId="0" fontId="0" fillId="0" borderId="12" xfId="0" applyBorder="1" applyAlignment="1" applyProtection="1">
      <alignment horizontal="center" vertical="center"/>
      <protection locked="0"/>
    </xf>
    <xf numFmtId="0" fontId="0" fillId="26" borderId="12" xfId="0" applyFill="1" applyBorder="1" applyAlignment="1" applyProtection="1">
      <alignment horizontal="center" vertical="center"/>
      <protection locked="0"/>
    </xf>
    <xf numFmtId="0" fontId="0" fillId="0" borderId="12" xfId="0" applyBorder="1" applyAlignment="1" applyProtection="1">
      <alignment horizontal="center" vertical="center" wrapText="1"/>
      <protection locked="0"/>
    </xf>
    <xf numFmtId="0" fontId="0" fillId="0" borderId="12" xfId="0" applyBorder="1" applyProtection="1">
      <protection locked="0"/>
    </xf>
    <xf numFmtId="0" fontId="0" fillId="26" borderId="0" xfId="0" applyFill="1" applyProtection="1">
      <protection locked="0"/>
    </xf>
    <xf numFmtId="0" fontId="0" fillId="0" borderId="26" xfId="0" applyBorder="1" applyProtection="1">
      <protection locked="0"/>
    </xf>
    <xf numFmtId="0" fontId="0" fillId="29" borderId="0" xfId="0" applyFill="1" applyProtection="1">
      <protection locked="0"/>
    </xf>
    <xf numFmtId="0" fontId="55" fillId="0" borderId="0" xfId="0" applyFont="1" applyAlignment="1">
      <alignment horizontal="center"/>
    </xf>
    <xf numFmtId="0" fontId="55" fillId="47" borderId="12" xfId="0" applyFont="1" applyFill="1" applyBorder="1" applyAlignment="1">
      <alignment horizontal="center"/>
    </xf>
    <xf numFmtId="0" fontId="55" fillId="47" borderId="26" xfId="0" applyFont="1" applyFill="1" applyBorder="1"/>
    <xf numFmtId="0" fontId="55" fillId="56" borderId="12" xfId="0" applyFont="1" applyFill="1" applyBorder="1" applyAlignment="1">
      <alignment horizontal="center"/>
    </xf>
    <xf numFmtId="0" fontId="55" fillId="56" borderId="12" xfId="0" applyFont="1" applyFill="1" applyBorder="1" applyAlignment="1">
      <alignment wrapText="1"/>
    </xf>
    <xf numFmtId="0" fontId="55" fillId="47" borderId="12" xfId="0" applyFont="1" applyFill="1" applyBorder="1" applyAlignment="1">
      <alignment horizontal="center" vertical="center"/>
    </xf>
    <xf numFmtId="0" fontId="52" fillId="47" borderId="26" xfId="0" applyFont="1" applyFill="1" applyBorder="1" applyAlignment="1">
      <alignment horizontal="center" vertical="center"/>
    </xf>
    <xf numFmtId="0" fontId="55" fillId="56" borderId="12" xfId="0" applyFont="1" applyFill="1" applyBorder="1" applyAlignment="1">
      <alignment horizontal="center" vertical="center"/>
    </xf>
    <xf numFmtId="0" fontId="52" fillId="56" borderId="12" xfId="0" applyFont="1" applyFill="1" applyBorder="1" applyAlignment="1">
      <alignment horizontal="center" vertical="center"/>
    </xf>
    <xf numFmtId="0" fontId="55" fillId="0" borderId="0" xfId="0" applyFont="1" applyAlignment="1">
      <alignment vertical="center"/>
    </xf>
    <xf numFmtId="0" fontId="57" fillId="0" borderId="111" xfId="0" applyFont="1" applyBorder="1" applyAlignment="1" applyProtection="1">
      <alignment horizontal="center" vertical="center"/>
      <protection locked="0"/>
    </xf>
    <xf numFmtId="0" fontId="52" fillId="29" borderId="93" xfId="0" applyFont="1" applyFill="1" applyBorder="1" applyAlignment="1" applyProtection="1">
      <alignment horizontal="center" vertical="center" wrapText="1"/>
      <protection locked="0"/>
    </xf>
    <xf numFmtId="0" fontId="0" fillId="59" borderId="0" xfId="0" applyFill="1"/>
    <xf numFmtId="0" fontId="20" fillId="59" borderId="0" xfId="0" applyFont="1" applyFill="1"/>
    <xf numFmtId="0" fontId="52" fillId="59" borderId="93" xfId="0" applyFont="1" applyFill="1" applyBorder="1" applyAlignment="1" applyProtection="1">
      <alignment horizontal="center" vertical="center" wrapText="1"/>
      <protection locked="0"/>
    </xf>
    <xf numFmtId="0" fontId="32" fillId="59" borderId="12" xfId="0" applyFont="1" applyFill="1" applyBorder="1" applyAlignment="1" applyProtection="1">
      <alignment horizontal="center" vertical="center"/>
      <protection locked="0"/>
    </xf>
    <xf numFmtId="0" fontId="52" fillId="59" borderId="93" xfId="0" applyFont="1" applyFill="1" applyBorder="1" applyAlignment="1" applyProtection="1">
      <alignment horizontal="center" vertical="center"/>
      <protection locked="0"/>
    </xf>
    <xf numFmtId="0" fontId="54" fillId="59" borderId="12" xfId="0" applyFont="1" applyFill="1" applyBorder="1" applyAlignment="1">
      <alignment horizontal="center" vertical="center"/>
    </xf>
    <xf numFmtId="0" fontId="37" fillId="59" borderId="26" xfId="0" applyFont="1" applyFill="1" applyBorder="1" applyAlignment="1" applyProtection="1">
      <alignment horizontal="center" vertical="center" wrapText="1"/>
      <protection locked="0"/>
    </xf>
    <xf numFmtId="0" fontId="32" fillId="59" borderId="26" xfId="0" applyFont="1" applyFill="1" applyBorder="1" applyAlignment="1" applyProtection="1">
      <alignment horizontal="center" vertical="center"/>
      <protection locked="0"/>
    </xf>
    <xf numFmtId="0" fontId="37" fillId="59" borderId="12" xfId="0" applyFont="1" applyFill="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52" fillId="31" borderId="93" xfId="0" applyFont="1" applyFill="1" applyBorder="1" applyAlignment="1" applyProtection="1">
      <alignment horizontal="center" vertical="center"/>
      <protection locked="0"/>
    </xf>
    <xf numFmtId="0" fontId="52" fillId="31" borderId="93" xfId="0" applyFont="1" applyFill="1" applyBorder="1" applyAlignment="1">
      <alignment horizontal="center" vertical="center" wrapText="1"/>
    </xf>
    <xf numFmtId="0" fontId="52" fillId="59" borderId="93" xfId="0" applyFont="1" applyFill="1" applyBorder="1" applyAlignment="1">
      <alignment horizontal="center" vertical="center" wrapText="1"/>
    </xf>
    <xf numFmtId="0" fontId="39" fillId="59" borderId="12" xfId="0" applyFont="1" applyFill="1" applyBorder="1" applyAlignment="1">
      <alignment horizontal="center" vertical="center" wrapText="1"/>
    </xf>
    <xf numFmtId="0" fontId="19" fillId="59" borderId="0" xfId="34" applyFill="1" applyAlignment="1" applyProtection="1"/>
    <xf numFmtId="0" fontId="29" fillId="59" borderId="12" xfId="0" applyFont="1" applyFill="1" applyBorder="1" applyAlignment="1" applyProtection="1">
      <alignment horizontal="center" vertical="center" wrapText="1"/>
      <protection locked="0"/>
    </xf>
    <xf numFmtId="0" fontId="64" fillId="29" borderId="0" xfId="0" applyFont="1" applyFill="1" applyAlignment="1" applyProtection="1">
      <alignment horizontal="center" vertical="center"/>
      <protection locked="0"/>
    </xf>
    <xf numFmtId="0" fontId="52" fillId="29" borderId="12" xfId="0" applyFont="1" applyFill="1" applyBorder="1" applyAlignment="1" applyProtection="1">
      <alignment horizontal="center" vertical="center"/>
      <protection locked="0"/>
    </xf>
    <xf numFmtId="0" fontId="52" fillId="29" borderId="0" xfId="0" applyFont="1" applyFill="1" applyAlignment="1" applyProtection="1">
      <alignment horizontal="center" vertical="center"/>
      <protection locked="0"/>
    </xf>
    <xf numFmtId="0" fontId="32" fillId="59" borderId="0" xfId="0" applyFont="1" applyFill="1" applyAlignment="1" applyProtection="1">
      <alignment horizontal="center" vertical="center"/>
      <protection locked="0"/>
    </xf>
    <xf numFmtId="0" fontId="52" fillId="59" borderId="0" xfId="0" applyFont="1" applyFill="1" applyAlignment="1" applyProtection="1">
      <alignment horizontal="center"/>
      <protection locked="0"/>
    </xf>
    <xf numFmtId="0" fontId="78" fillId="0" borderId="0" xfId="0" applyFont="1"/>
    <xf numFmtId="0" fontId="79" fillId="0" borderId="7" xfId="0" applyFont="1" applyBorder="1" applyAlignment="1">
      <alignment horizontal="left" wrapText="1"/>
    </xf>
    <xf numFmtId="0" fontId="78" fillId="26" borderId="0" xfId="0" applyFont="1" applyFill="1"/>
    <xf numFmtId="0" fontId="78" fillId="0" borderId="0" xfId="0" applyFont="1" applyAlignment="1">
      <alignment wrapText="1"/>
    </xf>
    <xf numFmtId="0" fontId="80" fillId="0" borderId="0" xfId="0" applyFont="1"/>
    <xf numFmtId="0" fontId="78" fillId="0" borderId="12" xfId="0" applyFont="1" applyBorder="1"/>
    <xf numFmtId="0" fontId="78" fillId="0" borderId="0" xfId="0" applyFont="1" applyAlignment="1">
      <alignment horizontal="center"/>
    </xf>
    <xf numFmtId="0" fontId="78" fillId="29" borderId="0" xfId="0" applyFont="1" applyFill="1"/>
    <xf numFmtId="0" fontId="78" fillId="31" borderId="0" xfId="0" applyFont="1" applyFill="1"/>
    <xf numFmtId="0" fontId="78" fillId="29" borderId="12" xfId="0" applyFont="1" applyFill="1" applyBorder="1"/>
    <xf numFmtId="0" fontId="78" fillId="26" borderId="12" xfId="0" applyFont="1" applyFill="1" applyBorder="1"/>
    <xf numFmtId="0" fontId="78" fillId="59" borderId="12" xfId="0" applyFont="1" applyFill="1" applyBorder="1"/>
    <xf numFmtId="0" fontId="78" fillId="59" borderId="0" xfId="0" applyFont="1" applyFill="1"/>
    <xf numFmtId="0" fontId="78" fillId="0" borderId="12" xfId="0" applyFont="1" applyBorder="1" applyAlignment="1">
      <alignment horizontal="center"/>
    </xf>
    <xf numFmtId="0" fontId="78" fillId="0" borderId="12" xfId="0" applyFont="1" applyBorder="1" applyAlignment="1">
      <alignment wrapText="1"/>
    </xf>
    <xf numFmtId="0" fontId="79" fillId="0" borderId="7" xfId="0" applyFont="1" applyBorder="1" applyAlignment="1">
      <alignment horizontal="left"/>
    </xf>
    <xf numFmtId="0" fontId="81" fillId="0" borderId="0" xfId="0" applyFont="1" applyProtection="1">
      <protection locked="0"/>
    </xf>
    <xf numFmtId="0" fontId="81" fillId="0" borderId="0" xfId="0" applyFont="1" applyAlignment="1" applyProtection="1">
      <alignment wrapText="1"/>
      <protection locked="0"/>
    </xf>
    <xf numFmtId="0" fontId="81" fillId="0" borderId="0" xfId="0" applyFont="1" applyAlignment="1" applyProtection="1">
      <alignment vertical="center"/>
      <protection locked="0"/>
    </xf>
    <xf numFmtId="0" fontId="88" fillId="10" borderId="12" xfId="0" applyFont="1" applyFill="1" applyBorder="1" applyAlignment="1" applyProtection="1">
      <alignment horizontal="center"/>
      <protection locked="0"/>
    </xf>
    <xf numFmtId="1" fontId="89" fillId="0" borderId="12" xfId="0" applyNumberFormat="1" applyFont="1" applyBorder="1" applyAlignment="1">
      <alignment horizontal="center"/>
    </xf>
    <xf numFmtId="0" fontId="81" fillId="27" borderId="12" xfId="0" applyFont="1" applyFill="1" applyBorder="1" applyAlignment="1" applyProtection="1">
      <alignment horizontal="center"/>
      <protection locked="0"/>
    </xf>
    <xf numFmtId="0" fontId="81" fillId="29" borderId="12" xfId="0" applyFont="1" applyFill="1" applyBorder="1" applyAlignment="1" applyProtection="1">
      <alignment horizontal="center"/>
      <protection locked="0"/>
    </xf>
    <xf numFmtId="0" fontId="89" fillId="0" borderId="12" xfId="0" applyFont="1" applyBorder="1" applyAlignment="1">
      <alignment horizontal="center"/>
    </xf>
    <xf numFmtId="0" fontId="81" fillId="43" borderId="12" xfId="0" applyFont="1" applyFill="1" applyBorder="1" applyAlignment="1" applyProtection="1">
      <alignment horizontal="center"/>
      <protection locked="0"/>
    </xf>
    <xf numFmtId="0" fontId="81" fillId="31" borderId="12" xfId="0" applyFont="1" applyFill="1" applyBorder="1" applyAlignment="1" applyProtection="1">
      <alignment horizontal="center"/>
      <protection locked="0"/>
    </xf>
    <xf numFmtId="0" fontId="89" fillId="0" borderId="27" xfId="0" applyFont="1" applyBorder="1" applyProtection="1">
      <protection locked="0"/>
    </xf>
    <xf numFmtId="0" fontId="89" fillId="0" borderId="0" xfId="0" applyFont="1" applyAlignment="1" applyProtection="1">
      <alignment horizontal="center"/>
      <protection locked="0"/>
    </xf>
    <xf numFmtId="0" fontId="81" fillId="0" borderId="0" xfId="0" applyFont="1" applyAlignment="1" applyProtection="1">
      <alignment horizontal="center"/>
      <protection locked="0"/>
    </xf>
    <xf numFmtId="0" fontId="81" fillId="26" borderId="12" xfId="0" applyFont="1" applyFill="1" applyBorder="1" applyAlignment="1" applyProtection="1">
      <alignment horizontal="center"/>
      <protection locked="0"/>
    </xf>
    <xf numFmtId="0" fontId="81" fillId="30" borderId="12" xfId="0" applyFont="1" applyFill="1" applyBorder="1" applyAlignment="1" applyProtection="1">
      <alignment horizontal="center"/>
      <protection locked="0"/>
    </xf>
    <xf numFmtId="0" fontId="81" fillId="42" borderId="12" xfId="0" applyFont="1" applyFill="1" applyBorder="1" applyAlignment="1" applyProtection="1">
      <alignment horizontal="center"/>
      <protection locked="0"/>
    </xf>
    <xf numFmtId="0" fontId="81" fillId="51" borderId="12" xfId="0" applyFont="1" applyFill="1" applyBorder="1" applyAlignment="1" applyProtection="1">
      <alignment horizontal="center"/>
      <protection locked="0"/>
    </xf>
    <xf numFmtId="0" fontId="90" fillId="0" borderId="12" xfId="0" applyFont="1" applyBorder="1" applyAlignment="1" applyProtection="1">
      <alignment horizontal="center"/>
      <protection locked="0"/>
    </xf>
    <xf numFmtId="0" fontId="0" fillId="26" borderId="0" xfId="0" applyFill="1" applyAlignment="1" applyProtection="1">
      <alignment horizontal="center" vertical="center"/>
      <protection locked="0"/>
    </xf>
    <xf numFmtId="0" fontId="97" fillId="0" borderId="0" xfId="0" applyFont="1" applyAlignment="1" applyProtection="1">
      <alignment horizontal="left" vertical="center"/>
      <protection locked="0"/>
    </xf>
    <xf numFmtId="0" fontId="93" fillId="0" borderId="0" xfId="0" applyFont="1" applyProtection="1">
      <protection locked="0"/>
    </xf>
    <xf numFmtId="0" fontId="94" fillId="0" borderId="0" xfId="0" applyFont="1" applyAlignment="1" applyProtection="1">
      <alignment horizontal="left" vertical="center" indent="1" shrinkToFit="1"/>
      <protection locked="0"/>
    </xf>
    <xf numFmtId="0" fontId="93" fillId="0" borderId="0" xfId="0" applyFont="1" applyAlignment="1" applyProtection="1">
      <alignment horizontal="left" vertical="center"/>
      <protection locked="0"/>
    </xf>
    <xf numFmtId="0" fontId="93" fillId="0" borderId="0" xfId="0" applyFont="1" applyAlignment="1" applyProtection="1">
      <alignment horizontal="center" vertical="center"/>
      <protection locked="0"/>
    </xf>
    <xf numFmtId="0" fontId="103" fillId="0" borderId="33" xfId="0" applyFont="1" applyBorder="1" applyAlignment="1" applyProtection="1">
      <alignment horizontal="left" vertical="center"/>
      <protection locked="0"/>
    </xf>
    <xf numFmtId="0" fontId="94" fillId="0" borderId="0" xfId="0" applyFont="1" applyAlignment="1" applyProtection="1">
      <alignment horizontal="center" vertical="center" shrinkToFit="1"/>
      <protection locked="0"/>
    </xf>
    <xf numFmtId="0" fontId="97" fillId="0" borderId="0" xfId="0" applyFont="1" applyAlignment="1" applyProtection="1">
      <alignment vertical="center"/>
      <protection locked="0"/>
    </xf>
    <xf numFmtId="0" fontId="97" fillId="0" borderId="0" xfId="0" applyFont="1" applyAlignment="1" applyProtection="1">
      <alignment horizontal="center" vertical="center"/>
      <protection locked="0"/>
    </xf>
    <xf numFmtId="0" fontId="95" fillId="2" borderId="48" xfId="0" applyFont="1" applyFill="1" applyBorder="1" applyAlignment="1" applyProtection="1">
      <alignment horizontal="center" vertical="center" wrapText="1"/>
      <protection locked="0"/>
    </xf>
    <xf numFmtId="0" fontId="95" fillId="2" borderId="49" xfId="0" applyFont="1" applyFill="1" applyBorder="1" applyAlignment="1" applyProtection="1">
      <alignment horizontal="center" vertical="center" wrapText="1"/>
      <protection locked="0"/>
    </xf>
    <xf numFmtId="0" fontId="95" fillId="2" borderId="50" xfId="0" applyFont="1" applyFill="1" applyBorder="1" applyAlignment="1" applyProtection="1">
      <alignment horizontal="center" vertical="center" wrapText="1"/>
      <protection locked="0"/>
    </xf>
    <xf numFmtId="0" fontId="95" fillId="2" borderId="51" xfId="0" applyFont="1" applyFill="1" applyBorder="1" applyAlignment="1" applyProtection="1">
      <alignment horizontal="center" vertical="center" wrapText="1"/>
      <protection locked="0"/>
    </xf>
    <xf numFmtId="0" fontId="95" fillId="2" borderId="52" xfId="0" applyFont="1" applyFill="1" applyBorder="1" applyAlignment="1" applyProtection="1">
      <alignment horizontal="center" vertical="center" wrapText="1"/>
      <protection locked="0"/>
    </xf>
    <xf numFmtId="0" fontId="95" fillId="2" borderId="0" xfId="0" applyFont="1" applyFill="1" applyAlignment="1" applyProtection="1">
      <alignment horizontal="center" vertical="center" wrapText="1"/>
      <protection locked="0"/>
    </xf>
    <xf numFmtId="0" fontId="95" fillId="0" borderId="40" xfId="0" applyFont="1" applyBorder="1" applyAlignment="1" applyProtection="1">
      <alignment horizontal="center" vertical="center"/>
      <protection locked="0"/>
    </xf>
    <xf numFmtId="0" fontId="106" fillId="0" borderId="24" xfId="0" applyFont="1" applyBorder="1" applyAlignment="1" applyProtection="1">
      <alignment horizontal="center" vertical="center" wrapText="1"/>
      <protection locked="0"/>
    </xf>
    <xf numFmtId="0" fontId="106" fillId="0" borderId="16" xfId="0" applyFont="1" applyBorder="1" applyAlignment="1" applyProtection="1">
      <alignment horizontal="center" vertical="center" wrapText="1"/>
      <protection locked="0"/>
    </xf>
    <xf numFmtId="0" fontId="106" fillId="0" borderId="25" xfId="0" applyFont="1" applyBorder="1" applyAlignment="1" applyProtection="1">
      <alignment horizontal="center" vertical="center"/>
      <protection locked="0"/>
    </xf>
    <xf numFmtId="0" fontId="106" fillId="0" borderId="16" xfId="0" applyFont="1" applyBorder="1" applyAlignment="1" applyProtection="1">
      <alignment horizontal="center" vertical="center"/>
      <protection locked="0"/>
    </xf>
    <xf numFmtId="0" fontId="106" fillId="0" borderId="16" xfId="0" applyFont="1" applyBorder="1" applyAlignment="1" applyProtection="1">
      <alignment horizontal="center" vertical="center" wrapText="1" shrinkToFit="1"/>
      <protection locked="0"/>
    </xf>
    <xf numFmtId="0" fontId="106" fillId="0" borderId="25" xfId="0" applyFont="1" applyBorder="1" applyAlignment="1" applyProtection="1">
      <alignment horizontal="center" vertical="center" wrapText="1"/>
      <protection locked="0"/>
    </xf>
    <xf numFmtId="0" fontId="106" fillId="0" borderId="31" xfId="0" applyFont="1" applyBorder="1" applyAlignment="1" applyProtection="1">
      <alignment horizontal="center" vertical="center" shrinkToFit="1"/>
      <protection locked="0"/>
    </xf>
    <xf numFmtId="0" fontId="106" fillId="0" borderId="0" xfId="0" applyFont="1" applyAlignment="1" applyProtection="1">
      <alignment horizontal="center" vertical="center" shrinkToFit="1"/>
      <protection locked="0"/>
    </xf>
    <xf numFmtId="0" fontId="107" fillId="0" borderId="0" xfId="0" applyFont="1" applyAlignment="1" applyProtection="1">
      <alignment horizontal="center" vertical="center" wrapText="1" shrinkToFit="1"/>
      <protection locked="0"/>
    </xf>
    <xf numFmtId="0" fontId="95" fillId="0" borderId="41" xfId="0" applyFont="1" applyBorder="1" applyAlignment="1" applyProtection="1">
      <alignment horizontal="center" vertical="center"/>
      <protection locked="0"/>
    </xf>
    <xf numFmtId="0" fontId="106" fillId="0" borderId="18" xfId="0" applyFont="1" applyBorder="1" applyAlignment="1" applyProtection="1">
      <alignment horizontal="center" vertical="center" wrapText="1"/>
      <protection locked="0"/>
    </xf>
    <xf numFmtId="0" fontId="106" fillId="0" borderId="19" xfId="0" applyFont="1" applyBorder="1" applyAlignment="1" applyProtection="1">
      <alignment horizontal="center" vertical="center" wrapText="1"/>
      <protection locked="0"/>
    </xf>
    <xf numFmtId="0" fontId="106" fillId="0" borderId="18" xfId="0" applyFont="1" applyBorder="1" applyAlignment="1" applyProtection="1">
      <alignment horizontal="center" vertical="center"/>
      <protection locked="0"/>
    </xf>
    <xf numFmtId="0" fontId="106" fillId="0" borderId="18" xfId="0" applyFont="1" applyBorder="1" applyAlignment="1" applyProtection="1">
      <alignment horizontal="center" vertical="center" wrapText="1" shrinkToFit="1"/>
      <protection locked="0"/>
    </xf>
    <xf numFmtId="0" fontId="106" fillId="0" borderId="29" xfId="0" applyFont="1" applyBorder="1" applyAlignment="1" applyProtection="1">
      <alignment horizontal="center" vertical="center" shrinkToFit="1"/>
      <protection locked="0"/>
    </xf>
    <xf numFmtId="0" fontId="95" fillId="0" borderId="42" xfId="0" applyFont="1" applyBorder="1" applyAlignment="1" applyProtection="1">
      <alignment horizontal="center" vertical="center"/>
      <protection locked="0"/>
    </xf>
    <xf numFmtId="0" fontId="106" fillId="0" borderId="20" xfId="0" applyFont="1" applyBorder="1" applyAlignment="1" applyProtection="1">
      <alignment horizontal="center" vertical="center" wrapText="1"/>
      <protection locked="0"/>
    </xf>
    <xf numFmtId="0" fontId="106" fillId="0" borderId="17" xfId="0" applyFont="1" applyBorder="1" applyAlignment="1" applyProtection="1">
      <alignment horizontal="center" vertical="center" wrapText="1"/>
      <protection locked="0"/>
    </xf>
    <xf numFmtId="0" fontId="106" fillId="0" borderId="55" xfId="0" applyFont="1" applyBorder="1" applyAlignment="1" applyProtection="1">
      <alignment horizontal="center" vertical="center" wrapText="1"/>
      <protection locked="0"/>
    </xf>
    <xf numFmtId="0" fontId="106" fillId="0" borderId="14" xfId="0" applyFont="1" applyBorder="1" applyAlignment="1" applyProtection="1">
      <alignment horizontal="center" vertical="center" wrapText="1"/>
      <protection locked="0"/>
    </xf>
    <xf numFmtId="0" fontId="106" fillId="0" borderId="15" xfId="0" applyFont="1" applyBorder="1" applyAlignment="1" applyProtection="1">
      <alignment horizontal="center" vertical="center" wrapText="1"/>
      <protection locked="0"/>
    </xf>
    <xf numFmtId="0" fontId="97" fillId="0" borderId="18" xfId="0" applyFont="1" applyBorder="1" applyAlignment="1" applyProtection="1">
      <alignment vertical="center"/>
      <protection locked="0"/>
    </xf>
    <xf numFmtId="0" fontId="95" fillId="0" borderId="43" xfId="0" applyFont="1" applyBorder="1" applyAlignment="1" applyProtection="1">
      <alignment horizontal="center" vertical="center"/>
      <protection locked="0"/>
    </xf>
    <xf numFmtId="0" fontId="106" fillId="0" borderId="21" xfId="0" applyFont="1" applyBorder="1" applyAlignment="1" applyProtection="1">
      <alignment horizontal="center" vertical="center" wrapText="1"/>
      <protection locked="0"/>
    </xf>
    <xf numFmtId="0" fontId="97" fillId="0" borderId="21" xfId="0" applyFont="1" applyBorder="1" applyAlignment="1" applyProtection="1">
      <alignment vertical="center"/>
      <protection locked="0"/>
    </xf>
    <xf numFmtId="0" fontId="106" fillId="0" borderId="22" xfId="0" applyFont="1" applyBorder="1" applyAlignment="1" applyProtection="1">
      <alignment horizontal="center" vertical="center" wrapText="1"/>
      <protection locked="0"/>
    </xf>
    <xf numFmtId="0" fontId="106" fillId="0" borderId="21" xfId="0" applyFont="1" applyBorder="1" applyAlignment="1" applyProtection="1">
      <alignment horizontal="center" vertical="center"/>
      <protection locked="0"/>
    </xf>
    <xf numFmtId="0" fontId="106" fillId="0" borderId="21" xfId="0" applyFont="1" applyBorder="1" applyAlignment="1" applyProtection="1">
      <alignment horizontal="center" vertical="center" wrapText="1" shrinkToFit="1"/>
      <protection locked="0"/>
    </xf>
    <xf numFmtId="0" fontId="106" fillId="0" borderId="30" xfId="0" applyFont="1" applyBorder="1" applyAlignment="1" applyProtection="1">
      <alignment horizontal="center" vertical="center" shrinkToFit="1"/>
      <protection locked="0"/>
    </xf>
    <xf numFmtId="0" fontId="108" fillId="25" borderId="12" xfId="0" applyFont="1" applyFill="1" applyBorder="1" applyAlignment="1" applyProtection="1">
      <alignment horizontal="center" vertical="center" wrapText="1"/>
      <protection locked="0"/>
    </xf>
    <xf numFmtId="0" fontId="23" fillId="0" borderId="0" xfId="0" applyFont="1" applyAlignment="1" applyProtection="1">
      <alignment horizontal="center" vertical="center"/>
      <protection locked="0"/>
    </xf>
    <xf numFmtId="0" fontId="23" fillId="0" borderId="0" xfId="0" applyFont="1" applyProtection="1">
      <protection locked="0"/>
    </xf>
    <xf numFmtId="0" fontId="108" fillId="25" borderId="12" xfId="34" applyFont="1" applyFill="1" applyBorder="1" applyAlignment="1" applyProtection="1">
      <alignment horizontal="center" vertical="center" wrapText="1"/>
      <protection locked="0"/>
    </xf>
    <xf numFmtId="0" fontId="20" fillId="0" borderId="36" xfId="0" applyFont="1" applyBorder="1" applyAlignment="1" applyProtection="1">
      <alignment horizontal="center" vertical="center"/>
      <protection locked="0"/>
    </xf>
    <xf numFmtId="0" fontId="0" fillId="27" borderId="12" xfId="0" applyFill="1" applyBorder="1"/>
    <xf numFmtId="0" fontId="0" fillId="34" borderId="12" xfId="0" applyFill="1" applyBorder="1"/>
    <xf numFmtId="0" fontId="0" fillId="58" borderId="0" xfId="0" applyFill="1"/>
    <xf numFmtId="0" fontId="78" fillId="58" borderId="0" xfId="0" applyFont="1" applyFill="1"/>
    <xf numFmtId="0" fontId="21" fillId="29" borderId="111" xfId="0" applyFont="1" applyFill="1" applyBorder="1"/>
    <xf numFmtId="0" fontId="0" fillId="52" borderId="0" xfId="0" applyFill="1" applyAlignment="1">
      <alignment horizontal="center"/>
    </xf>
    <xf numFmtId="0" fontId="0" fillId="52" borderId="26" xfId="0" applyFill="1" applyBorder="1" applyAlignment="1">
      <alignment horizontal="center"/>
    </xf>
    <xf numFmtId="0" fontId="0" fillId="47" borderId="26" xfId="0" applyFill="1" applyBorder="1" applyAlignment="1">
      <alignment horizontal="center"/>
    </xf>
    <xf numFmtId="0" fontId="0" fillId="0" borderId="26" xfId="0" applyBorder="1"/>
    <xf numFmtId="0" fontId="0" fillId="0" borderId="62" xfId="0" applyBorder="1"/>
    <xf numFmtId="0" fontId="109" fillId="0" borderId="12" xfId="0" applyFont="1" applyBorder="1" applyAlignment="1">
      <alignment vertical="center"/>
    </xf>
    <xf numFmtId="0" fontId="109" fillId="0" borderId="26" xfId="0" applyFont="1" applyBorder="1" applyAlignment="1">
      <alignment vertical="center"/>
    </xf>
    <xf numFmtId="0" fontId="0" fillId="0" borderId="47" xfId="0" applyBorder="1"/>
    <xf numFmtId="0" fontId="0" fillId="0" borderId="36" xfId="0" applyBorder="1" applyAlignment="1" applyProtection="1">
      <alignment horizontal="center"/>
      <protection locked="0"/>
    </xf>
    <xf numFmtId="0" fontId="110" fillId="60" borderId="12" xfId="0" applyFont="1" applyFill="1" applyBorder="1" applyAlignment="1">
      <alignment vertical="center"/>
    </xf>
    <xf numFmtId="0" fontId="0" fillId="26" borderId="0" xfId="0" applyFill="1" applyAlignment="1" applyProtection="1">
      <alignment horizontal="center"/>
      <protection locked="0"/>
    </xf>
    <xf numFmtId="0" fontId="78" fillId="26" borderId="12" xfId="0" applyFont="1" applyFill="1" applyBorder="1" applyAlignment="1">
      <alignment horizontal="center" vertical="center"/>
    </xf>
    <xf numFmtId="0" fontId="78" fillId="47" borderId="12" xfId="0" applyFont="1" applyFill="1" applyBorder="1" applyAlignment="1">
      <alignment horizontal="center" vertical="center"/>
    </xf>
    <xf numFmtId="0" fontId="0" fillId="0" borderId="36" xfId="0" applyBorder="1"/>
    <xf numFmtId="0" fontId="0" fillId="33" borderId="12" xfId="0" applyFill="1" applyBorder="1"/>
    <xf numFmtId="0" fontId="109" fillId="0" borderId="36" xfId="0" applyFont="1" applyBorder="1" applyAlignment="1">
      <alignment vertical="center"/>
    </xf>
    <xf numFmtId="0" fontId="110" fillId="26" borderId="114" xfId="0" applyFont="1" applyFill="1" applyBorder="1" applyAlignment="1">
      <alignment vertical="center"/>
    </xf>
    <xf numFmtId="0" fontId="111" fillId="26" borderId="115" xfId="0" applyFont="1" applyFill="1" applyBorder="1" applyAlignment="1">
      <alignment vertical="center"/>
    </xf>
    <xf numFmtId="0" fontId="109" fillId="0" borderId="115" xfId="0" applyFont="1" applyBorder="1" applyAlignment="1">
      <alignment vertical="center"/>
    </xf>
    <xf numFmtId="0" fontId="30" fillId="38" borderId="49" xfId="0" applyFont="1" applyFill="1" applyBorder="1" applyAlignment="1" applyProtection="1">
      <alignment horizontal="center" vertical="center" wrapText="1"/>
      <protection locked="0"/>
    </xf>
    <xf numFmtId="0" fontId="30" fillId="38" borderId="50" xfId="0" applyFont="1" applyFill="1" applyBorder="1" applyAlignment="1" applyProtection="1">
      <alignment horizontal="center" vertical="center" wrapText="1"/>
      <protection locked="0"/>
    </xf>
    <xf numFmtId="0" fontId="21" fillId="0" borderId="11" xfId="0" applyFont="1" applyBorder="1"/>
    <xf numFmtId="0" fontId="20" fillId="26" borderId="12" xfId="0" applyFont="1" applyFill="1" applyBorder="1"/>
    <xf numFmtId="0" fontId="20" fillId="29" borderId="12" xfId="0" applyFont="1" applyFill="1" applyBorder="1"/>
    <xf numFmtId="0" fontId="110" fillId="0" borderId="0" xfId="0" applyFont="1"/>
    <xf numFmtId="0" fontId="110" fillId="60" borderId="0" xfId="0" applyFont="1" applyFill="1" applyAlignment="1">
      <alignment vertical="center"/>
    </xf>
    <xf numFmtId="0" fontId="111" fillId="0" borderId="115" xfId="0" applyFont="1" applyBorder="1" applyAlignment="1">
      <alignment horizontal="center" vertical="center"/>
    </xf>
    <xf numFmtId="0" fontId="39" fillId="0" borderId="13" xfId="0" applyFont="1" applyBorder="1" applyAlignment="1" applyProtection="1">
      <alignment horizontal="center" vertical="center" wrapText="1" shrinkToFit="1"/>
      <protection locked="0"/>
    </xf>
    <xf numFmtId="0" fontId="1" fillId="0" borderId="12" xfId="0" applyFont="1" applyBorder="1" applyAlignment="1">
      <alignment horizontal="left"/>
    </xf>
    <xf numFmtId="0" fontId="1" fillId="26" borderId="12" xfId="0" applyFont="1" applyFill="1" applyBorder="1" applyAlignment="1">
      <alignment horizontal="left"/>
    </xf>
    <xf numFmtId="0" fontId="1" fillId="61" borderId="12" xfId="0" applyFont="1" applyFill="1" applyBorder="1" applyAlignment="1">
      <alignment horizontal="left"/>
    </xf>
    <xf numFmtId="0" fontId="39" fillId="0" borderId="25" xfId="0" applyFont="1" applyBorder="1" applyAlignment="1" applyProtection="1">
      <alignment horizontal="center" vertical="center" wrapText="1" shrinkToFit="1"/>
      <protection locked="0"/>
    </xf>
    <xf numFmtId="0" fontId="39" fillId="0" borderId="19" xfId="0" applyFont="1" applyBorder="1" applyAlignment="1" applyProtection="1">
      <alignment horizontal="center" vertical="center" shrinkToFit="1"/>
      <protection locked="0"/>
    </xf>
    <xf numFmtId="0" fontId="39" fillId="0" borderId="22" xfId="0" applyFont="1" applyBorder="1" applyAlignment="1" applyProtection="1">
      <alignment horizontal="center" vertical="center" shrinkToFit="1"/>
      <protection locked="0"/>
    </xf>
    <xf numFmtId="2" fontId="0" fillId="0" borderId="0" xfId="0" applyNumberFormat="1" applyAlignment="1" applyProtection="1">
      <alignment horizontal="center"/>
      <protection locked="0"/>
    </xf>
    <xf numFmtId="0" fontId="55" fillId="0" borderId="26" xfId="0" applyFont="1" applyBorder="1" applyAlignment="1" applyProtection="1">
      <alignment horizontal="center" vertical="center" shrinkToFit="1"/>
      <protection locked="0"/>
    </xf>
    <xf numFmtId="0" fontId="39" fillId="0" borderId="20" xfId="0" applyFont="1" applyBorder="1" applyAlignment="1" applyProtection="1">
      <alignment horizontal="center" vertical="center" shrinkToFit="1"/>
      <protection locked="0"/>
    </xf>
    <xf numFmtId="0" fontId="78" fillId="0" borderId="0" xfId="0" applyFont="1" applyAlignment="1" applyProtection="1">
      <alignment horizontal="center"/>
      <protection locked="0"/>
    </xf>
    <xf numFmtId="0" fontId="30" fillId="38" borderId="26" xfId="0" applyFont="1" applyFill="1" applyBorder="1" applyAlignment="1" applyProtection="1">
      <alignment horizontal="center" vertical="center"/>
      <protection locked="0"/>
    </xf>
    <xf numFmtId="0" fontId="52" fillId="38" borderId="119" xfId="0" applyFont="1" applyFill="1" applyBorder="1" applyAlignment="1" applyProtection="1">
      <alignment horizontal="center" vertical="center" wrapText="1"/>
      <protection locked="0"/>
    </xf>
    <xf numFmtId="2" fontId="55" fillId="0" borderId="119" xfId="0" applyNumberFormat="1" applyFont="1" applyBorder="1" applyAlignment="1">
      <alignment horizontal="center" vertical="center"/>
    </xf>
    <xf numFmtId="0" fontId="32" fillId="0" borderId="120" xfId="0" applyFont="1" applyBorder="1" applyAlignment="1">
      <alignment vertical="center"/>
    </xf>
    <xf numFmtId="0" fontId="30" fillId="2" borderId="118" xfId="0" applyFont="1" applyFill="1" applyBorder="1" applyAlignment="1">
      <alignment horizontal="center" vertical="center" wrapText="1"/>
    </xf>
    <xf numFmtId="2" fontId="39" fillId="0" borderId="117" xfId="0" applyNumberFormat="1" applyFont="1" applyBorder="1" applyAlignment="1">
      <alignment horizontal="center" vertical="center" shrinkToFit="1"/>
    </xf>
    <xf numFmtId="0" fontId="0" fillId="45" borderId="0" xfId="0" applyFill="1"/>
    <xf numFmtId="0" fontId="0" fillId="48" borderId="0" xfId="0" applyFill="1"/>
    <xf numFmtId="0" fontId="78" fillId="0" borderId="0" xfId="0" applyFont="1" applyProtection="1">
      <protection locked="0"/>
    </xf>
    <xf numFmtId="0" fontId="93" fillId="0" borderId="12" xfId="0" applyFont="1" applyBorder="1" applyProtection="1">
      <protection locked="0"/>
    </xf>
    <xf numFmtId="0" fontId="106" fillId="0" borderId="25" xfId="0" applyFont="1" applyBorder="1" applyAlignment="1" applyProtection="1">
      <alignment horizontal="center" vertical="center" wrapText="1" shrinkToFit="1"/>
      <protection locked="0"/>
    </xf>
    <xf numFmtId="0" fontId="95" fillId="26" borderId="51" xfId="0" applyFont="1" applyFill="1" applyBorder="1" applyAlignment="1" applyProtection="1">
      <alignment horizontal="center" vertical="center" wrapText="1"/>
      <protection locked="0"/>
    </xf>
    <xf numFmtId="0" fontId="113" fillId="62" borderId="12" xfId="0" applyFont="1" applyFill="1" applyBorder="1" applyAlignment="1" applyProtection="1">
      <alignment horizontal="center"/>
      <protection locked="0"/>
    </xf>
    <xf numFmtId="0" fontId="30" fillId="2" borderId="51" xfId="0" applyFont="1" applyFill="1" applyBorder="1" applyAlignment="1" applyProtection="1">
      <alignment horizontal="center" vertical="center"/>
      <protection locked="0"/>
    </xf>
    <xf numFmtId="0" fontId="95" fillId="2" borderId="49" xfId="0" applyFont="1" applyFill="1" applyBorder="1" applyAlignment="1" applyProtection="1">
      <alignment horizontal="center" vertical="center"/>
      <protection locked="0"/>
    </xf>
    <xf numFmtId="0" fontId="0" fillId="27" borderId="12" xfId="0" applyFill="1" applyBorder="1" applyAlignment="1" applyProtection="1">
      <alignment horizontal="center"/>
      <protection locked="0"/>
    </xf>
    <xf numFmtId="0" fontId="31" fillId="0" borderId="12" xfId="0" applyFont="1" applyBorder="1" applyAlignment="1" applyProtection="1">
      <alignment horizontal="center" vertical="center"/>
      <protection locked="0"/>
    </xf>
    <xf numFmtId="0" fontId="105" fillId="0" borderId="0" xfId="0" applyFont="1" applyAlignment="1">
      <alignment horizontal="center" vertical="center"/>
    </xf>
    <xf numFmtId="164" fontId="106" fillId="0" borderId="20" xfId="0" applyNumberFormat="1" applyFont="1" applyBorder="1" applyAlignment="1" applyProtection="1">
      <alignment horizontal="center" vertical="center" wrapText="1"/>
      <protection locked="0"/>
    </xf>
    <xf numFmtId="164" fontId="106" fillId="0" borderId="21" xfId="0" applyNumberFormat="1" applyFont="1" applyBorder="1" applyAlignment="1" applyProtection="1">
      <alignment horizontal="center" vertical="center" wrapText="1"/>
      <protection locked="0"/>
    </xf>
    <xf numFmtId="0" fontId="57" fillId="34" borderId="12" xfId="0" applyFont="1" applyFill="1" applyBorder="1" applyAlignment="1">
      <alignment horizontal="center" vertical="center" wrapText="1"/>
    </xf>
    <xf numFmtId="0" fontId="84" fillId="0" borderId="12" xfId="0" applyFont="1" applyBorder="1" applyAlignment="1" applyProtection="1">
      <alignment vertical="center"/>
      <protection locked="0"/>
    </xf>
    <xf numFmtId="0" fontId="84" fillId="0" borderId="26" xfId="0" applyFont="1" applyBorder="1" applyAlignment="1" applyProtection="1">
      <alignment vertical="center"/>
      <protection locked="0"/>
    </xf>
    <xf numFmtId="0" fontId="84" fillId="0" borderId="35" xfId="0" applyFont="1" applyBorder="1" applyAlignment="1" applyProtection="1">
      <alignment vertical="center"/>
      <protection locked="0"/>
    </xf>
    <xf numFmtId="0" fontId="84" fillId="0" borderId="36" xfId="0" applyFont="1" applyBorder="1" applyAlignment="1" applyProtection="1">
      <alignment vertical="center"/>
      <protection locked="0"/>
    </xf>
    <xf numFmtId="0" fontId="86" fillId="0" borderId="26" xfId="0" applyFont="1" applyBorder="1" applyAlignment="1" applyProtection="1">
      <alignment horizontal="left"/>
      <protection locked="0"/>
    </xf>
    <xf numFmtId="0" fontId="86" fillId="0" borderId="35" xfId="0" applyFont="1" applyBorder="1" applyAlignment="1" applyProtection="1">
      <alignment horizontal="left"/>
      <protection locked="0"/>
    </xf>
    <xf numFmtId="0" fontId="86" fillId="0" borderId="36" xfId="0" applyFont="1" applyBorder="1" applyAlignment="1" applyProtection="1">
      <alignment horizontal="left"/>
      <protection locked="0"/>
    </xf>
    <xf numFmtId="0" fontId="88" fillId="0" borderId="0" xfId="0" applyFont="1" applyAlignment="1" applyProtection="1">
      <alignment horizontal="left" vertical="center"/>
      <protection locked="0"/>
    </xf>
    <xf numFmtId="0" fontId="88" fillId="10" borderId="12" xfId="0" applyFont="1" applyFill="1" applyBorder="1" applyAlignment="1" applyProtection="1">
      <alignment horizontal="center"/>
      <protection locked="0"/>
    </xf>
    <xf numFmtId="165" fontId="86" fillId="0" borderId="12" xfId="0" applyNumberFormat="1" applyFont="1" applyBorder="1" applyAlignment="1" applyProtection="1">
      <alignment horizontal="left"/>
      <protection locked="0"/>
    </xf>
    <xf numFmtId="0" fontId="86" fillId="20" borderId="26" xfId="0" applyFont="1" applyFill="1" applyBorder="1" applyAlignment="1" applyProtection="1">
      <alignment horizontal="left"/>
      <protection locked="0"/>
    </xf>
    <xf numFmtId="0" fontId="86" fillId="20" borderId="35" xfId="0" applyFont="1" applyFill="1" applyBorder="1" applyAlignment="1" applyProtection="1">
      <alignment horizontal="left"/>
      <protection locked="0"/>
    </xf>
    <xf numFmtId="0" fontId="81" fillId="20" borderId="36" xfId="0" applyFont="1" applyFill="1" applyBorder="1" applyAlignment="1" applyProtection="1">
      <alignment horizontal="left"/>
      <protection locked="0"/>
    </xf>
    <xf numFmtId="0" fontId="81" fillId="0" borderId="0" xfId="0" applyFont="1" applyProtection="1">
      <protection locked="0"/>
    </xf>
    <xf numFmtId="0" fontId="82" fillId="24" borderId="26" xfId="0" applyFont="1" applyFill="1" applyBorder="1" applyAlignment="1" applyProtection="1">
      <alignment horizontal="left" vertical="center" wrapText="1"/>
      <protection locked="0"/>
    </xf>
    <xf numFmtId="0" fontId="83" fillId="24" borderId="35" xfId="0" applyFont="1" applyFill="1" applyBorder="1" applyAlignment="1" applyProtection="1">
      <alignment horizontal="left" vertical="center" wrapText="1"/>
      <protection locked="0"/>
    </xf>
    <xf numFmtId="0" fontId="83" fillId="24" borderId="36" xfId="0" applyFont="1" applyFill="1" applyBorder="1" applyAlignment="1" applyProtection="1">
      <alignment horizontal="left" vertical="center" wrapText="1"/>
      <protection locked="0"/>
    </xf>
    <xf numFmtId="0" fontId="85" fillId="0" borderId="12" xfId="0" applyFont="1" applyBorder="1" applyProtection="1">
      <protection locked="0"/>
    </xf>
    <xf numFmtId="0" fontId="81" fillId="0" borderId="12" xfId="0" applyFont="1" applyBorder="1" applyProtection="1">
      <protection locked="0"/>
    </xf>
    <xf numFmtId="0" fontId="83" fillId="0" borderId="12" xfId="0" applyFont="1" applyBorder="1" applyAlignment="1" applyProtection="1">
      <alignment horizontal="left" vertical="center" wrapText="1"/>
      <protection locked="0"/>
    </xf>
    <xf numFmtId="0" fontId="81" fillId="0" borderId="12" xfId="0" applyFont="1" applyBorder="1" applyAlignment="1" applyProtection="1">
      <alignment horizontal="left" vertical="center" wrapText="1"/>
      <protection locked="0"/>
    </xf>
    <xf numFmtId="0" fontId="86" fillId="0" borderId="12" xfId="0" applyFont="1" applyBorder="1" applyProtection="1">
      <protection locked="0"/>
    </xf>
    <xf numFmtId="0" fontId="31" fillId="0" borderId="0" xfId="0" applyFont="1" applyAlignment="1" applyProtection="1">
      <alignment horizontal="center" vertical="center"/>
      <protection locked="0"/>
    </xf>
    <xf numFmtId="0" fontId="87" fillId="0" borderId="0" xfId="0" applyFont="1" applyAlignment="1" applyProtection="1">
      <alignment horizontal="center" vertical="center"/>
      <protection locked="0"/>
    </xf>
    <xf numFmtId="0" fontId="83" fillId="0" borderId="12" xfId="0" applyFont="1" applyBorder="1" applyAlignment="1" applyProtection="1">
      <alignment horizontal="left" vertical="center"/>
      <protection locked="0"/>
    </xf>
    <xf numFmtId="0" fontId="86" fillId="0" borderId="12" xfId="0" applyFont="1" applyBorder="1" applyAlignment="1" applyProtection="1">
      <alignment horizontal="left"/>
      <protection locked="0"/>
    </xf>
    <xf numFmtId="0" fontId="91" fillId="0" borderId="12" xfId="0" applyFont="1" applyBorder="1" applyAlignment="1" applyProtection="1">
      <alignment horizontal="center" vertical="center" wrapText="1"/>
      <protection locked="0"/>
    </xf>
    <xf numFmtId="0" fontId="91" fillId="0" borderId="12" xfId="0" applyFont="1" applyBorder="1" applyAlignment="1" applyProtection="1">
      <alignment horizontal="center" vertical="center"/>
      <protection locked="0"/>
    </xf>
    <xf numFmtId="0" fontId="89" fillId="0" borderId="12" xfId="0" applyFont="1" applyBorder="1" applyProtection="1">
      <protection locked="0"/>
    </xf>
    <xf numFmtId="0" fontId="88" fillId="0" borderId="33" xfId="0" applyFont="1" applyBorder="1" applyAlignment="1" applyProtection="1">
      <alignment horizontal="center"/>
      <protection locked="0"/>
    </xf>
    <xf numFmtId="0" fontId="88" fillId="28" borderId="26" xfId="0" applyFont="1" applyFill="1" applyBorder="1" applyAlignment="1" applyProtection="1">
      <alignment horizontal="center"/>
      <protection locked="0"/>
    </xf>
    <xf numFmtId="0" fontId="88" fillId="28" borderId="35" xfId="0" applyFont="1" applyFill="1" applyBorder="1" applyAlignment="1" applyProtection="1">
      <alignment horizontal="center"/>
      <protection locked="0"/>
    </xf>
    <xf numFmtId="0" fontId="88" fillId="28" borderId="36" xfId="0" applyFont="1" applyFill="1" applyBorder="1" applyAlignment="1" applyProtection="1">
      <alignment horizontal="center"/>
      <protection locked="0"/>
    </xf>
    <xf numFmtId="0" fontId="90" fillId="0" borderId="26" xfId="0" applyFont="1" applyBorder="1" applyAlignment="1">
      <alignment horizontal="center"/>
    </xf>
    <xf numFmtId="0" fontId="90" fillId="0" borderId="35" xfId="0" applyFont="1" applyBorder="1" applyAlignment="1">
      <alignment horizontal="center"/>
    </xf>
    <xf numFmtId="0" fontId="90" fillId="0" borderId="36" xfId="0" applyFont="1" applyBorder="1" applyAlignment="1">
      <alignment horizontal="center"/>
    </xf>
    <xf numFmtId="0" fontId="89" fillId="0" borderId="12" xfId="0" applyFont="1" applyBorder="1" applyAlignment="1" applyProtection="1">
      <alignment horizontal="center"/>
      <protection locked="0"/>
    </xf>
    <xf numFmtId="0" fontId="33" fillId="0" borderId="0" xfId="0" applyFont="1" applyAlignment="1" applyProtection="1">
      <alignment horizontal="center" vertical="center"/>
      <protection locked="0"/>
    </xf>
    <xf numFmtId="0" fontId="33" fillId="0" borderId="46" xfId="0" applyFont="1" applyBorder="1" applyAlignment="1" applyProtection="1">
      <alignment horizontal="center" vertical="center"/>
      <protection locked="0"/>
    </xf>
    <xf numFmtId="0" fontId="30" fillId="0" borderId="12" xfId="0" applyFont="1" applyBorder="1" applyAlignment="1" applyProtection="1">
      <alignment horizontal="left" vertical="center"/>
      <protection locked="0"/>
    </xf>
    <xf numFmtId="0" fontId="31" fillId="0" borderId="26" xfId="0" applyFont="1" applyBorder="1" applyAlignment="1">
      <alignment horizontal="left" vertical="center" shrinkToFit="1"/>
    </xf>
    <xf numFmtId="0" fontId="0" fillId="0" borderId="35" xfId="0" applyBorder="1" applyAlignment="1">
      <alignment vertical="center" shrinkToFit="1"/>
    </xf>
    <xf numFmtId="0" fontId="0" fillId="0" borderId="36" xfId="0" applyBorder="1" applyAlignment="1">
      <alignment vertical="center" shrinkToFit="1"/>
    </xf>
    <xf numFmtId="0" fontId="52" fillId="0" borderId="11" xfId="0" applyFont="1" applyBorder="1" applyAlignment="1" applyProtection="1">
      <alignment horizontal="left" vertical="center" wrapText="1"/>
      <protection locked="0"/>
    </xf>
    <xf numFmtId="0" fontId="53" fillId="0" borderId="0" xfId="0" applyFont="1" applyAlignment="1" applyProtection="1">
      <alignment horizontal="center" vertical="center"/>
      <protection locked="0"/>
    </xf>
    <xf numFmtId="0" fontId="28" fillId="0" borderId="59" xfId="0" applyFont="1" applyBorder="1" applyAlignment="1" applyProtection="1">
      <alignment horizontal="center" vertical="center"/>
      <protection locked="0"/>
    </xf>
    <xf numFmtId="0" fontId="0" fillId="0" borderId="27" xfId="0" applyBorder="1" applyProtection="1">
      <protection locked="0"/>
    </xf>
    <xf numFmtId="0" fontId="0" fillId="0" borderId="58" xfId="0" applyBorder="1" applyProtection="1">
      <protection locked="0"/>
    </xf>
    <xf numFmtId="0" fontId="45" fillId="0" borderId="12" xfId="0" applyFont="1" applyBorder="1" applyAlignment="1">
      <alignment horizontal="left" vertical="center"/>
    </xf>
    <xf numFmtId="0" fontId="45" fillId="0" borderId="12" xfId="0" applyFont="1" applyBorder="1" applyAlignment="1">
      <alignment vertical="center"/>
    </xf>
    <xf numFmtId="0" fontId="28" fillId="27" borderId="0" xfId="0" applyFont="1" applyFill="1" applyAlignment="1" applyProtection="1">
      <alignment horizontal="center" vertical="center"/>
      <protection locked="0"/>
    </xf>
    <xf numFmtId="0" fontId="28" fillId="27" borderId="46" xfId="0" applyFont="1" applyFill="1" applyBorder="1" applyAlignment="1" applyProtection="1">
      <alignment horizontal="center" vertical="center"/>
      <protection locked="0"/>
    </xf>
    <xf numFmtId="0" fontId="31" fillId="0" borderId="12" xfId="0" applyFont="1" applyBorder="1" applyAlignment="1">
      <alignment horizontal="left" vertical="center"/>
    </xf>
    <xf numFmtId="0" fontId="0" fillId="0" borderId="12" xfId="0" applyBorder="1" applyAlignment="1">
      <alignment vertical="center"/>
    </xf>
    <xf numFmtId="0" fontId="33" fillId="0" borderId="12" xfId="0" applyFont="1" applyBorder="1" applyAlignment="1" applyProtection="1">
      <alignment horizontal="center" vertical="center"/>
      <protection locked="0"/>
    </xf>
    <xf numFmtId="0" fontId="54" fillId="0" borderId="26" xfId="0" applyFont="1" applyBorder="1" applyAlignment="1" applyProtection="1">
      <alignment horizontal="center" vertical="center"/>
      <protection locked="0"/>
    </xf>
    <xf numFmtId="0" fontId="54" fillId="0" borderId="36" xfId="0" applyFont="1" applyBorder="1" applyAlignment="1" applyProtection="1">
      <alignment horizontal="center" vertical="center"/>
      <protection locked="0"/>
    </xf>
    <xf numFmtId="0" fontId="33" fillId="0" borderId="26" xfId="0" applyFont="1" applyBorder="1" applyAlignment="1" applyProtection="1">
      <alignment horizontal="center" vertical="center"/>
      <protection locked="0"/>
    </xf>
    <xf numFmtId="0" fontId="33" fillId="0" borderId="36" xfId="0" applyFont="1" applyBorder="1" applyAlignment="1" applyProtection="1">
      <alignment horizontal="center" vertical="center"/>
      <protection locked="0"/>
    </xf>
    <xf numFmtId="0" fontId="31" fillId="0" borderId="26" xfId="0" applyFont="1" applyBorder="1" applyAlignment="1">
      <alignment horizontal="left" vertical="center"/>
    </xf>
    <xf numFmtId="0" fontId="31" fillId="0" borderId="35" xfId="0" applyFont="1" applyBorder="1" applyAlignment="1">
      <alignment horizontal="left" vertical="center"/>
    </xf>
    <xf numFmtId="0" fontId="31" fillId="0" borderId="36" xfId="0" applyFont="1" applyBorder="1" applyAlignment="1">
      <alignment horizontal="left" vertical="center"/>
    </xf>
    <xf numFmtId="0" fontId="39" fillId="0" borderId="24" xfId="0" applyFont="1" applyBorder="1" applyAlignment="1" applyProtection="1">
      <alignment horizontal="center" vertical="center"/>
      <protection locked="0"/>
    </xf>
    <xf numFmtId="0" fontId="39" fillId="0" borderId="60" xfId="0" applyFont="1" applyBorder="1" applyAlignment="1" applyProtection="1">
      <alignment horizontal="center" vertical="center"/>
      <protection locked="0"/>
    </xf>
    <xf numFmtId="0" fontId="39" fillId="0" borderId="13" xfId="0" applyFont="1" applyBorder="1" applyAlignment="1" applyProtection="1">
      <alignment horizontal="center" vertical="center" wrapText="1" shrinkToFit="1"/>
      <protection locked="0"/>
    </xf>
    <xf numFmtId="0" fontId="39" fillId="0" borderId="32" xfId="0" applyFont="1" applyBorder="1" applyAlignment="1" applyProtection="1">
      <alignment horizontal="center" vertical="center" wrapText="1" shrinkToFit="1"/>
      <protection locked="0"/>
    </xf>
    <xf numFmtId="0" fontId="39" fillId="0" borderId="19" xfId="0" applyFont="1" applyBorder="1" applyAlignment="1" applyProtection="1">
      <alignment horizontal="center" vertical="center"/>
      <protection locked="0"/>
    </xf>
    <xf numFmtId="0" fontId="39" fillId="0" borderId="23" xfId="0" applyFont="1" applyBorder="1" applyAlignment="1" applyProtection="1">
      <alignment horizontal="center" vertical="center"/>
      <protection locked="0"/>
    </xf>
    <xf numFmtId="0" fontId="39" fillId="0" borderId="18" xfId="0" applyFont="1" applyBorder="1" applyAlignment="1" applyProtection="1">
      <alignment horizontal="center" vertical="center" wrapText="1" shrinkToFit="1"/>
      <protection locked="0"/>
    </xf>
    <xf numFmtId="0" fontId="38" fillId="0" borderId="33" xfId="0" applyFont="1" applyBorder="1" applyAlignment="1" applyProtection="1">
      <alignment horizontal="left" vertical="center"/>
      <protection locked="0"/>
    </xf>
    <xf numFmtId="0" fontId="0" fillId="0" borderId="33" xfId="0" applyBorder="1" applyProtection="1">
      <protection locked="0"/>
    </xf>
    <xf numFmtId="0" fontId="0" fillId="0" borderId="34" xfId="0" applyBorder="1" applyProtection="1">
      <protection locked="0"/>
    </xf>
    <xf numFmtId="14" fontId="0" fillId="0" borderId="12" xfId="0" applyNumberFormat="1" applyBorder="1" applyAlignment="1">
      <alignment horizontal="left" vertical="center"/>
    </xf>
    <xf numFmtId="0" fontId="0" fillId="0" borderId="12" xfId="0" applyBorder="1" applyAlignment="1">
      <alignment horizontal="left" vertical="center"/>
    </xf>
    <xf numFmtId="0" fontId="30" fillId="2" borderId="49" xfId="0" applyFont="1" applyFill="1" applyBorder="1" applyAlignment="1" applyProtection="1">
      <alignment horizontal="center" vertical="center"/>
      <protection locked="0"/>
    </xf>
    <xf numFmtId="0" fontId="30" fillId="2" borderId="51" xfId="0" applyFont="1" applyFill="1" applyBorder="1" applyAlignment="1" applyProtection="1">
      <alignment horizontal="center" vertical="center"/>
      <protection locked="0"/>
    </xf>
    <xf numFmtId="0" fontId="30" fillId="2" borderId="49" xfId="0" applyFont="1" applyFill="1" applyBorder="1" applyAlignment="1" applyProtection="1">
      <alignment horizontal="center" vertical="center" wrapText="1"/>
      <protection locked="0"/>
    </xf>
    <xf numFmtId="0" fontId="30" fillId="2" borderId="51" xfId="0" applyFont="1" applyFill="1" applyBorder="1" applyAlignment="1" applyProtection="1">
      <alignment horizontal="center" vertical="center" wrapText="1"/>
      <protection locked="0"/>
    </xf>
    <xf numFmtId="0" fontId="57" fillId="0" borderId="74" xfId="0" applyFont="1" applyBorder="1" applyAlignment="1" applyProtection="1">
      <alignment horizontal="center" vertical="center"/>
      <protection locked="0"/>
    </xf>
    <xf numFmtId="0" fontId="58" fillId="0" borderId="74" xfId="0" applyFont="1" applyBorder="1" applyAlignment="1">
      <alignment horizontal="center" vertical="center"/>
    </xf>
    <xf numFmtId="0" fontId="39" fillId="0" borderId="22" xfId="0" applyFont="1" applyBorder="1" applyAlignment="1" applyProtection="1">
      <alignment horizontal="center" vertical="center"/>
      <protection locked="0"/>
    </xf>
    <xf numFmtId="0" fontId="39" fillId="0" borderId="38" xfId="0" applyFont="1" applyBorder="1" applyAlignment="1" applyProtection="1">
      <alignment horizontal="center" vertical="center"/>
      <protection locked="0"/>
    </xf>
    <xf numFmtId="0" fontId="39" fillId="0" borderId="21" xfId="0" applyFont="1" applyBorder="1" applyAlignment="1" applyProtection="1">
      <alignment horizontal="center" vertical="center" wrapText="1" shrinkToFit="1"/>
      <protection locked="0"/>
    </xf>
    <xf numFmtId="0" fontId="39" fillId="0" borderId="19" xfId="0" applyFont="1" applyBorder="1" applyAlignment="1" applyProtection="1">
      <alignment horizontal="center" vertical="center" wrapText="1" shrinkToFit="1"/>
      <protection locked="0"/>
    </xf>
    <xf numFmtId="0" fontId="39" fillId="0" borderId="23" xfId="0" applyFont="1" applyBorder="1" applyAlignment="1" applyProtection="1">
      <alignment horizontal="center" vertical="center" wrapText="1" shrinkToFit="1"/>
      <protection locked="0"/>
    </xf>
    <xf numFmtId="0" fontId="39" fillId="0" borderId="63" xfId="0" applyFont="1" applyBorder="1" applyAlignment="1" applyProtection="1">
      <alignment horizontal="center" vertical="center"/>
      <protection locked="0"/>
    </xf>
    <xf numFmtId="0" fontId="39" fillId="0" borderId="64" xfId="0" applyFont="1" applyBorder="1" applyAlignment="1" applyProtection="1">
      <alignment horizontal="center" vertical="center"/>
      <protection locked="0"/>
    </xf>
    <xf numFmtId="0" fontId="39" fillId="0" borderId="22" xfId="0" applyFont="1" applyBorder="1" applyAlignment="1" applyProtection="1">
      <alignment horizontal="center" vertical="center" wrapText="1" shrinkToFit="1"/>
      <protection locked="0"/>
    </xf>
    <xf numFmtId="0" fontId="39" fillId="0" borderId="38" xfId="0" applyFont="1" applyBorder="1" applyAlignment="1" applyProtection="1">
      <alignment horizontal="center" vertical="center" wrapText="1" shrinkToFit="1"/>
      <protection locked="0"/>
    </xf>
    <xf numFmtId="0" fontId="39" fillId="0" borderId="20" xfId="0" applyFont="1" applyBorder="1" applyAlignment="1" applyProtection="1">
      <alignment horizontal="center" vertical="center"/>
      <protection locked="0"/>
    </xf>
    <xf numFmtId="0" fontId="39" fillId="0" borderId="39" xfId="0" applyFont="1" applyBorder="1" applyAlignment="1" applyProtection="1">
      <alignment horizontal="center" vertical="center"/>
      <protection locked="0"/>
    </xf>
    <xf numFmtId="0" fontId="39" fillId="0" borderId="24" xfId="0" applyFont="1" applyBorder="1" applyAlignment="1" applyProtection="1">
      <alignment horizontal="center" vertical="center" wrapText="1" shrinkToFit="1"/>
      <protection locked="0"/>
    </xf>
    <xf numFmtId="0" fontId="39" fillId="0" borderId="60" xfId="0" applyFont="1" applyBorder="1" applyAlignment="1" applyProtection="1">
      <alignment horizontal="center" vertical="center" wrapText="1" shrinkToFit="1"/>
      <protection locked="0"/>
    </xf>
    <xf numFmtId="0" fontId="30" fillId="2" borderId="53" xfId="0" applyFont="1" applyFill="1" applyBorder="1" applyAlignment="1" applyProtection="1">
      <alignment horizontal="center" vertical="center" wrapText="1"/>
      <protection locked="0"/>
    </xf>
    <xf numFmtId="0" fontId="30" fillId="2" borderId="54" xfId="0" applyFont="1" applyFill="1" applyBorder="1" applyAlignment="1" applyProtection="1">
      <alignment horizontal="center" vertical="center" wrapText="1"/>
      <protection locked="0"/>
    </xf>
    <xf numFmtId="0" fontId="58" fillId="0" borderId="71" xfId="0" applyFont="1" applyBorder="1" applyAlignment="1">
      <alignment horizontal="center" vertical="center"/>
    </xf>
    <xf numFmtId="0" fontId="0" fillId="0" borderId="72" xfId="0" applyBorder="1"/>
    <xf numFmtId="0" fontId="0" fillId="0" borderId="73" xfId="0" applyBorder="1"/>
    <xf numFmtId="0" fontId="61" fillId="0" borderId="71" xfId="0" applyFont="1" applyBorder="1" applyAlignment="1" applyProtection="1">
      <alignment horizontal="center" vertical="center"/>
      <protection locked="0"/>
    </xf>
    <xf numFmtId="0" fontId="61" fillId="0" borderId="72" xfId="0" applyFont="1" applyBorder="1" applyAlignment="1" applyProtection="1">
      <alignment horizontal="center" vertical="center"/>
      <protection locked="0"/>
    </xf>
    <xf numFmtId="0" fontId="61" fillId="0" borderId="73" xfId="0" applyFont="1" applyBorder="1" applyAlignment="1" applyProtection="1">
      <alignment horizontal="center" vertical="center"/>
      <protection locked="0"/>
    </xf>
    <xf numFmtId="0" fontId="28" fillId="31" borderId="0" xfId="0" applyFont="1" applyFill="1" applyAlignment="1" applyProtection="1">
      <alignment horizontal="center" vertical="center"/>
      <protection locked="0"/>
    </xf>
    <xf numFmtId="0" fontId="28" fillId="31" borderId="46" xfId="0" applyFont="1" applyFill="1" applyBorder="1" applyAlignment="1" applyProtection="1">
      <alignment horizontal="center" vertical="center"/>
      <protection locked="0"/>
    </xf>
    <xf numFmtId="0" fontId="32" fillId="0" borderId="1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9" fillId="0" borderId="19" xfId="0" applyFont="1" applyBorder="1" applyAlignment="1" applyProtection="1">
      <alignment horizontal="center" vertical="center" shrinkToFit="1"/>
      <protection locked="0"/>
    </xf>
    <xf numFmtId="0" fontId="39" fillId="0" borderId="102" xfId="0" applyFont="1" applyBorder="1" applyAlignment="1" applyProtection="1">
      <alignment horizontal="center" vertical="center" shrinkToFit="1"/>
      <protection locked="0"/>
    </xf>
    <xf numFmtId="0" fontId="39" fillId="0" borderId="22" xfId="0" applyFont="1" applyBorder="1" applyAlignment="1" applyProtection="1">
      <alignment horizontal="center" vertical="center" shrinkToFit="1"/>
      <protection locked="0"/>
    </xf>
    <xf numFmtId="0" fontId="39" fillId="0" borderId="103" xfId="0" applyFont="1" applyBorder="1" applyAlignment="1" applyProtection="1">
      <alignment horizontal="center" vertical="center" shrinkToFit="1"/>
      <protection locked="0"/>
    </xf>
    <xf numFmtId="0" fontId="58" fillId="0" borderId="72" xfId="0" applyFont="1" applyBorder="1" applyAlignment="1">
      <alignment horizontal="center" vertical="center"/>
    </xf>
    <xf numFmtId="0" fontId="58" fillId="0" borderId="73" xfId="0" applyFont="1" applyBorder="1" applyAlignment="1">
      <alignment horizontal="center" vertical="center"/>
    </xf>
    <xf numFmtId="0" fontId="30" fillId="2" borderId="100"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shrinkToFit="1"/>
      <protection locked="0"/>
    </xf>
    <xf numFmtId="0" fontId="39" fillId="0" borderId="101" xfId="0" applyFont="1" applyBorder="1" applyAlignment="1" applyProtection="1">
      <alignment horizontal="center" vertical="center" shrinkToFit="1"/>
      <protection locked="0"/>
    </xf>
    <xf numFmtId="0" fontId="28" fillId="26" borderId="0" xfId="0" applyFont="1" applyFill="1" applyAlignment="1" applyProtection="1">
      <alignment horizontal="center" vertical="center"/>
      <protection locked="0"/>
    </xf>
    <xf numFmtId="0" fontId="28" fillId="26" borderId="46" xfId="0" applyFont="1" applyFill="1" applyBorder="1" applyAlignment="1" applyProtection="1">
      <alignment horizontal="center" vertical="center"/>
      <protection locked="0"/>
    </xf>
    <xf numFmtId="0" fontId="31" fillId="0" borderId="12" xfId="0" applyFont="1" applyBorder="1" applyAlignment="1">
      <alignment horizontal="left" vertical="center" shrinkToFit="1"/>
    </xf>
    <xf numFmtId="0" fontId="98" fillId="0" borderId="11" xfId="0" applyFont="1" applyBorder="1" applyAlignment="1" applyProtection="1">
      <alignment horizontal="left" vertical="center" wrapText="1"/>
      <protection locked="0"/>
    </xf>
    <xf numFmtId="0" fontId="99" fillId="0" borderId="0" xfId="0" applyFont="1" applyAlignment="1" applyProtection="1">
      <alignment horizontal="center" vertical="center"/>
      <protection locked="0"/>
    </xf>
    <xf numFmtId="0" fontId="101" fillId="0" borderId="0" xfId="0" applyFont="1" applyAlignment="1" applyProtection="1">
      <alignment horizontal="center" vertical="center"/>
      <protection locked="0"/>
    </xf>
    <xf numFmtId="0" fontId="95" fillId="0" borderId="12" xfId="0" applyFont="1" applyBorder="1" applyAlignment="1" applyProtection="1">
      <alignment horizontal="left" vertical="center"/>
      <protection locked="0"/>
    </xf>
    <xf numFmtId="0" fontId="96" fillId="0" borderId="12" xfId="0" applyFont="1" applyBorder="1" applyAlignment="1">
      <alignment horizontal="left" vertical="center"/>
    </xf>
    <xf numFmtId="0" fontId="96" fillId="0" borderId="12" xfId="0" applyFont="1" applyBorder="1" applyAlignment="1">
      <alignment vertical="center"/>
    </xf>
    <xf numFmtId="0" fontId="92" fillId="29" borderId="11" xfId="0" applyFont="1" applyFill="1" applyBorder="1" applyAlignment="1" applyProtection="1">
      <alignment horizontal="center" vertical="center"/>
      <protection locked="0"/>
    </xf>
    <xf numFmtId="0" fontId="92" fillId="29" borderId="0" xfId="0" applyFont="1" applyFill="1" applyAlignment="1" applyProtection="1">
      <alignment horizontal="center" vertical="center"/>
      <protection locked="0"/>
    </xf>
    <xf numFmtId="0" fontId="92" fillId="29" borderId="46" xfId="0" applyFont="1" applyFill="1" applyBorder="1" applyAlignment="1" applyProtection="1">
      <alignment horizontal="center" vertical="center"/>
      <protection locked="0"/>
    </xf>
    <xf numFmtId="0" fontId="99" fillId="0" borderId="12" xfId="0" applyFont="1" applyBorder="1" applyAlignment="1">
      <alignment horizontal="left" vertical="center"/>
    </xf>
    <xf numFmtId="0" fontId="93" fillId="0" borderId="12" xfId="0" applyFont="1" applyBorder="1" applyAlignment="1">
      <alignment vertical="center"/>
    </xf>
    <xf numFmtId="0" fontId="102" fillId="0" borderId="33" xfId="0" applyFont="1" applyBorder="1" applyAlignment="1" applyProtection="1">
      <alignment horizontal="left" vertical="center"/>
      <protection locked="0"/>
    </xf>
    <xf numFmtId="0" fontId="93" fillId="0" borderId="33" xfId="0" applyFont="1" applyBorder="1" applyAlignment="1" applyProtection="1">
      <alignment vertical="center"/>
      <protection locked="0"/>
    </xf>
    <xf numFmtId="0" fontId="93" fillId="0" borderId="34" xfId="0" applyFont="1" applyBorder="1" applyAlignment="1" applyProtection="1">
      <alignment vertical="center"/>
      <protection locked="0"/>
    </xf>
    <xf numFmtId="14" fontId="93" fillId="0" borderId="12" xfId="0" applyNumberFormat="1" applyFont="1" applyBorder="1" applyAlignment="1">
      <alignment horizontal="left" vertical="center"/>
    </xf>
    <xf numFmtId="0" fontId="93" fillId="0" borderId="12" xfId="0" applyFont="1" applyBorder="1" applyAlignment="1">
      <alignment horizontal="left" vertical="center"/>
    </xf>
    <xf numFmtId="0" fontId="99" fillId="0" borderId="26" xfId="0" applyFont="1" applyBorder="1" applyAlignment="1">
      <alignment horizontal="left" vertical="center"/>
    </xf>
    <xf numFmtId="0" fontId="99" fillId="0" borderId="35" xfId="0" applyFont="1" applyBorder="1" applyAlignment="1">
      <alignment horizontal="left" vertical="center"/>
    </xf>
    <xf numFmtId="0" fontId="99" fillId="0" borderId="36" xfId="0" applyFont="1" applyBorder="1" applyAlignment="1">
      <alignment horizontal="left" vertical="center"/>
    </xf>
    <xf numFmtId="0" fontId="100" fillId="0" borderId="26" xfId="0" applyFont="1" applyBorder="1" applyAlignment="1" applyProtection="1">
      <alignment horizontal="center" vertical="center"/>
      <protection locked="0"/>
    </xf>
    <xf numFmtId="0" fontId="100" fillId="0" borderId="35" xfId="0" applyFont="1" applyBorder="1" applyAlignment="1" applyProtection="1">
      <alignment horizontal="center" vertical="center"/>
      <protection locked="0"/>
    </xf>
    <xf numFmtId="0" fontId="100" fillId="0" borderId="36" xfId="0" applyFont="1" applyBorder="1" applyAlignment="1" applyProtection="1">
      <alignment horizontal="center" vertical="center"/>
      <protection locked="0"/>
    </xf>
    <xf numFmtId="0" fontId="95" fillId="2" borderId="49" xfId="0" applyFont="1" applyFill="1" applyBorder="1" applyAlignment="1" applyProtection="1">
      <alignment horizontal="center" vertical="center"/>
      <protection locked="0"/>
    </xf>
    <xf numFmtId="0" fontId="95" fillId="2" borderId="51" xfId="0" applyFont="1" applyFill="1" applyBorder="1" applyAlignment="1" applyProtection="1">
      <alignment horizontal="center" vertical="center"/>
      <protection locked="0"/>
    </xf>
    <xf numFmtId="0" fontId="95" fillId="2" borderId="53" xfId="0" applyFont="1" applyFill="1" applyBorder="1" applyAlignment="1" applyProtection="1">
      <alignment horizontal="center" vertical="center" wrapText="1"/>
      <protection locked="0"/>
    </xf>
    <xf numFmtId="0" fontId="95" fillId="2" borderId="54" xfId="0" applyFont="1" applyFill="1" applyBorder="1" applyAlignment="1" applyProtection="1">
      <alignment horizontal="center" vertical="center" wrapText="1"/>
      <protection locked="0"/>
    </xf>
    <xf numFmtId="0" fontId="106" fillId="0" borderId="24" xfId="0" applyFont="1" applyBorder="1" applyAlignment="1" applyProtection="1">
      <alignment horizontal="center" vertical="center"/>
      <protection locked="0"/>
    </xf>
    <xf numFmtId="0" fontId="106" fillId="0" borderId="60" xfId="0" applyFont="1" applyBorder="1" applyAlignment="1" applyProtection="1">
      <alignment horizontal="center" vertical="center"/>
      <protection locked="0"/>
    </xf>
    <xf numFmtId="0" fontId="106" fillId="0" borderId="24" xfId="0" applyFont="1" applyBorder="1" applyAlignment="1" applyProtection="1">
      <alignment horizontal="center" vertical="center" wrapText="1" shrinkToFit="1"/>
      <protection locked="0"/>
    </xf>
    <xf numFmtId="0" fontId="106" fillId="0" borderId="60" xfId="0" applyFont="1" applyBorder="1" applyAlignment="1" applyProtection="1">
      <alignment horizontal="center" vertical="center" wrapText="1" shrinkToFit="1"/>
      <protection locked="0"/>
    </xf>
    <xf numFmtId="0" fontId="100" fillId="0" borderId="47" xfId="0" applyFont="1" applyBorder="1" applyAlignment="1" applyProtection="1">
      <alignment horizontal="center" vertical="center"/>
      <protection locked="0"/>
    </xf>
    <xf numFmtId="0" fontId="100" fillId="0" borderId="33" xfId="0" applyFont="1" applyBorder="1" applyAlignment="1" applyProtection="1">
      <alignment horizontal="center" vertical="center"/>
      <protection locked="0"/>
    </xf>
    <xf numFmtId="0" fontId="100" fillId="0" borderId="34" xfId="0" applyFont="1" applyBorder="1" applyAlignment="1" applyProtection="1">
      <alignment horizontal="center" vertical="center"/>
      <protection locked="0"/>
    </xf>
    <xf numFmtId="0" fontId="99" fillId="0" borderId="12" xfId="0" applyFont="1" applyBorder="1" applyAlignment="1">
      <alignment horizontal="left" vertical="center" shrinkToFit="1"/>
    </xf>
    <xf numFmtId="0" fontId="93" fillId="0" borderId="12" xfId="0" applyFont="1" applyBorder="1" applyAlignment="1">
      <alignment vertical="center" shrinkToFit="1"/>
    </xf>
    <xf numFmtId="0" fontId="104" fillId="0" borderId="74" xfId="0" applyFont="1" applyBorder="1" applyAlignment="1" applyProtection="1">
      <alignment horizontal="center" vertical="center"/>
      <protection locked="0"/>
    </xf>
    <xf numFmtId="0" fontId="105" fillId="0" borderId="71" xfId="0" applyFont="1" applyBorder="1" applyAlignment="1">
      <alignment horizontal="center" vertical="center"/>
    </xf>
    <xf numFmtId="0" fontId="105" fillId="0" borderId="72" xfId="0" applyFont="1" applyBorder="1" applyAlignment="1">
      <alignment horizontal="center" vertical="center"/>
    </xf>
    <xf numFmtId="0" fontId="105" fillId="0" borderId="73" xfId="0" applyFont="1" applyBorder="1" applyAlignment="1">
      <alignment horizontal="center" vertical="center"/>
    </xf>
    <xf numFmtId="14" fontId="57" fillId="0" borderId="12" xfId="0" applyNumberFormat="1" applyFont="1" applyBorder="1" applyAlignment="1" applyProtection="1">
      <alignment horizontal="center" vertical="center"/>
      <protection locked="0"/>
    </xf>
    <xf numFmtId="0" fontId="57" fillId="0" borderId="12" xfId="0" applyFont="1" applyBorder="1" applyAlignment="1" applyProtection="1">
      <alignment horizontal="center" vertical="center"/>
      <protection locked="0"/>
    </xf>
    <xf numFmtId="0" fontId="61" fillId="0" borderId="78" xfId="0" applyFont="1" applyBorder="1" applyAlignment="1" applyProtection="1">
      <alignment horizontal="center" vertical="center"/>
      <protection locked="0"/>
    </xf>
    <xf numFmtId="0" fontId="61" fillId="0" borderId="116" xfId="0" applyFont="1" applyBorder="1" applyAlignment="1" applyProtection="1">
      <alignment horizontal="center" vertical="center"/>
      <protection locked="0"/>
    </xf>
    <xf numFmtId="0" fontId="92" fillId="0" borderId="59" xfId="0" applyFont="1" applyBorder="1" applyAlignment="1" applyProtection="1">
      <alignment horizontal="center" vertical="center"/>
      <protection locked="0"/>
    </xf>
    <xf numFmtId="0" fontId="92" fillId="0" borderId="27" xfId="0" applyFont="1" applyBorder="1" applyAlignment="1" applyProtection="1">
      <alignment horizontal="center" vertical="center"/>
      <protection locked="0"/>
    </xf>
    <xf numFmtId="0" fontId="92" fillId="0" borderId="11" xfId="0" applyFont="1" applyBorder="1" applyAlignment="1" applyProtection="1">
      <alignment horizontal="center" vertical="center"/>
      <protection locked="0"/>
    </xf>
    <xf numFmtId="0" fontId="92" fillId="0" borderId="0" xfId="0" applyFont="1" applyAlignment="1" applyProtection="1">
      <alignment horizontal="center" vertical="center"/>
      <protection locked="0"/>
    </xf>
    <xf numFmtId="0" fontId="92" fillId="0" borderId="47" xfId="0" applyFont="1" applyBorder="1" applyAlignment="1" applyProtection="1">
      <alignment horizontal="center" vertical="center"/>
      <protection locked="0"/>
    </xf>
    <xf numFmtId="0" fontId="92" fillId="0" borderId="33" xfId="0" applyFont="1" applyBorder="1" applyAlignment="1" applyProtection="1">
      <alignment horizontal="center" vertical="center"/>
      <protection locked="0"/>
    </xf>
    <xf numFmtId="0" fontId="93" fillId="0" borderId="59" xfId="0" applyFont="1" applyBorder="1" applyAlignment="1" applyProtection="1">
      <alignment horizontal="center"/>
      <protection locked="0"/>
    </xf>
    <xf numFmtId="0" fontId="93" fillId="0" borderId="27" xfId="0" applyFont="1" applyBorder="1" applyAlignment="1" applyProtection="1">
      <alignment horizontal="center"/>
      <protection locked="0"/>
    </xf>
    <xf numFmtId="0" fontId="93" fillId="0" borderId="58" xfId="0" applyFont="1" applyBorder="1" applyAlignment="1" applyProtection="1">
      <alignment horizontal="center"/>
      <protection locked="0"/>
    </xf>
    <xf numFmtId="0" fontId="94" fillId="0" borderId="12" xfId="0" applyFont="1" applyBorder="1" applyAlignment="1" applyProtection="1">
      <alignment horizontal="center" vertical="center"/>
      <protection locked="0"/>
    </xf>
    <xf numFmtId="0" fontId="100" fillId="0" borderId="12" xfId="0" applyFont="1" applyBorder="1" applyAlignment="1" applyProtection="1">
      <alignment horizontal="center" vertical="center"/>
      <protection locked="0"/>
    </xf>
    <xf numFmtId="0" fontId="106" fillId="0" borderId="19" xfId="0" applyFont="1" applyBorder="1" applyAlignment="1" applyProtection="1">
      <alignment horizontal="center" vertical="center"/>
      <protection locked="0"/>
    </xf>
    <xf numFmtId="0" fontId="106" fillId="0" borderId="23" xfId="0" applyFont="1" applyBorder="1" applyAlignment="1" applyProtection="1">
      <alignment horizontal="center" vertical="center"/>
      <protection locked="0"/>
    </xf>
    <xf numFmtId="0" fontId="106" fillId="0" borderId="19" xfId="0" applyFont="1" applyBorder="1" applyAlignment="1" applyProtection="1">
      <alignment horizontal="center" vertical="center" wrapText="1" shrinkToFit="1"/>
      <protection locked="0"/>
    </xf>
    <xf numFmtId="0" fontId="106" fillId="0" borderId="23" xfId="0" applyFont="1" applyBorder="1" applyAlignment="1" applyProtection="1">
      <alignment horizontal="center" vertical="center" wrapText="1" shrinkToFit="1"/>
      <protection locked="0"/>
    </xf>
    <xf numFmtId="0" fontId="106" fillId="0" borderId="22" xfId="0" applyFont="1" applyBorder="1" applyAlignment="1" applyProtection="1">
      <alignment horizontal="center" vertical="center"/>
      <protection locked="0"/>
    </xf>
    <xf numFmtId="0" fontId="106" fillId="0" borderId="38" xfId="0" applyFont="1" applyBorder="1" applyAlignment="1" applyProtection="1">
      <alignment horizontal="center" vertical="center"/>
      <protection locked="0"/>
    </xf>
    <xf numFmtId="0" fontId="106" fillId="0" borderId="22" xfId="0" applyFont="1" applyBorder="1" applyAlignment="1" applyProtection="1">
      <alignment horizontal="center" vertical="center" wrapText="1" shrinkToFit="1"/>
      <protection locked="0"/>
    </xf>
    <xf numFmtId="0" fontId="106" fillId="0" borderId="38" xfId="0" applyFont="1" applyBorder="1" applyAlignment="1" applyProtection="1">
      <alignment horizontal="center" vertical="center" wrapText="1" shrinkToFit="1"/>
      <protection locked="0"/>
    </xf>
    <xf numFmtId="0" fontId="28" fillId="0" borderId="27"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47" xfId="0" applyFont="1" applyBorder="1" applyAlignment="1" applyProtection="1">
      <alignment horizontal="center" vertical="center"/>
      <protection locked="0"/>
    </xf>
    <xf numFmtId="0" fontId="28" fillId="0" borderId="33" xfId="0" applyFont="1" applyBorder="1" applyAlignment="1" applyProtection="1">
      <alignment horizontal="center" vertical="center"/>
      <protection locked="0"/>
    </xf>
    <xf numFmtId="0" fontId="0" fillId="0" borderId="33" xfId="0" applyBorder="1" applyAlignment="1" applyProtection="1">
      <alignment horizontal="center"/>
      <protection locked="0"/>
    </xf>
    <xf numFmtId="0" fontId="45" fillId="0" borderId="26" xfId="0" applyFont="1" applyBorder="1" applyAlignment="1">
      <alignment horizontal="left" vertical="center"/>
    </xf>
    <xf numFmtId="0" fontId="45" fillId="0" borderId="35" xfId="0" applyFont="1" applyBorder="1" applyAlignment="1">
      <alignment horizontal="left" vertical="center"/>
    </xf>
    <xf numFmtId="0" fontId="45" fillId="0" borderId="36" xfId="0" applyFont="1" applyBorder="1" applyAlignment="1">
      <alignment horizontal="left" vertical="center"/>
    </xf>
    <xf numFmtId="0" fontId="28" fillId="30" borderId="0" xfId="0" applyFont="1" applyFill="1" applyAlignment="1" applyProtection="1">
      <alignment horizontal="center" vertical="center"/>
      <protection locked="0"/>
    </xf>
    <xf numFmtId="0" fontId="28" fillId="30" borderId="46" xfId="0" applyFont="1" applyFill="1" applyBorder="1" applyAlignment="1" applyProtection="1">
      <alignment horizontal="center" vertical="center"/>
      <protection locked="0"/>
    </xf>
    <xf numFmtId="0" fontId="31" fillId="0" borderId="35" xfId="0" applyFont="1" applyBorder="1" applyAlignment="1">
      <alignment horizontal="left" vertical="center" shrinkToFit="1"/>
    </xf>
    <xf numFmtId="0" fontId="31" fillId="0" borderId="36" xfId="0" applyFont="1" applyBorder="1" applyAlignment="1">
      <alignment horizontal="left" vertical="center" shrinkToFit="1"/>
    </xf>
    <xf numFmtId="165" fontId="0" fillId="0" borderId="26" xfId="0" applyNumberFormat="1" applyBorder="1" applyAlignment="1">
      <alignment horizontal="left" vertical="center"/>
    </xf>
    <xf numFmtId="165" fontId="0" fillId="0" borderId="35" xfId="0" applyNumberFormat="1" applyBorder="1" applyAlignment="1">
      <alignment horizontal="left" vertical="center"/>
    </xf>
    <xf numFmtId="165" fontId="0" fillId="0" borderId="36" xfId="0" applyNumberFormat="1" applyBorder="1" applyAlignment="1">
      <alignment horizontal="left" vertical="center"/>
    </xf>
    <xf numFmtId="0" fontId="39" fillId="0" borderId="22" xfId="0" applyFont="1" applyBorder="1" applyAlignment="1" applyProtection="1">
      <alignment horizontal="center" vertical="center" wrapText="1"/>
      <protection locked="0"/>
    </xf>
    <xf numFmtId="0" fontId="39" fillId="0" borderId="103" xfId="0" applyFont="1" applyBorder="1" applyAlignment="1" applyProtection="1">
      <alignment horizontal="center" vertical="center" wrapText="1"/>
      <protection locked="0"/>
    </xf>
    <xf numFmtId="0" fontId="30" fillId="0" borderId="26" xfId="0" applyFont="1" applyBorder="1" applyAlignment="1" applyProtection="1">
      <alignment horizontal="left" vertical="center"/>
      <protection locked="0"/>
    </xf>
    <xf numFmtId="0" fontId="30" fillId="0" borderId="36" xfId="0" applyFont="1" applyBorder="1" applyAlignment="1" applyProtection="1">
      <alignment horizontal="left" vertical="center"/>
      <protection locked="0"/>
    </xf>
    <xf numFmtId="14" fontId="0" fillId="0" borderId="26" xfId="0" applyNumberFormat="1" applyBorder="1" applyAlignment="1">
      <alignment horizontal="left" vertical="center"/>
    </xf>
    <xf numFmtId="14" fontId="0" fillId="0" borderId="35" xfId="0" applyNumberFormat="1" applyBorder="1" applyAlignment="1">
      <alignment horizontal="left" vertical="center"/>
    </xf>
    <xf numFmtId="14" fontId="0" fillId="0" borderId="36" xfId="0" applyNumberFormat="1" applyBorder="1" applyAlignment="1">
      <alignment horizontal="left" vertical="center"/>
    </xf>
    <xf numFmtId="0" fontId="39" fillId="0" borderId="19" xfId="0" applyFont="1" applyBorder="1" applyAlignment="1" applyProtection="1">
      <alignment horizontal="center" vertical="center" wrapText="1"/>
      <protection locked="0"/>
    </xf>
    <xf numFmtId="0" fontId="39" fillId="0" borderId="102" xfId="0" applyFont="1" applyBorder="1" applyAlignment="1" applyProtection="1">
      <alignment horizontal="center" vertical="center" wrapText="1"/>
      <protection locked="0"/>
    </xf>
    <xf numFmtId="0" fontId="57" fillId="0" borderId="71" xfId="0" applyFont="1" applyBorder="1" applyAlignment="1" applyProtection="1">
      <alignment horizontal="center" vertical="center"/>
      <protection locked="0"/>
    </xf>
    <xf numFmtId="0" fontId="57" fillId="0" borderId="73" xfId="0" applyFont="1" applyBorder="1" applyAlignment="1" applyProtection="1">
      <alignment horizontal="center" vertical="center"/>
      <protection locked="0"/>
    </xf>
    <xf numFmtId="0" fontId="39" fillId="0" borderId="24" xfId="0" applyFont="1" applyBorder="1" applyAlignment="1" applyProtection="1">
      <alignment horizontal="center" vertical="center" wrapText="1"/>
      <protection locked="0"/>
    </xf>
    <xf numFmtId="0" fontId="39" fillId="0" borderId="101" xfId="0" applyFont="1" applyBorder="1" applyAlignment="1" applyProtection="1">
      <alignment horizontal="center" vertical="center" wrapText="1"/>
      <protection locked="0"/>
    </xf>
    <xf numFmtId="0" fontId="28" fillId="34" borderId="0" xfId="0" applyFont="1" applyFill="1" applyAlignment="1" applyProtection="1">
      <alignment horizontal="center" vertical="center"/>
      <protection locked="0"/>
    </xf>
    <xf numFmtId="0" fontId="54" fillId="0" borderId="35"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2" fillId="0" borderId="26" xfId="0" applyFont="1" applyBorder="1" applyAlignment="1" applyProtection="1">
      <alignment horizontal="center" vertical="center"/>
      <protection locked="0"/>
    </xf>
    <xf numFmtId="0" fontId="32" fillId="0" borderId="35" xfId="0" applyFont="1" applyBorder="1" applyAlignment="1" applyProtection="1">
      <alignment horizontal="center" vertical="center"/>
      <protection locked="0"/>
    </xf>
    <xf numFmtId="0" fontId="32" fillId="0" borderId="36" xfId="0" applyFont="1" applyBorder="1" applyAlignment="1" applyProtection="1">
      <alignment horizontal="center" vertical="center"/>
      <protection locked="0"/>
    </xf>
    <xf numFmtId="0" fontId="31" fillId="0" borderId="26" xfId="0" applyFont="1" applyBorder="1" applyAlignment="1" applyProtection="1">
      <alignment horizontal="left" vertical="center"/>
      <protection locked="0"/>
    </xf>
    <xf numFmtId="0" fontId="31" fillId="0" borderId="35" xfId="0" applyFont="1" applyBorder="1" applyAlignment="1" applyProtection="1">
      <alignment horizontal="left" vertical="center"/>
      <protection locked="0"/>
    </xf>
    <xf numFmtId="0" fontId="31" fillId="0" borderId="36" xfId="0" applyFont="1" applyBorder="1" applyAlignment="1" applyProtection="1">
      <alignment horizontal="left" vertical="center"/>
      <protection locked="0"/>
    </xf>
    <xf numFmtId="0" fontId="45" fillId="0" borderId="26" xfId="0" applyFont="1" applyBorder="1" applyAlignment="1" applyProtection="1">
      <alignment horizontal="left" vertical="center"/>
      <protection locked="0"/>
    </xf>
    <xf numFmtId="0" fontId="45" fillId="0" borderId="35" xfId="0" applyFont="1" applyBorder="1" applyAlignment="1" applyProtection="1">
      <alignment horizontal="left" vertical="center"/>
      <protection locked="0"/>
    </xf>
    <xf numFmtId="0" fontId="45" fillId="0" borderId="36" xfId="0" applyFont="1" applyBorder="1" applyAlignment="1" applyProtection="1">
      <alignment horizontal="left" vertical="center"/>
      <protection locked="0"/>
    </xf>
    <xf numFmtId="0" fontId="28" fillId="51" borderId="12" xfId="0" applyFont="1" applyFill="1" applyBorder="1" applyAlignment="1" applyProtection="1">
      <alignment horizontal="center" vertical="center"/>
      <protection locked="0"/>
    </xf>
    <xf numFmtId="0" fontId="57" fillId="0" borderId="72" xfId="0" applyFont="1" applyBorder="1" applyAlignment="1" applyProtection="1">
      <alignment horizontal="center" vertical="center"/>
      <protection locked="0"/>
    </xf>
    <xf numFmtId="14" fontId="0" fillId="0" borderId="26" xfId="0" applyNumberFormat="1" applyBorder="1" applyAlignment="1" applyProtection="1">
      <alignment horizontal="left" vertical="center"/>
      <protection locked="0"/>
    </xf>
    <xf numFmtId="14" fontId="0" fillId="0" borderId="35" xfId="0" applyNumberFormat="1" applyBorder="1" applyAlignment="1" applyProtection="1">
      <alignment horizontal="left" vertical="center"/>
      <protection locked="0"/>
    </xf>
    <xf numFmtId="14" fontId="0" fillId="0" borderId="36" xfId="0" applyNumberFormat="1" applyBorder="1" applyAlignment="1" applyProtection="1">
      <alignment horizontal="left" vertical="center"/>
      <protection locked="0"/>
    </xf>
    <xf numFmtId="0" fontId="28" fillId="0" borderId="58" xfId="0" applyFont="1" applyBorder="1" applyAlignment="1" applyProtection="1">
      <alignment horizontal="center" vertical="center"/>
      <protection locked="0"/>
    </xf>
    <xf numFmtId="0" fontId="39" fillId="0" borderId="45" xfId="0" applyFont="1" applyBorder="1" applyAlignment="1" applyProtection="1">
      <alignment horizontal="center" vertical="center" shrinkToFit="1"/>
      <protection locked="0"/>
    </xf>
    <xf numFmtId="0" fontId="39" fillId="0" borderId="91" xfId="0" applyFont="1" applyBorder="1" applyAlignment="1" applyProtection="1">
      <alignment horizontal="center" vertical="center" shrinkToFit="1"/>
      <protection locked="0"/>
    </xf>
    <xf numFmtId="0" fontId="39" fillId="0" borderId="79" xfId="0" applyFont="1" applyBorder="1" applyAlignment="1" applyProtection="1">
      <alignment horizontal="center" vertical="center" shrinkToFit="1"/>
      <protection locked="0"/>
    </xf>
    <xf numFmtId="0" fontId="61" fillId="0" borderId="99"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39" fillId="0" borderId="23" xfId="0" applyFont="1" applyBorder="1" applyAlignment="1" applyProtection="1">
      <alignment horizontal="center" vertical="center" wrapText="1"/>
      <protection locked="0"/>
    </xf>
    <xf numFmtId="0" fontId="30" fillId="38" borderId="83" xfId="0" applyFont="1" applyFill="1" applyBorder="1" applyAlignment="1" applyProtection="1">
      <alignment horizontal="center" vertical="center" wrapText="1"/>
      <protection locked="0"/>
    </xf>
    <xf numFmtId="0" fontId="30" fillId="38" borderId="65" xfId="0" applyFont="1" applyFill="1" applyBorder="1" applyAlignment="1" applyProtection="1">
      <alignment horizontal="center" vertical="center" wrapText="1"/>
      <protection locked="0"/>
    </xf>
    <xf numFmtId="0" fontId="30" fillId="38" borderId="84" xfId="0" applyFont="1" applyFill="1" applyBorder="1" applyAlignment="1" applyProtection="1">
      <alignment horizontal="center" vertical="center" wrapText="1"/>
      <protection locked="0"/>
    </xf>
    <xf numFmtId="0" fontId="39" fillId="0" borderId="44" xfId="0" applyFont="1" applyBorder="1" applyAlignment="1" applyProtection="1">
      <alignment horizontal="center" vertical="center" shrinkToFit="1"/>
      <protection locked="0"/>
    </xf>
    <xf numFmtId="0" fontId="39" fillId="0" borderId="45" xfId="0" applyFont="1" applyBorder="1" applyAlignment="1" applyProtection="1">
      <alignment horizontal="center" vertical="center"/>
      <protection locked="0"/>
    </xf>
    <xf numFmtId="0" fontId="39" fillId="0" borderId="68" xfId="0" applyFont="1" applyBorder="1" applyAlignment="1" applyProtection="1">
      <alignment horizontal="center" vertical="center"/>
      <protection locked="0"/>
    </xf>
    <xf numFmtId="0" fontId="30" fillId="38" borderId="81" xfId="0" applyFont="1" applyFill="1" applyBorder="1" applyAlignment="1" applyProtection="1">
      <alignment horizontal="center" vertical="center" wrapText="1"/>
      <protection locked="0"/>
    </xf>
    <xf numFmtId="0" fontId="39" fillId="0" borderId="44" xfId="0" applyFont="1" applyBorder="1" applyAlignment="1" applyProtection="1">
      <alignment horizontal="center" vertical="center"/>
      <protection locked="0"/>
    </xf>
    <xf numFmtId="0" fontId="39" fillId="0" borderId="98" xfId="0" applyFont="1" applyBorder="1" applyAlignment="1" applyProtection="1">
      <alignment horizontal="center" vertical="center"/>
      <protection locked="0"/>
    </xf>
    <xf numFmtId="0" fontId="39" fillId="0" borderId="38" xfId="0" applyFont="1" applyBorder="1" applyAlignment="1" applyProtection="1">
      <alignment horizontal="center" vertical="center" wrapText="1"/>
      <protection locked="0"/>
    </xf>
    <xf numFmtId="0" fontId="28" fillId="32" borderId="0" xfId="0" applyFont="1" applyFill="1" applyAlignment="1" applyProtection="1">
      <alignment horizontal="center" vertical="center"/>
      <protection locked="0"/>
    </xf>
    <xf numFmtId="0" fontId="28" fillId="32" borderId="46" xfId="0" applyFont="1" applyFill="1" applyBorder="1" applyAlignment="1" applyProtection="1">
      <alignment horizontal="center" vertical="center"/>
      <protection locked="0"/>
    </xf>
    <xf numFmtId="0" fontId="61" fillId="0" borderId="26" xfId="0" applyFont="1" applyBorder="1" applyAlignment="1" applyProtection="1">
      <alignment horizontal="center" vertical="center"/>
      <protection locked="0"/>
    </xf>
    <xf numFmtId="0" fontId="61" fillId="0" borderId="35" xfId="0" applyFont="1" applyBorder="1" applyAlignment="1" applyProtection="1">
      <alignment horizontal="center" vertical="center"/>
      <protection locked="0"/>
    </xf>
    <xf numFmtId="0" fontId="61" fillId="0" borderId="36" xfId="0" applyFont="1" applyBorder="1" applyAlignment="1" applyProtection="1">
      <alignment horizontal="center" vertical="center"/>
      <protection locked="0"/>
    </xf>
    <xf numFmtId="0" fontId="39" fillId="0" borderId="60" xfId="0" applyFont="1" applyBorder="1" applyAlignment="1" applyProtection="1">
      <alignment horizontal="center" vertical="center" wrapText="1"/>
      <protection locked="0"/>
    </xf>
    <xf numFmtId="0" fontId="39" fillId="0" borderId="16" xfId="0" applyFont="1" applyBorder="1" applyAlignment="1" applyProtection="1">
      <alignment horizontal="center" vertical="center" wrapText="1" shrinkToFit="1"/>
      <protection locked="0"/>
    </xf>
    <xf numFmtId="0" fontId="54" fillId="0" borderId="12" xfId="0" applyFont="1" applyBorder="1" applyAlignment="1" applyProtection="1">
      <alignment horizontal="center" vertical="center"/>
      <protection locked="0"/>
    </xf>
    <xf numFmtId="0" fontId="24" fillId="0" borderId="36" xfId="0" applyFont="1" applyBorder="1" applyAlignment="1">
      <alignment horizontal="center" vertical="center"/>
    </xf>
    <xf numFmtId="0" fontId="30" fillId="36" borderId="49" xfId="0" applyFont="1" applyFill="1" applyBorder="1" applyAlignment="1" applyProtection="1">
      <alignment horizontal="center" vertical="center"/>
      <protection locked="0"/>
    </xf>
    <xf numFmtId="0" fontId="30" fillId="36" borderId="51" xfId="0" applyFont="1" applyFill="1" applyBorder="1" applyAlignment="1" applyProtection="1">
      <alignment horizontal="center" vertical="center"/>
      <protection locked="0"/>
    </xf>
    <xf numFmtId="0" fontId="58" fillId="37" borderId="71" xfId="0" applyFont="1" applyFill="1" applyBorder="1" applyAlignment="1" applyProtection="1">
      <alignment horizontal="center" vertical="center"/>
      <protection locked="0"/>
    </xf>
    <xf numFmtId="0" fontId="58" fillId="37" borderId="72" xfId="0" applyFont="1" applyFill="1" applyBorder="1" applyAlignment="1" applyProtection="1">
      <alignment horizontal="center" vertical="center"/>
      <protection locked="0"/>
    </xf>
    <xf numFmtId="0" fontId="58" fillId="37" borderId="73" xfId="0" applyFont="1" applyFill="1" applyBorder="1" applyAlignment="1" applyProtection="1">
      <alignment horizontal="center" vertical="center"/>
      <protection locked="0"/>
    </xf>
    <xf numFmtId="0" fontId="29" fillId="24" borderId="12" xfId="0" applyFont="1" applyFill="1" applyBorder="1" applyAlignment="1" applyProtection="1">
      <alignment horizontal="center" vertical="center" shrinkToFit="1"/>
      <protection locked="0"/>
    </xf>
    <xf numFmtId="0" fontId="29" fillId="34" borderId="12" xfId="0" applyFont="1" applyFill="1" applyBorder="1" applyAlignment="1" applyProtection="1">
      <alignment horizontal="center" vertical="center"/>
      <protection locked="0"/>
    </xf>
    <xf numFmtId="0" fontId="58" fillId="0" borderId="26" xfId="0" applyFont="1" applyBorder="1" applyAlignment="1">
      <alignment horizontal="center" vertical="center"/>
    </xf>
    <xf numFmtId="0" fontId="58" fillId="0" borderId="35" xfId="0" applyFont="1" applyBorder="1" applyAlignment="1">
      <alignment horizontal="center" vertical="center"/>
    </xf>
    <xf numFmtId="0" fontId="58" fillId="0" borderId="27" xfId="0" applyFont="1" applyBorder="1" applyAlignment="1">
      <alignment horizontal="center" vertical="center"/>
    </xf>
    <xf numFmtId="0" fontId="58" fillId="0" borderId="58" xfId="0" applyFont="1" applyBorder="1" applyAlignment="1">
      <alignment horizontal="center" vertical="center"/>
    </xf>
    <xf numFmtId="0" fontId="62" fillId="0" borderId="0" xfId="0" applyFont="1" applyAlignment="1" applyProtection="1">
      <alignment horizontal="center" vertical="center"/>
      <protection locked="0"/>
    </xf>
    <xf numFmtId="0" fontId="52" fillId="0" borderId="0" xfId="0" applyFont="1" applyAlignment="1" applyProtection="1">
      <alignment horizontal="left" vertical="center" wrapText="1"/>
      <protection locked="0"/>
    </xf>
    <xf numFmtId="0" fontId="30" fillId="0" borderId="35" xfId="0" applyFont="1" applyBorder="1" applyAlignment="1" applyProtection="1">
      <alignment horizontal="left" vertical="center"/>
      <protection locked="0"/>
    </xf>
    <xf numFmtId="164" fontId="40" fillId="24" borderId="12" xfId="0" applyNumberFormat="1" applyFont="1" applyFill="1" applyBorder="1" applyAlignment="1">
      <alignment horizontal="center" vertical="center"/>
    </xf>
    <xf numFmtId="0" fontId="40" fillId="34" borderId="12" xfId="0" applyFont="1" applyFill="1" applyBorder="1" applyAlignment="1">
      <alignment horizontal="center" vertical="center"/>
    </xf>
    <xf numFmtId="0" fontId="39" fillId="0" borderId="79" xfId="0" applyFont="1" applyBorder="1" applyAlignment="1" applyProtection="1">
      <alignment horizontal="center" vertical="center"/>
      <protection locked="0"/>
    </xf>
    <xf numFmtId="0" fontId="39" fillId="0" borderId="69" xfId="0" applyFont="1" applyBorder="1" applyAlignment="1" applyProtection="1">
      <alignment horizontal="center" vertical="center"/>
      <protection locked="0"/>
    </xf>
    <xf numFmtId="0" fontId="52" fillId="34" borderId="90" xfId="0" applyFont="1" applyFill="1" applyBorder="1" applyAlignment="1" applyProtection="1">
      <alignment horizontal="center" vertical="center" wrapText="1"/>
      <protection locked="0"/>
    </xf>
    <xf numFmtId="0" fontId="39" fillId="0" borderId="45" xfId="0" applyFont="1" applyBorder="1" applyAlignment="1" applyProtection="1">
      <alignment horizontal="center" vertical="top" wrapText="1"/>
      <protection locked="0"/>
    </xf>
    <xf numFmtId="0" fontId="30" fillId="35" borderId="81" xfId="0" applyFont="1" applyFill="1" applyBorder="1" applyAlignment="1" applyProtection="1">
      <alignment horizontal="center" vertical="center" wrapText="1" shrinkToFit="1"/>
      <protection locked="0"/>
    </xf>
    <xf numFmtId="0" fontId="30" fillId="35" borderId="82" xfId="0" applyFont="1" applyFill="1" applyBorder="1" applyAlignment="1" applyProtection="1">
      <alignment horizontal="center" vertical="center" wrapText="1" shrinkToFit="1"/>
      <protection locked="0"/>
    </xf>
    <xf numFmtId="0" fontId="30" fillId="37" borderId="49" xfId="0" applyFont="1" applyFill="1" applyBorder="1" applyAlignment="1" applyProtection="1">
      <alignment horizontal="center" vertical="center" wrapText="1"/>
      <protection locked="0"/>
    </xf>
    <xf numFmtId="0" fontId="30" fillId="37" borderId="51" xfId="0" applyFont="1" applyFill="1" applyBorder="1" applyAlignment="1" applyProtection="1">
      <alignment horizontal="center" vertical="center" wrapText="1"/>
      <protection locked="0"/>
    </xf>
    <xf numFmtId="0" fontId="57" fillId="0" borderId="26" xfId="0" applyFont="1" applyBorder="1" applyAlignment="1" applyProtection="1">
      <alignment horizontal="center" vertical="center"/>
      <protection locked="0"/>
    </xf>
    <xf numFmtId="0" fontId="57" fillId="0" borderId="35" xfId="0" applyFont="1" applyBorder="1" applyAlignment="1" applyProtection="1">
      <alignment horizontal="center" vertical="center"/>
      <protection locked="0"/>
    </xf>
    <xf numFmtId="0" fontId="32" fillId="0" borderId="104" xfId="0" applyFont="1" applyBorder="1" applyAlignment="1" applyProtection="1">
      <alignment horizontal="center" vertical="center" wrapText="1"/>
      <protection locked="0"/>
    </xf>
    <xf numFmtId="0" fontId="32" fillId="0" borderId="105" xfId="0" applyFont="1" applyBorder="1" applyAlignment="1" applyProtection="1">
      <alignment horizontal="center" vertical="center" wrapText="1"/>
      <protection locked="0"/>
    </xf>
    <xf numFmtId="0" fontId="32" fillId="0" borderId="106" xfId="0" applyFont="1" applyBorder="1" applyAlignment="1" applyProtection="1">
      <alignment horizontal="center" vertical="center" wrapText="1"/>
      <protection locked="0"/>
    </xf>
    <xf numFmtId="0" fontId="32" fillId="0" borderId="107"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108" xfId="0" applyFont="1" applyBorder="1" applyAlignment="1" applyProtection="1">
      <alignment horizontal="center" vertical="center" wrapText="1"/>
      <protection locked="0"/>
    </xf>
    <xf numFmtId="0" fontId="32" fillId="0" borderId="109" xfId="0" applyFont="1" applyBorder="1" applyAlignment="1" applyProtection="1">
      <alignment horizontal="center" vertical="center" wrapText="1"/>
      <protection locked="0"/>
    </xf>
    <xf numFmtId="0" fontId="32" fillId="0" borderId="78" xfId="0" applyFont="1" applyBorder="1" applyAlignment="1" applyProtection="1">
      <alignment horizontal="center" vertical="center" wrapText="1"/>
      <protection locked="0"/>
    </xf>
    <xf numFmtId="0" fontId="32" fillId="0" borderId="110" xfId="0" applyFont="1" applyBorder="1" applyAlignment="1" applyProtection="1">
      <alignment horizontal="center" vertical="center" wrapText="1"/>
      <protection locked="0"/>
    </xf>
    <xf numFmtId="0" fontId="52" fillId="40" borderId="90" xfId="0" applyFont="1" applyFill="1" applyBorder="1" applyAlignment="1" applyProtection="1">
      <alignment horizontal="center" vertical="center"/>
      <protection locked="0"/>
    </xf>
    <xf numFmtId="0" fontId="52" fillId="40" borderId="85" xfId="0" applyFont="1" applyFill="1" applyBorder="1" applyAlignment="1" applyProtection="1">
      <alignment horizontal="center" vertical="center"/>
      <protection locked="0"/>
    </xf>
    <xf numFmtId="0" fontId="52" fillId="40" borderId="86" xfId="0" applyFont="1" applyFill="1" applyBorder="1" applyAlignment="1" applyProtection="1">
      <alignment horizontal="center" vertical="center"/>
      <protection locked="0"/>
    </xf>
    <xf numFmtId="0" fontId="52" fillId="40" borderId="87" xfId="0" applyFont="1" applyFill="1" applyBorder="1" applyAlignment="1" applyProtection="1">
      <alignment horizontal="center" vertical="center"/>
      <protection locked="0"/>
    </xf>
    <xf numFmtId="0" fontId="39" fillId="0" borderId="91" xfId="0" applyFont="1" applyBorder="1" applyAlignment="1" applyProtection="1">
      <alignment horizontal="center" vertical="center"/>
      <protection locked="0"/>
    </xf>
    <xf numFmtId="0" fontId="52" fillId="39" borderId="90" xfId="0" applyFont="1" applyFill="1" applyBorder="1" applyAlignment="1" applyProtection="1">
      <alignment horizontal="center" vertical="center"/>
      <protection locked="0"/>
    </xf>
    <xf numFmtId="0" fontId="52" fillId="39" borderId="94" xfId="0" applyFont="1" applyFill="1" applyBorder="1" applyAlignment="1" applyProtection="1">
      <alignment horizontal="center" vertical="center"/>
      <protection locked="0"/>
    </xf>
    <xf numFmtId="0" fontId="39" fillId="0" borderId="95" xfId="0" applyFont="1" applyBorder="1" applyAlignment="1" applyProtection="1">
      <alignment horizontal="center" vertical="top" wrapText="1"/>
      <protection locked="0"/>
    </xf>
    <xf numFmtId="0" fontId="39" fillId="0" borderId="16" xfId="0" applyFont="1" applyBorder="1" applyAlignment="1" applyProtection="1">
      <alignment horizontal="center" vertical="top" wrapText="1"/>
      <protection locked="0"/>
    </xf>
    <xf numFmtId="0" fontId="39" fillId="0" borderId="28" xfId="0" applyFont="1" applyBorder="1" applyAlignment="1" applyProtection="1">
      <alignment horizontal="center" vertical="top" wrapText="1"/>
      <protection locked="0"/>
    </xf>
    <xf numFmtId="0" fontId="39" fillId="0" borderId="45" xfId="0" applyFont="1" applyBorder="1" applyAlignment="1" applyProtection="1">
      <alignment horizontal="center" vertical="center" wrapText="1"/>
      <protection locked="0"/>
    </xf>
    <xf numFmtId="0" fontId="39" fillId="0" borderId="91" xfId="0" applyFont="1" applyBorder="1" applyAlignment="1" applyProtection="1">
      <alignment horizontal="center" vertical="center" wrapText="1"/>
      <protection locked="0"/>
    </xf>
    <xf numFmtId="0" fontId="39" fillId="0" borderId="97" xfId="0" applyFont="1" applyBorder="1" applyAlignment="1" applyProtection="1">
      <alignment horizontal="center" vertical="top" wrapText="1"/>
      <protection locked="0"/>
    </xf>
    <xf numFmtId="0" fontId="39" fillId="0" borderId="21" xfId="0" applyFont="1" applyBorder="1" applyAlignment="1" applyProtection="1">
      <alignment horizontal="center" vertical="top" wrapText="1"/>
      <protection locked="0"/>
    </xf>
    <xf numFmtId="0" fontId="39" fillId="0" borderId="30" xfId="0" applyFont="1" applyBorder="1" applyAlignment="1" applyProtection="1">
      <alignment horizontal="center" vertical="top" wrapText="1"/>
      <protection locked="0"/>
    </xf>
    <xf numFmtId="0" fontId="39" fillId="0" borderId="79" xfId="0" applyFont="1" applyBorder="1" applyAlignment="1" applyProtection="1">
      <alignment horizontal="center" vertical="center" wrapText="1"/>
      <protection locked="0"/>
    </xf>
    <xf numFmtId="0" fontId="39" fillId="0" borderId="96" xfId="0" applyFont="1" applyBorder="1" applyAlignment="1" applyProtection="1">
      <alignment horizontal="center" vertical="top" wrapText="1"/>
      <protection locked="0"/>
    </xf>
    <xf numFmtId="0" fontId="39" fillId="0" borderId="18" xfId="0" applyFont="1" applyBorder="1" applyAlignment="1" applyProtection="1">
      <alignment horizontal="center" vertical="top" wrapText="1"/>
      <protection locked="0"/>
    </xf>
    <xf numFmtId="0" fontId="39" fillId="0" borderId="29" xfId="0" applyFont="1" applyBorder="1" applyAlignment="1" applyProtection="1">
      <alignment horizontal="center" vertical="top" wrapText="1"/>
      <protection locked="0"/>
    </xf>
    <xf numFmtId="0" fontId="39" fillId="0" borderId="79" xfId="0" applyFont="1" applyBorder="1" applyAlignment="1" applyProtection="1">
      <alignment horizontal="center" vertical="top" wrapText="1"/>
      <protection locked="0"/>
    </xf>
    <xf numFmtId="0" fontId="52" fillId="34" borderId="90" xfId="0" applyFont="1" applyFill="1" applyBorder="1" applyAlignment="1" applyProtection="1">
      <alignment horizontal="center" vertical="center"/>
      <protection locked="0"/>
    </xf>
    <xf numFmtId="0" fontId="52" fillId="34" borderId="90" xfId="0" applyFont="1" applyFill="1" applyBorder="1" applyAlignment="1" applyProtection="1">
      <alignment horizontal="center" vertical="center" wrapText="1" shrinkToFit="1"/>
      <protection locked="0"/>
    </xf>
    <xf numFmtId="0" fontId="39" fillId="0" borderId="91" xfId="0" applyFont="1" applyBorder="1" applyAlignment="1" applyProtection="1">
      <alignment horizontal="center" vertical="top" wrapText="1"/>
      <protection locked="0"/>
    </xf>
    <xf numFmtId="0" fontId="20" fillId="27" borderId="0" xfId="0" applyFont="1" applyFill="1" applyAlignment="1">
      <alignment horizontal="center"/>
    </xf>
    <xf numFmtId="0" fontId="0" fillId="26" borderId="0" xfId="0" applyFill="1" applyAlignment="1">
      <alignment horizontal="center"/>
    </xf>
    <xf numFmtId="0" fontId="0" fillId="26" borderId="12" xfId="0" applyFill="1" applyBorder="1" applyAlignment="1">
      <alignment horizontal="center" wrapText="1"/>
    </xf>
    <xf numFmtId="0" fontId="28" fillId="27" borderId="11" xfId="0" applyFont="1" applyFill="1" applyBorder="1" applyAlignment="1" applyProtection="1">
      <alignment horizontal="center" vertical="center"/>
      <protection locked="0"/>
    </xf>
    <xf numFmtId="0" fontId="92" fillId="27" borderId="0" xfId="0" applyFont="1" applyFill="1" applyAlignment="1" applyProtection="1">
      <alignment horizontal="center" vertical="center"/>
      <protection locked="0"/>
    </xf>
    <xf numFmtId="0" fontId="92" fillId="27" borderId="46" xfId="0" applyFont="1" applyFill="1" applyBorder="1" applyAlignment="1" applyProtection="1">
      <alignment horizontal="center" vertical="center"/>
      <protection locked="0"/>
    </xf>
    <xf numFmtId="0" fontId="106" fillId="0" borderId="16" xfId="0" applyFont="1" applyBorder="1" applyAlignment="1" applyProtection="1">
      <alignment horizontal="center" vertical="center" wrapText="1" shrinkToFit="1"/>
      <protection locked="0"/>
    </xf>
    <xf numFmtId="0" fontId="106" fillId="0" borderId="18" xfId="0" applyFont="1" applyBorder="1" applyAlignment="1" applyProtection="1">
      <alignment horizontal="center" vertical="center" wrapText="1" shrinkToFit="1"/>
      <protection locked="0"/>
    </xf>
    <xf numFmtId="0" fontId="106" fillId="0" borderId="21" xfId="0" applyFont="1" applyBorder="1" applyAlignment="1" applyProtection="1">
      <alignment horizontal="center" vertical="center" wrapText="1" shrinkToFit="1"/>
      <protection locked="0"/>
    </xf>
    <xf numFmtId="0" fontId="98" fillId="0" borderId="0" xfId="0" applyFont="1" applyAlignment="1" applyProtection="1">
      <alignment horizontal="left" vertical="center" wrapText="1"/>
      <protection locked="0"/>
    </xf>
    <xf numFmtId="0" fontId="112" fillId="62" borderId="59" xfId="0" applyFont="1" applyFill="1" applyBorder="1" applyAlignment="1" applyProtection="1">
      <alignment horizontal="center" vertical="center" wrapText="1"/>
      <protection locked="0"/>
    </xf>
    <xf numFmtId="0" fontId="112" fillId="62" borderId="27" xfId="0" applyFont="1" applyFill="1" applyBorder="1" applyAlignment="1" applyProtection="1">
      <alignment horizontal="center" vertical="center" wrapText="1"/>
      <protection locked="0"/>
    </xf>
    <xf numFmtId="0" fontId="112" fillId="62" borderId="58" xfId="0" applyFont="1" applyFill="1" applyBorder="1" applyAlignment="1" applyProtection="1">
      <alignment horizontal="center" vertical="center" wrapText="1"/>
      <protection locked="0"/>
    </xf>
    <xf numFmtId="0" fontId="112" fillId="62" borderId="11" xfId="0" applyFont="1" applyFill="1" applyBorder="1" applyAlignment="1" applyProtection="1">
      <alignment horizontal="center" vertical="center" wrapText="1"/>
      <protection locked="0"/>
    </xf>
    <xf numFmtId="0" fontId="112" fillId="62" borderId="0" xfId="0" applyFont="1" applyFill="1" applyAlignment="1" applyProtection="1">
      <alignment horizontal="center" vertical="center" wrapText="1"/>
      <protection locked="0"/>
    </xf>
    <xf numFmtId="0" fontId="112" fillId="62" borderId="46" xfId="0" applyFont="1" applyFill="1" applyBorder="1" applyAlignment="1" applyProtection="1">
      <alignment horizontal="center" vertical="center" wrapText="1"/>
      <protection locked="0"/>
    </xf>
    <xf numFmtId="0" fontId="105" fillId="0" borderId="112" xfId="0" applyFont="1" applyBorder="1" applyAlignment="1">
      <alignment horizontal="center" vertical="center"/>
    </xf>
    <xf numFmtId="0" fontId="105" fillId="0" borderId="78" xfId="0" applyFont="1" applyBorder="1" applyAlignment="1">
      <alignment horizontal="center" vertical="center"/>
    </xf>
    <xf numFmtId="0" fontId="105" fillId="0" borderId="116" xfId="0" applyFont="1" applyBorder="1" applyAlignment="1">
      <alignment horizontal="center" vertical="center"/>
    </xf>
    <xf numFmtId="0" fontId="69" fillId="0" borderId="0" xfId="0" applyFont="1" applyAlignment="1" applyProtection="1">
      <alignment horizontal="center"/>
      <protection locked="0"/>
    </xf>
    <xf numFmtId="0" fontId="45" fillId="0" borderId="0" xfId="0" applyFont="1" applyAlignment="1" applyProtection="1">
      <alignment horizontal="center"/>
      <protection locked="0"/>
    </xf>
    <xf numFmtId="0" fontId="44" fillId="0" borderId="0" xfId="0" applyFont="1" applyAlignment="1" applyProtection="1">
      <alignment horizontal="right" vertical="center"/>
      <protection locked="0"/>
    </xf>
    <xf numFmtId="0" fontId="47" fillId="0" borderId="12" xfId="0" applyFont="1" applyBorder="1" applyAlignment="1">
      <alignment horizontal="left"/>
    </xf>
    <xf numFmtId="0" fontId="51" fillId="0" borderId="0" xfId="0" applyFont="1" applyAlignment="1" applyProtection="1">
      <alignment horizontal="center" vertical="center" wrapText="1"/>
      <protection locked="0"/>
    </xf>
    <xf numFmtId="14" fontId="47" fillId="0" borderId="12" xfId="0" applyNumberFormat="1" applyFont="1" applyBorder="1" applyAlignment="1">
      <alignment horizontal="left"/>
    </xf>
    <xf numFmtId="0" fontId="0" fillId="0" borderId="0" xfId="0" applyAlignment="1" applyProtection="1">
      <alignment horizontal="center"/>
      <protection locked="0"/>
    </xf>
    <xf numFmtId="0" fontId="46" fillId="25" borderId="12" xfId="0" applyFont="1" applyFill="1" applyBorder="1" applyAlignment="1" applyProtection="1">
      <alignment horizontal="center" vertical="center" wrapText="1"/>
      <protection locked="0"/>
    </xf>
    <xf numFmtId="0" fontId="23" fillId="0" borderId="12" xfId="0" applyFont="1" applyBorder="1" applyAlignment="1">
      <alignment horizontal="center" vertical="center"/>
    </xf>
    <xf numFmtId="0" fontId="46" fillId="25" borderId="12" xfId="0" applyFont="1" applyFill="1" applyBorder="1" applyAlignment="1" applyProtection="1">
      <alignment horizontal="center" vertical="center"/>
      <protection locked="0"/>
    </xf>
    <xf numFmtId="0" fontId="52" fillId="43" borderId="61" xfId="0" applyFont="1" applyFill="1" applyBorder="1" applyAlignment="1" applyProtection="1">
      <alignment horizontal="center" vertical="center" wrapText="1"/>
      <protection locked="0"/>
    </xf>
    <xf numFmtId="0" fontId="52" fillId="43" borderId="62" xfId="0" applyFont="1" applyFill="1" applyBorder="1" applyAlignment="1" applyProtection="1">
      <alignment horizontal="center" vertical="center" wrapText="1"/>
      <protection locked="0"/>
    </xf>
    <xf numFmtId="0" fontId="52" fillId="43" borderId="26" xfId="0" applyFont="1" applyFill="1" applyBorder="1" applyAlignment="1" applyProtection="1">
      <alignment horizontal="center" vertical="center" wrapText="1"/>
      <protection locked="0"/>
    </xf>
    <xf numFmtId="0" fontId="52" fillId="43" borderId="35" xfId="0" applyFont="1" applyFill="1" applyBorder="1" applyAlignment="1" applyProtection="1">
      <alignment horizontal="center" vertical="center" wrapText="1"/>
      <protection locked="0"/>
    </xf>
    <xf numFmtId="0" fontId="52" fillId="43" borderId="36" xfId="0" applyFont="1" applyFill="1" applyBorder="1" applyAlignment="1" applyProtection="1">
      <alignment horizontal="center" vertical="center" wrapText="1"/>
      <protection locked="0"/>
    </xf>
    <xf numFmtId="0" fontId="52" fillId="43" borderId="12" xfId="0" applyFont="1" applyFill="1" applyBorder="1" applyAlignment="1" applyProtection="1">
      <alignment horizontal="center" vertical="center" wrapText="1"/>
      <protection locked="0"/>
    </xf>
    <xf numFmtId="0" fontId="52" fillId="43" borderId="59" xfId="0" applyFont="1" applyFill="1" applyBorder="1" applyAlignment="1" applyProtection="1">
      <alignment horizontal="center" vertical="center" wrapText="1"/>
      <protection locked="0"/>
    </xf>
    <xf numFmtId="0" fontId="52" fillId="43" borderId="47" xfId="0" applyFont="1" applyFill="1" applyBorder="1" applyAlignment="1" applyProtection="1">
      <alignment horizontal="center" vertical="center" wrapText="1"/>
      <protection locked="0"/>
    </xf>
    <xf numFmtId="0" fontId="73" fillId="0" borderId="0" xfId="0" applyFont="1" applyAlignment="1" applyProtection="1">
      <alignment horizontal="center"/>
      <protection locked="0"/>
    </xf>
    <xf numFmtId="0" fontId="52" fillId="40" borderId="12" xfId="0" applyFont="1" applyFill="1" applyBorder="1" applyAlignment="1" applyProtection="1">
      <alignment horizontal="center" vertical="center" wrapText="1"/>
      <protection locked="0"/>
    </xf>
    <xf numFmtId="0" fontId="55" fillId="40" borderId="12" xfId="0" applyFont="1" applyFill="1" applyBorder="1" applyAlignment="1" applyProtection="1">
      <alignment horizontal="center" vertical="center" wrapText="1"/>
      <protection locked="0"/>
    </xf>
    <xf numFmtId="0" fontId="52" fillId="40" borderId="61" xfId="0" applyFont="1" applyFill="1" applyBorder="1" applyAlignment="1" applyProtection="1">
      <alignment horizontal="center" vertical="center" wrapText="1"/>
      <protection locked="0"/>
    </xf>
    <xf numFmtId="0" fontId="52" fillId="40" borderId="62" xfId="0" applyFont="1" applyFill="1" applyBorder="1" applyAlignment="1" applyProtection="1">
      <alignment horizontal="center" vertical="center" wrapText="1"/>
      <protection locked="0"/>
    </xf>
    <xf numFmtId="0" fontId="52" fillId="40" borderId="59" xfId="0" applyFont="1" applyFill="1" applyBorder="1" applyAlignment="1" applyProtection="1">
      <alignment horizontal="center" vertical="center" wrapText="1"/>
      <protection locked="0"/>
    </xf>
    <xf numFmtId="0" fontId="52" fillId="40" borderId="47" xfId="0" applyFont="1" applyFill="1" applyBorder="1" applyAlignment="1" applyProtection="1">
      <alignment horizontal="center" vertical="center" wrapText="1"/>
      <protection locked="0"/>
    </xf>
  </cellXfs>
  <cellStyles count="44">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Good" xfId="29" xr:uid="{00000000-0005-0000-0000-00001C000000}"/>
    <cellStyle name="Heading 1" xfId="30" xr:uid="{00000000-0005-0000-0000-00001D000000}"/>
    <cellStyle name="Heading 2" xfId="31" xr:uid="{00000000-0005-0000-0000-00001E000000}"/>
    <cellStyle name="Heading 3" xfId="32" xr:uid="{00000000-0005-0000-0000-00001F000000}"/>
    <cellStyle name="Heading 4" xfId="33" xr:uid="{00000000-0005-0000-0000-000020000000}"/>
    <cellStyle name="Hyperlink" xfId="34" builtinId="8"/>
    <cellStyle name="Input" xfId="35" xr:uid="{00000000-0005-0000-0000-000022000000}"/>
    <cellStyle name="Linked Cell" xfId="36" xr:uid="{00000000-0005-0000-0000-000023000000}"/>
    <cellStyle name="Neutral" xfId="37" xr:uid="{00000000-0005-0000-0000-000024000000}"/>
    <cellStyle name="Normal" xfId="0" builtinId="0"/>
    <cellStyle name="Normal 2" xfId="38" xr:uid="{00000000-0005-0000-0000-000026000000}"/>
    <cellStyle name="Note" xfId="39" xr:uid="{00000000-0005-0000-0000-000027000000}"/>
    <cellStyle name="Output" xfId="40" xr:uid="{00000000-0005-0000-0000-000028000000}"/>
    <cellStyle name="Title" xfId="41" xr:uid="{00000000-0005-0000-0000-000029000000}"/>
    <cellStyle name="Total" xfId="42" xr:uid="{00000000-0005-0000-0000-00002A000000}"/>
    <cellStyle name="Warning Text" xfId="43" xr:uid="{00000000-0005-0000-0000-00002B000000}"/>
  </cellStyles>
  <dxfs count="1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ont>
        <color rgb="FFFF0000"/>
      </font>
    </dxf>
    <dxf>
      <fill>
        <patternFill>
          <bgColor rgb="FFFF0000"/>
        </patternFill>
      </fill>
    </dxf>
    <dxf>
      <fill>
        <patternFill>
          <bgColor rgb="FFFF0000"/>
        </patternFill>
      </fill>
    </dxf>
    <dxf>
      <font>
        <color rgb="FFFF0000"/>
      </font>
    </dxf>
    <dxf>
      <fill>
        <patternFill>
          <bgColor rgb="FFFF0000"/>
        </patternFill>
      </fill>
    </dxf>
    <dxf>
      <fill>
        <patternFill>
          <bgColor rgb="FFFF0000"/>
        </patternFill>
      </fill>
    </dxf>
    <dxf>
      <font>
        <color rgb="FFFF0000"/>
      </font>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dxf>
    <dxf>
      <font>
        <color theme="0"/>
      </font>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dxf>
    <dxf>
      <font>
        <color theme="0"/>
      </font>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4.jpeg"/><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2.jpe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3</xdr:col>
      <xdr:colOff>381000</xdr:colOff>
      <xdr:row>0</xdr:row>
      <xdr:rowOff>57150</xdr:rowOff>
    </xdr:from>
    <xdr:to>
      <xdr:col>7</xdr:col>
      <xdr:colOff>251668</xdr:colOff>
      <xdr:row>0</xdr:row>
      <xdr:rowOff>852768</xdr:rowOff>
    </xdr:to>
    <xdr:pic>
      <xdr:nvPicPr>
        <xdr:cNvPr id="4" name="Picture 3">
          <a:extLst>
            <a:ext uri="{FF2B5EF4-FFF2-40B4-BE49-F238E27FC236}">
              <a16:creationId xmlns:a16="http://schemas.microsoft.com/office/drawing/2014/main" id="{53377AF3-7E55-4FB4-80B9-1D42BF6AD9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3325" y="57150"/>
          <a:ext cx="2966293" cy="7956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614355</xdr:colOff>
      <xdr:row>0</xdr:row>
      <xdr:rowOff>35530</xdr:rowOff>
    </xdr:from>
    <xdr:to>
      <xdr:col>7</xdr:col>
      <xdr:colOff>505029</xdr:colOff>
      <xdr:row>0</xdr:row>
      <xdr:rowOff>314740</xdr:rowOff>
    </xdr:to>
    <xdr:pic>
      <xdr:nvPicPr>
        <xdr:cNvPr id="2" name="Picture 2" descr="D:\Shared\Deirdre\Logos\OPC logo.jpg">
          <a:extLst>
            <a:ext uri="{FF2B5EF4-FFF2-40B4-BE49-F238E27FC236}">
              <a16:creationId xmlns:a16="http://schemas.microsoft.com/office/drawing/2014/main" id="{650E18B4-F4FB-4CA6-A616-7ED574F818E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234230" y="35530"/>
          <a:ext cx="719348" cy="279210"/>
        </a:xfrm>
        <a:prstGeom prst="rect">
          <a:avLst/>
        </a:prstGeom>
        <a:noFill/>
        <a:ln w="9525">
          <a:noFill/>
          <a:miter lim="800000"/>
          <a:headEnd/>
          <a:tailEnd/>
        </a:ln>
      </xdr:spPr>
    </xdr:pic>
    <xdr:clientData fLocksWithSheet="0"/>
  </xdr:twoCellAnchor>
  <xdr:twoCellAnchor editAs="oneCell">
    <xdr:from>
      <xdr:col>0</xdr:col>
      <xdr:colOff>437030</xdr:colOff>
      <xdr:row>0</xdr:row>
      <xdr:rowOff>56032</xdr:rowOff>
    </xdr:from>
    <xdr:to>
      <xdr:col>3</xdr:col>
      <xdr:colOff>1109383</xdr:colOff>
      <xdr:row>2</xdr:row>
      <xdr:rowOff>185662</xdr:rowOff>
    </xdr:to>
    <xdr:pic>
      <xdr:nvPicPr>
        <xdr:cNvPr id="3" name="Picture 2">
          <a:extLst>
            <a:ext uri="{FF2B5EF4-FFF2-40B4-BE49-F238E27FC236}">
              <a16:creationId xmlns:a16="http://schemas.microsoft.com/office/drawing/2014/main" id="{BF4E89FA-18BD-475F-9206-E6F4F3301C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7030" y="56032"/>
          <a:ext cx="2655794" cy="712336"/>
        </a:xfrm>
        <a:prstGeom prst="rect">
          <a:avLst/>
        </a:prstGeom>
      </xdr:spPr>
    </xdr:pic>
    <xdr:clientData/>
  </xdr:twoCellAnchor>
  <xdr:twoCellAnchor editAs="oneCell">
    <xdr:from>
      <xdr:col>3</xdr:col>
      <xdr:colOff>1759324</xdr:colOff>
      <xdr:row>0</xdr:row>
      <xdr:rowOff>78443</xdr:rowOff>
    </xdr:from>
    <xdr:to>
      <xdr:col>4</xdr:col>
      <xdr:colOff>156884</xdr:colOff>
      <xdr:row>2</xdr:row>
      <xdr:rowOff>169583</xdr:rowOff>
    </xdr:to>
    <xdr:pic>
      <xdr:nvPicPr>
        <xdr:cNvPr id="4" name="Picture 3">
          <a:extLst>
            <a:ext uri="{FF2B5EF4-FFF2-40B4-BE49-F238E27FC236}">
              <a16:creationId xmlns:a16="http://schemas.microsoft.com/office/drawing/2014/main" id="{91684569-A93D-4A32-8ECF-3AD55D0D5E4B}"/>
            </a:ext>
          </a:extLst>
        </xdr:cNvPr>
        <xdr:cNvPicPr>
          <a:picLocks noChangeAspect="1"/>
        </xdr:cNvPicPr>
      </xdr:nvPicPr>
      <xdr:blipFill>
        <a:blip xmlns:r="http://schemas.openxmlformats.org/officeDocument/2006/relationships" r:embed="rId3"/>
        <a:stretch>
          <a:fillRect/>
        </a:stretch>
      </xdr:blipFill>
      <xdr:spPr>
        <a:xfrm>
          <a:off x="3742765" y="78443"/>
          <a:ext cx="1053354" cy="67384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179294</xdr:colOff>
      <xdr:row>0</xdr:row>
      <xdr:rowOff>67238</xdr:rowOff>
    </xdr:from>
    <xdr:to>
      <xdr:col>3</xdr:col>
      <xdr:colOff>1333500</xdr:colOff>
      <xdr:row>2</xdr:row>
      <xdr:rowOff>196868</xdr:rowOff>
    </xdr:to>
    <xdr:pic>
      <xdr:nvPicPr>
        <xdr:cNvPr id="3" name="Picture 2">
          <a:extLst>
            <a:ext uri="{FF2B5EF4-FFF2-40B4-BE49-F238E27FC236}">
              <a16:creationId xmlns:a16="http://schemas.microsoft.com/office/drawing/2014/main" id="{F6FBE298-67E7-4FF9-B370-01BF6C7BFB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1147" y="67238"/>
          <a:ext cx="2655794" cy="712336"/>
        </a:xfrm>
        <a:prstGeom prst="rect">
          <a:avLst/>
        </a:prstGeom>
      </xdr:spPr>
    </xdr:pic>
    <xdr:clientData/>
  </xdr:twoCellAnchor>
  <xdr:twoCellAnchor editAs="oneCell">
    <xdr:from>
      <xdr:col>3</xdr:col>
      <xdr:colOff>2207558</xdr:colOff>
      <xdr:row>0</xdr:row>
      <xdr:rowOff>78444</xdr:rowOff>
    </xdr:from>
    <xdr:to>
      <xdr:col>4</xdr:col>
      <xdr:colOff>975114</xdr:colOff>
      <xdr:row>2</xdr:row>
      <xdr:rowOff>190500</xdr:rowOff>
    </xdr:to>
    <xdr:pic>
      <xdr:nvPicPr>
        <xdr:cNvPr id="2" name="Picture 1">
          <a:extLst>
            <a:ext uri="{FF2B5EF4-FFF2-40B4-BE49-F238E27FC236}">
              <a16:creationId xmlns:a16="http://schemas.microsoft.com/office/drawing/2014/main" id="{C6E0FE27-D030-46C7-B743-9E941281ACB2}"/>
            </a:ext>
          </a:extLst>
        </xdr:cNvPr>
        <xdr:cNvPicPr>
          <a:picLocks noChangeAspect="1"/>
        </xdr:cNvPicPr>
      </xdr:nvPicPr>
      <xdr:blipFill>
        <a:blip xmlns:r="http://schemas.openxmlformats.org/officeDocument/2006/relationships" r:embed="rId2"/>
        <a:stretch>
          <a:fillRect/>
        </a:stretch>
      </xdr:blipFill>
      <xdr:spPr>
        <a:xfrm>
          <a:off x="4190999" y="78444"/>
          <a:ext cx="1087174" cy="69476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1019174</xdr:colOff>
      <xdr:row>10</xdr:row>
      <xdr:rowOff>133349</xdr:rowOff>
    </xdr:from>
    <xdr:to>
      <xdr:col>6</xdr:col>
      <xdr:colOff>971412</xdr:colOff>
      <xdr:row>23</xdr:row>
      <xdr:rowOff>57149</xdr:rowOff>
    </xdr:to>
    <xdr:pic>
      <xdr:nvPicPr>
        <xdr:cNvPr id="3" name="Picture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19199" y="1752599"/>
          <a:ext cx="3533638" cy="2028825"/>
        </a:xfrm>
        <a:prstGeom prst="rect">
          <a:avLst/>
        </a:prstGeom>
        <a:noFill/>
        <a:ln w="1">
          <a:noFill/>
          <a:miter lim="800000"/>
          <a:headEnd/>
          <a:tailEnd type="none" w="med" len="med"/>
        </a:ln>
        <a:effectLst/>
      </xdr:spPr>
    </xdr:pic>
    <xdr:clientData/>
  </xdr:twoCellAnchor>
  <xdr:twoCellAnchor editAs="oneCell">
    <xdr:from>
      <xdr:col>0</xdr:col>
      <xdr:colOff>752475</xdr:colOff>
      <xdr:row>0</xdr:row>
      <xdr:rowOff>0</xdr:rowOff>
    </xdr:from>
    <xdr:to>
      <xdr:col>2</xdr:col>
      <xdr:colOff>266700</xdr:colOff>
      <xdr:row>2</xdr:row>
      <xdr:rowOff>94857</xdr:rowOff>
    </xdr:to>
    <xdr:pic>
      <xdr:nvPicPr>
        <xdr:cNvPr id="4" name="Picture 3">
          <a:extLst>
            <a:ext uri="{FF2B5EF4-FFF2-40B4-BE49-F238E27FC236}">
              <a16:creationId xmlns:a16="http://schemas.microsoft.com/office/drawing/2014/main" id="{E233CA68-624B-4BB5-B917-E393680CCD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2475" y="0"/>
          <a:ext cx="2200275" cy="59015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76201</xdr:colOff>
      <xdr:row>10</xdr:row>
      <xdr:rowOff>95251</xdr:rowOff>
    </xdr:from>
    <xdr:to>
      <xdr:col>7</xdr:col>
      <xdr:colOff>323851</xdr:colOff>
      <xdr:row>23</xdr:row>
      <xdr:rowOff>64733</xdr:rowOff>
    </xdr:to>
    <xdr:pic>
      <xdr:nvPicPr>
        <xdr:cNvPr id="3" name="Picture 2">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5401" y="1714501"/>
          <a:ext cx="3790950" cy="2074507"/>
        </a:xfrm>
        <a:prstGeom prst="rect">
          <a:avLst/>
        </a:prstGeom>
        <a:noFill/>
      </xdr:spPr>
    </xdr:pic>
    <xdr:clientData/>
  </xdr:twoCellAnchor>
  <xdr:twoCellAnchor editAs="oneCell">
    <xdr:from>
      <xdr:col>0</xdr:col>
      <xdr:colOff>819150</xdr:colOff>
      <xdr:row>0</xdr:row>
      <xdr:rowOff>19050</xdr:rowOff>
    </xdr:from>
    <xdr:to>
      <xdr:col>3</xdr:col>
      <xdr:colOff>28575</xdr:colOff>
      <xdr:row>2</xdr:row>
      <xdr:rowOff>113907</xdr:rowOff>
    </xdr:to>
    <xdr:pic>
      <xdr:nvPicPr>
        <xdr:cNvPr id="7" name="Picture 6">
          <a:extLst>
            <a:ext uri="{FF2B5EF4-FFF2-40B4-BE49-F238E27FC236}">
              <a16:creationId xmlns:a16="http://schemas.microsoft.com/office/drawing/2014/main" id="{4C966B65-3AE9-40F1-8694-1C4C41AC23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9150" y="19050"/>
          <a:ext cx="2200275" cy="5901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44824</xdr:colOff>
      <xdr:row>0</xdr:row>
      <xdr:rowOff>44823</xdr:rowOff>
    </xdr:from>
    <xdr:to>
      <xdr:col>4</xdr:col>
      <xdr:colOff>244449</xdr:colOff>
      <xdr:row>1</xdr:row>
      <xdr:rowOff>210751</xdr:rowOff>
    </xdr:to>
    <xdr:pic>
      <xdr:nvPicPr>
        <xdr:cNvPr id="3" name="Picture 1" descr="Pacific Logo.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44824" y="44823"/>
          <a:ext cx="3214007" cy="502104"/>
        </a:xfrm>
        <a:prstGeom prst="rect">
          <a:avLst/>
        </a:prstGeom>
        <a:noFill/>
        <a:ln w="9525">
          <a:noFill/>
          <a:miter lim="800000"/>
          <a:headEnd/>
          <a:tailEnd/>
        </a:ln>
      </xdr:spPr>
    </xdr:pic>
    <xdr:clientData/>
  </xdr:twoCellAnchor>
  <xdr:twoCellAnchor editAs="oneCell">
    <xdr:from>
      <xdr:col>6</xdr:col>
      <xdr:colOff>717179</xdr:colOff>
      <xdr:row>0</xdr:row>
      <xdr:rowOff>33617</xdr:rowOff>
    </xdr:from>
    <xdr:to>
      <xdr:col>7</xdr:col>
      <xdr:colOff>607852</xdr:colOff>
      <xdr:row>1</xdr:row>
      <xdr:rowOff>0</xdr:rowOff>
    </xdr:to>
    <xdr:pic>
      <xdr:nvPicPr>
        <xdr:cNvPr id="4" name="Picture 2" descr="D:\Shared\Deirdre\Logos\OPC logo.jp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09767" y="33617"/>
          <a:ext cx="719909" cy="30255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23942</xdr:colOff>
      <xdr:row>0</xdr:row>
      <xdr:rowOff>35133</xdr:rowOff>
    </xdr:from>
    <xdr:to>
      <xdr:col>7</xdr:col>
      <xdr:colOff>743851</xdr:colOff>
      <xdr:row>0</xdr:row>
      <xdr:rowOff>307731</xdr:rowOff>
    </xdr:to>
    <xdr:pic>
      <xdr:nvPicPr>
        <xdr:cNvPr id="3" name="Picture 2" descr="D:\Shared\Deirdre\Logos\OPC logo.jp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90230" y="35133"/>
          <a:ext cx="719909" cy="272598"/>
        </a:xfrm>
        <a:prstGeom prst="rect">
          <a:avLst/>
        </a:prstGeom>
        <a:noFill/>
        <a:ln w="9525">
          <a:noFill/>
          <a:miter lim="800000"/>
          <a:headEnd/>
          <a:tailEnd/>
        </a:ln>
      </xdr:spPr>
    </xdr:pic>
    <xdr:clientData/>
  </xdr:twoCellAnchor>
  <xdr:twoCellAnchor editAs="oneCell">
    <xdr:from>
      <xdr:col>0</xdr:col>
      <xdr:colOff>44823</xdr:colOff>
      <xdr:row>0</xdr:row>
      <xdr:rowOff>44824</xdr:rowOff>
    </xdr:from>
    <xdr:to>
      <xdr:col>3</xdr:col>
      <xdr:colOff>1297801</xdr:colOff>
      <xdr:row>1</xdr:row>
      <xdr:rowOff>210752</xdr:rowOff>
    </xdr:to>
    <xdr:pic>
      <xdr:nvPicPr>
        <xdr:cNvPr id="4" name="Picture 1" descr="Pacific Logo.jp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44823" y="44824"/>
          <a:ext cx="3214007" cy="50210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170090</xdr:colOff>
      <xdr:row>0</xdr:row>
      <xdr:rowOff>22679</xdr:rowOff>
    </xdr:from>
    <xdr:to>
      <xdr:col>7</xdr:col>
      <xdr:colOff>889999</xdr:colOff>
      <xdr:row>0</xdr:row>
      <xdr:rowOff>325238</xdr:rowOff>
    </xdr:to>
    <xdr:pic>
      <xdr:nvPicPr>
        <xdr:cNvPr id="3" name="Picture 2" descr="D:\Shared\Deirdre\Logos\OPC logo.jp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134554" y="22679"/>
          <a:ext cx="719909" cy="302559"/>
        </a:xfrm>
        <a:prstGeom prst="rect">
          <a:avLst/>
        </a:prstGeom>
        <a:noFill/>
        <a:ln w="9525">
          <a:noFill/>
          <a:miter lim="800000"/>
          <a:headEnd/>
          <a:tailEnd/>
        </a:ln>
      </xdr:spPr>
    </xdr:pic>
    <xdr:clientData/>
  </xdr:twoCellAnchor>
  <xdr:twoCellAnchor editAs="oneCell">
    <xdr:from>
      <xdr:col>0</xdr:col>
      <xdr:colOff>34018</xdr:colOff>
      <xdr:row>0</xdr:row>
      <xdr:rowOff>45357</xdr:rowOff>
    </xdr:from>
    <xdr:to>
      <xdr:col>4</xdr:col>
      <xdr:colOff>560614</xdr:colOff>
      <xdr:row>1</xdr:row>
      <xdr:rowOff>207282</xdr:rowOff>
    </xdr:to>
    <xdr:pic>
      <xdr:nvPicPr>
        <xdr:cNvPr id="4" name="Picture 1" descr="Pacific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34018" y="45357"/>
          <a:ext cx="3214007" cy="502104"/>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614355</xdr:colOff>
      <xdr:row>0</xdr:row>
      <xdr:rowOff>35530</xdr:rowOff>
    </xdr:from>
    <xdr:to>
      <xdr:col>7</xdr:col>
      <xdr:colOff>505028</xdr:colOff>
      <xdr:row>0</xdr:row>
      <xdr:rowOff>314740</xdr:rowOff>
    </xdr:to>
    <xdr:pic>
      <xdr:nvPicPr>
        <xdr:cNvPr id="4" name="Picture 2" descr="D:\Shared\Deirdre\Logos\OPC logo.jp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528138" y="35530"/>
          <a:ext cx="718934" cy="279210"/>
        </a:xfrm>
        <a:prstGeom prst="rect">
          <a:avLst/>
        </a:prstGeom>
        <a:noFill/>
        <a:ln w="9525">
          <a:noFill/>
          <a:miter lim="800000"/>
          <a:headEnd/>
          <a:tailEnd/>
        </a:ln>
      </xdr:spPr>
    </xdr:pic>
    <xdr:clientData fLocksWithSheet="0"/>
  </xdr:twoCellAnchor>
  <xdr:twoCellAnchor editAs="oneCell">
    <xdr:from>
      <xdr:col>2</xdr:col>
      <xdr:colOff>212912</xdr:colOff>
      <xdr:row>0</xdr:row>
      <xdr:rowOff>56032</xdr:rowOff>
    </xdr:from>
    <xdr:to>
      <xdr:col>4</xdr:col>
      <xdr:colOff>425824</xdr:colOff>
      <xdr:row>2</xdr:row>
      <xdr:rowOff>185662</xdr:rowOff>
    </xdr:to>
    <xdr:pic>
      <xdr:nvPicPr>
        <xdr:cNvPr id="5" name="Picture 4">
          <a:extLst>
            <a:ext uri="{FF2B5EF4-FFF2-40B4-BE49-F238E27FC236}">
              <a16:creationId xmlns:a16="http://schemas.microsoft.com/office/drawing/2014/main" id="{79ED2902-8497-4D91-8B1C-D637D0C1F2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57618" y="56032"/>
          <a:ext cx="2655794" cy="7123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1850654</xdr:colOff>
      <xdr:row>0</xdr:row>
      <xdr:rowOff>24092</xdr:rowOff>
    </xdr:from>
    <xdr:to>
      <xdr:col>5</xdr:col>
      <xdr:colOff>503078</xdr:colOff>
      <xdr:row>0</xdr:row>
      <xdr:rowOff>323850</xdr:rowOff>
    </xdr:to>
    <xdr:pic>
      <xdr:nvPicPr>
        <xdr:cNvPr id="3" name="Picture 2" descr="D:\Shared\Deirdre\Logos\OPC logo.jpg">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03529" y="24092"/>
          <a:ext cx="719349" cy="299758"/>
        </a:xfrm>
        <a:prstGeom prst="rect">
          <a:avLst/>
        </a:prstGeom>
        <a:noFill/>
        <a:ln w="9525">
          <a:noFill/>
          <a:miter lim="800000"/>
          <a:headEnd/>
          <a:tailEnd/>
        </a:ln>
      </xdr:spPr>
    </xdr:pic>
    <xdr:clientData fLocksWithSheet="0"/>
  </xdr:twoCellAnchor>
  <xdr:twoCellAnchor editAs="oneCell">
    <xdr:from>
      <xdr:col>1</xdr:col>
      <xdr:colOff>168088</xdr:colOff>
      <xdr:row>0</xdr:row>
      <xdr:rowOff>56030</xdr:rowOff>
    </xdr:from>
    <xdr:to>
      <xdr:col>3</xdr:col>
      <xdr:colOff>1535207</xdr:colOff>
      <xdr:row>2</xdr:row>
      <xdr:rowOff>182654</xdr:rowOff>
    </xdr:to>
    <xdr:pic>
      <xdr:nvPicPr>
        <xdr:cNvPr id="4" name="Picture 3">
          <a:extLst>
            <a:ext uri="{FF2B5EF4-FFF2-40B4-BE49-F238E27FC236}">
              <a16:creationId xmlns:a16="http://schemas.microsoft.com/office/drawing/2014/main" id="{6D1D2C78-CCCF-46B2-97FF-D74B0D8552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1147" y="56030"/>
          <a:ext cx="2644589" cy="7093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595443</xdr:colOff>
      <xdr:row>0</xdr:row>
      <xdr:rowOff>23927</xdr:rowOff>
    </xdr:from>
    <xdr:to>
      <xdr:col>8</xdr:col>
      <xdr:colOff>486117</xdr:colOff>
      <xdr:row>0</xdr:row>
      <xdr:rowOff>296525</xdr:rowOff>
    </xdr:to>
    <xdr:pic>
      <xdr:nvPicPr>
        <xdr:cNvPr id="2" name="Picture 1" descr="D:\Shared\Deirdre\Logos\OPC logo.jp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71590" y="23927"/>
          <a:ext cx="719909" cy="272598"/>
        </a:xfrm>
        <a:prstGeom prst="rect">
          <a:avLst/>
        </a:prstGeom>
        <a:noFill/>
        <a:ln w="9525">
          <a:noFill/>
          <a:miter lim="800000"/>
          <a:headEnd/>
          <a:tailEnd/>
        </a:ln>
      </xdr:spPr>
    </xdr:pic>
    <xdr:clientData/>
  </xdr:twoCellAnchor>
  <xdr:twoCellAnchor editAs="oneCell">
    <xdr:from>
      <xdr:col>0</xdr:col>
      <xdr:colOff>44823</xdr:colOff>
      <xdr:row>0</xdr:row>
      <xdr:rowOff>44824</xdr:rowOff>
    </xdr:from>
    <xdr:to>
      <xdr:col>3</xdr:col>
      <xdr:colOff>1297801</xdr:colOff>
      <xdr:row>1</xdr:row>
      <xdr:rowOff>210752</xdr:rowOff>
    </xdr:to>
    <xdr:pic>
      <xdr:nvPicPr>
        <xdr:cNvPr id="3" name="Picture 1" descr="Pacific Logo.jp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44823" y="44824"/>
          <a:ext cx="3205603" cy="499303"/>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438561</xdr:colOff>
      <xdr:row>1</xdr:row>
      <xdr:rowOff>67236</xdr:rowOff>
    </xdr:from>
    <xdr:to>
      <xdr:col>4</xdr:col>
      <xdr:colOff>1444751</xdr:colOff>
      <xdr:row>2</xdr:row>
      <xdr:rowOff>201706</xdr:rowOff>
    </xdr:to>
    <xdr:pic>
      <xdr:nvPicPr>
        <xdr:cNvPr id="2" name="Picture 1" descr="D:\Shared\Deirdre\Logos\OPC logo.jp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33943" y="403412"/>
          <a:ext cx="1006190" cy="381000"/>
        </a:xfrm>
        <a:prstGeom prst="rect">
          <a:avLst/>
        </a:prstGeom>
        <a:noFill/>
        <a:ln w="9525">
          <a:noFill/>
          <a:miter lim="800000"/>
          <a:headEnd/>
          <a:tailEnd/>
        </a:ln>
      </xdr:spPr>
    </xdr:pic>
    <xdr:clientData fLocksWithSheet="0"/>
  </xdr:twoCellAnchor>
  <xdr:twoCellAnchor editAs="oneCell">
    <xdr:from>
      <xdr:col>0</xdr:col>
      <xdr:colOff>224119</xdr:colOff>
      <xdr:row>0</xdr:row>
      <xdr:rowOff>33618</xdr:rowOff>
    </xdr:from>
    <xdr:to>
      <xdr:col>3</xdr:col>
      <xdr:colOff>1229383</xdr:colOff>
      <xdr:row>2</xdr:row>
      <xdr:rowOff>246530</xdr:rowOff>
    </xdr:to>
    <xdr:pic>
      <xdr:nvPicPr>
        <xdr:cNvPr id="4" name="Picture 3">
          <a:extLst>
            <a:ext uri="{FF2B5EF4-FFF2-40B4-BE49-F238E27FC236}">
              <a16:creationId xmlns:a16="http://schemas.microsoft.com/office/drawing/2014/main" id="{6BCCEAE9-F304-41E4-8636-15A7701E5E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119" y="33618"/>
          <a:ext cx="2966293" cy="79561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44824</xdr:colOff>
      <xdr:row>0</xdr:row>
      <xdr:rowOff>56029</xdr:rowOff>
    </xdr:from>
    <xdr:to>
      <xdr:col>4</xdr:col>
      <xdr:colOff>20331</xdr:colOff>
      <xdr:row>1</xdr:row>
      <xdr:rowOff>210751</xdr:rowOff>
    </xdr:to>
    <xdr:pic>
      <xdr:nvPicPr>
        <xdr:cNvPr id="3" name="Picture 1" descr="Pacific Logo.jpg">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44824" y="56029"/>
          <a:ext cx="3214007" cy="502104"/>
        </a:xfrm>
        <a:prstGeom prst="rect">
          <a:avLst/>
        </a:prstGeom>
        <a:noFill/>
        <a:ln w="9525">
          <a:noFill/>
          <a:miter lim="800000"/>
          <a:headEnd/>
          <a:tailEnd/>
        </a:ln>
      </xdr:spPr>
    </xdr:pic>
    <xdr:clientData/>
  </xdr:twoCellAnchor>
  <xdr:twoCellAnchor editAs="oneCell">
    <xdr:from>
      <xdr:col>8</xdr:col>
      <xdr:colOff>253485</xdr:colOff>
      <xdr:row>0</xdr:row>
      <xdr:rowOff>20479</xdr:rowOff>
    </xdr:from>
    <xdr:to>
      <xdr:col>9</xdr:col>
      <xdr:colOff>541808</xdr:colOff>
      <xdr:row>0</xdr:row>
      <xdr:rowOff>337279</xdr:rowOff>
    </xdr:to>
    <xdr:pic>
      <xdr:nvPicPr>
        <xdr:cNvPr id="5" name="Picture 4">
          <a:extLst>
            <a:ext uri="{FF2B5EF4-FFF2-40B4-BE49-F238E27FC236}">
              <a16:creationId xmlns:a16="http://schemas.microsoft.com/office/drawing/2014/main" id="{E0253F0B-483E-4021-9D20-570F61C4488D}"/>
            </a:ext>
          </a:extLst>
        </xdr:cNvPr>
        <xdr:cNvPicPr>
          <a:picLocks noChangeAspect="1"/>
        </xdr:cNvPicPr>
      </xdr:nvPicPr>
      <xdr:blipFill>
        <a:blip xmlns:r="http://schemas.openxmlformats.org/officeDocument/2006/relationships" r:embed="rId2"/>
        <a:stretch>
          <a:fillRect/>
        </a:stretch>
      </xdr:blipFill>
      <xdr:spPr>
        <a:xfrm>
          <a:off x="7104916" y="20479"/>
          <a:ext cx="918944" cy="316800"/>
        </a:xfrm>
        <a:prstGeom prst="rect">
          <a:avLst/>
        </a:prstGeom>
      </xdr:spPr>
    </xdr:pic>
    <xdr:clientData/>
  </xdr:twoCellAnchor>
  <xdr:twoCellAnchor editAs="oneCell">
    <xdr:from>
      <xdr:col>5</xdr:col>
      <xdr:colOff>203243</xdr:colOff>
      <xdr:row>0</xdr:row>
      <xdr:rowOff>18462</xdr:rowOff>
    </xdr:from>
    <xdr:to>
      <xdr:col>6</xdr:col>
      <xdr:colOff>329515</xdr:colOff>
      <xdr:row>0</xdr:row>
      <xdr:rowOff>333161</xdr:rowOff>
    </xdr:to>
    <xdr:pic>
      <xdr:nvPicPr>
        <xdr:cNvPr id="7" name="Picture 6">
          <a:extLst>
            <a:ext uri="{FF2B5EF4-FFF2-40B4-BE49-F238E27FC236}">
              <a16:creationId xmlns:a16="http://schemas.microsoft.com/office/drawing/2014/main" id="{DECB1B28-FAE8-4D61-82E4-8424003A175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83477" y="18462"/>
          <a:ext cx="715632" cy="314699"/>
        </a:xfrm>
        <a:prstGeom prst="rect">
          <a:avLst/>
        </a:prstGeom>
      </xdr:spPr>
    </xdr:pic>
    <xdr:clientData/>
  </xdr:twoCellAnchor>
  <xdr:twoCellAnchor editAs="oneCell">
    <xdr:from>
      <xdr:col>6</xdr:col>
      <xdr:colOff>1047364</xdr:colOff>
      <xdr:row>0</xdr:row>
      <xdr:rowOff>27277</xdr:rowOff>
    </xdr:from>
    <xdr:to>
      <xdr:col>7</xdr:col>
      <xdr:colOff>815214</xdr:colOff>
      <xdr:row>0</xdr:row>
      <xdr:rowOff>344077</xdr:rowOff>
    </xdr:to>
    <xdr:pic>
      <xdr:nvPicPr>
        <xdr:cNvPr id="9" name="Picture 8">
          <a:extLst>
            <a:ext uri="{FF2B5EF4-FFF2-40B4-BE49-F238E27FC236}">
              <a16:creationId xmlns:a16="http://schemas.microsoft.com/office/drawing/2014/main" id="{D3D70E34-CA06-40EC-AB8E-92056FA9A86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17658" y="27277"/>
          <a:ext cx="1045321" cy="31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hyperlink" Target="mailto:shutterorders@pacificwholesale.com.au" TargetMode="External"/><Relationship Id="rId2" Type="http://schemas.openxmlformats.org/officeDocument/2006/relationships/hyperlink" Target="mailto:shuttersales@pacificwholesale.com.au" TargetMode="External"/><Relationship Id="rId1" Type="http://schemas.openxmlformats.org/officeDocument/2006/relationships/hyperlink" Target="mailto:support@pacificwholesale.com.au" TargetMode="External"/><Relationship Id="rId6" Type="http://schemas.openxmlformats.org/officeDocument/2006/relationships/printerSettings" Target="../printerSettings/printerSettings11.bin"/><Relationship Id="rId5" Type="http://schemas.openxmlformats.org/officeDocument/2006/relationships/hyperlink" Target="mailto:service@pacificwholesale.com.au" TargetMode="External"/><Relationship Id="rId4" Type="http://schemas.openxmlformats.org/officeDocument/2006/relationships/hyperlink" Target="mailto:shutterorders@pacificwholesale.com.au"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D302"/>
  <sheetViews>
    <sheetView workbookViewId="0">
      <selection activeCell="B3" sqref="B3"/>
    </sheetView>
  </sheetViews>
  <sheetFormatPr defaultRowHeight="15"/>
  <cols>
    <col min="1" max="1" width="7.42578125" style="315" customWidth="1"/>
    <col min="2" max="2" width="44" style="106" customWidth="1"/>
    <col min="3" max="3" width="7.42578125" style="315" customWidth="1"/>
    <col min="4" max="4" width="81" style="106" customWidth="1"/>
    <col min="5" max="16384" width="9.140625" style="106"/>
  </cols>
  <sheetData>
    <row r="1" spans="1:4" ht="60" customHeight="1">
      <c r="A1" s="496" t="s">
        <v>1772</v>
      </c>
      <c r="B1" s="496"/>
      <c r="C1" s="496"/>
      <c r="D1" s="496"/>
    </row>
    <row r="2" spans="1:4" s="324" customFormat="1" ht="28.5" customHeight="1">
      <c r="A2" s="320" t="s">
        <v>1768</v>
      </c>
      <c r="B2" s="321" t="s">
        <v>1767</v>
      </c>
      <c r="C2" s="322" t="s">
        <v>1768</v>
      </c>
      <c r="D2" s="323" t="s">
        <v>1769</v>
      </c>
    </row>
    <row r="3" spans="1:4">
      <c r="A3" s="316">
        <v>1</v>
      </c>
      <c r="B3" s="317"/>
      <c r="C3" s="318">
        <v>1</v>
      </c>
      <c r="D3" s="319"/>
    </row>
    <row r="4" spans="1:4">
      <c r="A4" s="316">
        <v>2</v>
      </c>
      <c r="B4" s="317"/>
      <c r="C4" s="318">
        <v>2</v>
      </c>
      <c r="D4" s="319"/>
    </row>
    <row r="5" spans="1:4">
      <c r="A5" s="316">
        <v>3</v>
      </c>
      <c r="B5" s="317"/>
      <c r="C5" s="318">
        <v>3</v>
      </c>
      <c r="D5" s="319"/>
    </row>
    <row r="6" spans="1:4">
      <c r="A6" s="316">
        <v>4</v>
      </c>
      <c r="B6" s="317"/>
      <c r="C6" s="318">
        <v>4</v>
      </c>
      <c r="D6" s="319"/>
    </row>
    <row r="7" spans="1:4">
      <c r="A7" s="316">
        <v>5</v>
      </c>
      <c r="B7" s="317"/>
      <c r="C7" s="318">
        <v>5</v>
      </c>
      <c r="D7" s="319"/>
    </row>
    <row r="8" spans="1:4">
      <c r="A8" s="316">
        <v>6</v>
      </c>
      <c r="B8" s="317"/>
      <c r="C8" s="318">
        <v>6</v>
      </c>
      <c r="D8" s="319"/>
    </row>
    <row r="9" spans="1:4">
      <c r="A9" s="316">
        <v>7</v>
      </c>
      <c r="B9" s="317"/>
      <c r="C9" s="318">
        <v>7</v>
      </c>
      <c r="D9" s="319"/>
    </row>
    <row r="10" spans="1:4">
      <c r="A10" s="316">
        <v>8</v>
      </c>
      <c r="B10" s="317"/>
      <c r="C10" s="318">
        <v>8</v>
      </c>
      <c r="D10" s="319"/>
    </row>
    <row r="11" spans="1:4">
      <c r="A11" s="316">
        <v>9</v>
      </c>
      <c r="B11" s="317"/>
      <c r="C11" s="318">
        <v>9</v>
      </c>
      <c r="D11" s="319"/>
    </row>
    <row r="12" spans="1:4">
      <c r="A12" s="316">
        <v>10</v>
      </c>
      <c r="B12" s="317"/>
      <c r="C12" s="318">
        <v>10</v>
      </c>
      <c r="D12" s="319"/>
    </row>
    <row r="13" spans="1:4">
      <c r="A13" s="316">
        <v>11</v>
      </c>
      <c r="B13" s="317"/>
      <c r="C13" s="318">
        <v>11</v>
      </c>
      <c r="D13" s="319"/>
    </row>
    <row r="14" spans="1:4">
      <c r="A14" s="316">
        <v>12</v>
      </c>
      <c r="B14" s="317"/>
      <c r="C14" s="318">
        <v>12</v>
      </c>
      <c r="D14" s="319"/>
    </row>
    <row r="15" spans="1:4">
      <c r="A15" s="316">
        <v>13</v>
      </c>
      <c r="B15" s="317"/>
      <c r="C15" s="318">
        <v>13</v>
      </c>
      <c r="D15" s="319"/>
    </row>
    <row r="16" spans="1:4">
      <c r="A16" s="316">
        <v>14</v>
      </c>
      <c r="B16" s="317"/>
      <c r="C16" s="318">
        <v>14</v>
      </c>
      <c r="D16" s="319"/>
    </row>
    <row r="17" spans="1:4">
      <c r="A17" s="316">
        <v>15</v>
      </c>
      <c r="B17" s="317"/>
      <c r="C17" s="318">
        <v>15</v>
      </c>
      <c r="D17" s="319"/>
    </row>
    <row r="18" spans="1:4">
      <c r="A18" s="316">
        <v>16</v>
      </c>
      <c r="B18" s="317"/>
      <c r="C18" s="318">
        <v>16</v>
      </c>
      <c r="D18" s="319"/>
    </row>
    <row r="19" spans="1:4">
      <c r="A19" s="316">
        <v>17</v>
      </c>
      <c r="B19" s="317"/>
      <c r="C19" s="318">
        <v>17</v>
      </c>
      <c r="D19" s="319"/>
    </row>
    <row r="20" spans="1:4">
      <c r="A20" s="316">
        <v>18</v>
      </c>
      <c r="B20" s="317"/>
      <c r="C20" s="318">
        <v>18</v>
      </c>
      <c r="D20" s="319"/>
    </row>
    <row r="21" spans="1:4">
      <c r="A21" s="316">
        <v>19</v>
      </c>
      <c r="B21" s="317"/>
      <c r="C21" s="318">
        <v>19</v>
      </c>
      <c r="D21" s="319"/>
    </row>
    <row r="22" spans="1:4">
      <c r="A22" s="316">
        <v>20</v>
      </c>
      <c r="B22" s="317"/>
      <c r="C22" s="318">
        <v>20</v>
      </c>
      <c r="D22" s="319"/>
    </row>
    <row r="23" spans="1:4">
      <c r="A23" s="316">
        <v>21</v>
      </c>
      <c r="B23" s="317"/>
      <c r="C23" s="318">
        <v>21</v>
      </c>
      <c r="D23" s="319"/>
    </row>
    <row r="24" spans="1:4">
      <c r="A24" s="316">
        <v>22</v>
      </c>
      <c r="B24" s="317"/>
      <c r="C24" s="318">
        <v>22</v>
      </c>
      <c r="D24" s="319"/>
    </row>
    <row r="25" spans="1:4">
      <c r="A25" s="316">
        <v>23</v>
      </c>
      <c r="B25" s="317"/>
      <c r="C25" s="318">
        <v>23</v>
      </c>
      <c r="D25" s="319"/>
    </row>
    <row r="26" spans="1:4">
      <c r="A26" s="316">
        <v>24</v>
      </c>
      <c r="B26" s="317"/>
      <c r="C26" s="318">
        <v>24</v>
      </c>
      <c r="D26" s="319"/>
    </row>
    <row r="27" spans="1:4">
      <c r="A27" s="316">
        <v>25</v>
      </c>
      <c r="B27" s="317"/>
      <c r="C27" s="318">
        <v>25</v>
      </c>
      <c r="D27" s="319"/>
    </row>
    <row r="28" spans="1:4">
      <c r="A28" s="316">
        <v>26</v>
      </c>
      <c r="B28" s="317"/>
      <c r="C28" s="318">
        <v>26</v>
      </c>
      <c r="D28" s="319"/>
    </row>
    <row r="29" spans="1:4">
      <c r="A29" s="316">
        <v>27</v>
      </c>
      <c r="B29" s="317"/>
      <c r="C29" s="318">
        <v>27</v>
      </c>
      <c r="D29" s="319"/>
    </row>
    <row r="30" spans="1:4">
      <c r="A30" s="316">
        <v>28</v>
      </c>
      <c r="B30" s="317"/>
      <c r="C30" s="318">
        <v>28</v>
      </c>
      <c r="D30" s="319"/>
    </row>
    <row r="31" spans="1:4">
      <c r="A31" s="316">
        <v>29</v>
      </c>
      <c r="B31" s="317"/>
      <c r="C31" s="318">
        <v>29</v>
      </c>
      <c r="D31" s="319"/>
    </row>
    <row r="32" spans="1:4">
      <c r="A32" s="316">
        <v>30</v>
      </c>
      <c r="B32" s="317"/>
      <c r="C32" s="318">
        <v>30</v>
      </c>
      <c r="D32" s="319"/>
    </row>
    <row r="33" spans="1:4">
      <c r="A33" s="316">
        <v>31</v>
      </c>
      <c r="B33" s="317"/>
      <c r="C33" s="318">
        <v>31</v>
      </c>
      <c r="D33" s="319"/>
    </row>
    <row r="34" spans="1:4">
      <c r="A34" s="316">
        <v>32</v>
      </c>
      <c r="B34" s="317"/>
      <c r="C34" s="318">
        <v>32</v>
      </c>
      <c r="D34" s="319"/>
    </row>
    <row r="35" spans="1:4">
      <c r="A35" s="316">
        <v>33</v>
      </c>
      <c r="B35" s="317"/>
      <c r="C35" s="318">
        <v>33</v>
      </c>
      <c r="D35" s="319"/>
    </row>
    <row r="36" spans="1:4">
      <c r="A36" s="316">
        <v>34</v>
      </c>
      <c r="B36" s="317"/>
      <c r="C36" s="318">
        <v>34</v>
      </c>
      <c r="D36" s="319"/>
    </row>
    <row r="37" spans="1:4">
      <c r="A37" s="316">
        <v>35</v>
      </c>
      <c r="B37" s="317"/>
      <c r="C37" s="318">
        <v>35</v>
      </c>
      <c r="D37" s="319"/>
    </row>
    <row r="38" spans="1:4">
      <c r="A38" s="316">
        <v>36</v>
      </c>
      <c r="B38" s="317"/>
      <c r="C38" s="318">
        <v>36</v>
      </c>
      <c r="D38" s="319"/>
    </row>
    <row r="39" spans="1:4">
      <c r="A39" s="316">
        <v>37</v>
      </c>
      <c r="B39" s="317"/>
      <c r="C39" s="318">
        <v>37</v>
      </c>
      <c r="D39" s="319"/>
    </row>
    <row r="40" spans="1:4">
      <c r="A40" s="316">
        <v>38</v>
      </c>
      <c r="B40" s="317"/>
      <c r="C40" s="318">
        <v>38</v>
      </c>
      <c r="D40" s="319"/>
    </row>
    <row r="41" spans="1:4">
      <c r="A41" s="316">
        <v>39</v>
      </c>
      <c r="B41" s="317"/>
      <c r="C41" s="318">
        <v>39</v>
      </c>
      <c r="D41" s="319"/>
    </row>
    <row r="42" spans="1:4">
      <c r="A42" s="316">
        <v>40</v>
      </c>
      <c r="B42" s="317"/>
      <c r="C42" s="318">
        <v>40</v>
      </c>
      <c r="D42" s="319"/>
    </row>
    <row r="43" spans="1:4">
      <c r="A43" s="316">
        <v>41</v>
      </c>
      <c r="B43" s="317"/>
      <c r="C43" s="318">
        <v>41</v>
      </c>
      <c r="D43" s="319"/>
    </row>
    <row r="44" spans="1:4">
      <c r="A44" s="316">
        <v>42</v>
      </c>
      <c r="B44" s="317"/>
      <c r="C44" s="318">
        <v>42</v>
      </c>
      <c r="D44" s="319"/>
    </row>
    <row r="45" spans="1:4">
      <c r="A45" s="316">
        <v>43</v>
      </c>
      <c r="B45" s="317"/>
      <c r="C45" s="318">
        <v>43</v>
      </c>
      <c r="D45" s="319"/>
    </row>
    <row r="46" spans="1:4">
      <c r="A46" s="316">
        <v>44</v>
      </c>
      <c r="B46" s="317"/>
      <c r="C46" s="318">
        <v>44</v>
      </c>
      <c r="D46" s="319"/>
    </row>
    <row r="47" spans="1:4">
      <c r="A47" s="316">
        <v>45</v>
      </c>
      <c r="B47" s="317"/>
      <c r="C47" s="318">
        <v>45</v>
      </c>
      <c r="D47" s="319"/>
    </row>
    <row r="48" spans="1:4">
      <c r="A48" s="316">
        <v>46</v>
      </c>
      <c r="B48" s="317"/>
      <c r="C48" s="318">
        <v>46</v>
      </c>
      <c r="D48" s="319"/>
    </row>
    <row r="49" spans="1:4">
      <c r="A49" s="316">
        <v>47</v>
      </c>
      <c r="B49" s="317"/>
      <c r="C49" s="318">
        <v>47</v>
      </c>
      <c r="D49" s="319"/>
    </row>
    <row r="50" spans="1:4">
      <c r="A50" s="316">
        <v>48</v>
      </c>
      <c r="B50" s="317"/>
      <c r="C50" s="318">
        <v>48</v>
      </c>
      <c r="D50" s="319"/>
    </row>
    <row r="51" spans="1:4">
      <c r="A51" s="316">
        <v>49</v>
      </c>
      <c r="B51" s="317"/>
      <c r="C51" s="318">
        <v>49</v>
      </c>
      <c r="D51" s="319"/>
    </row>
    <row r="52" spans="1:4">
      <c r="A52" s="316">
        <v>50</v>
      </c>
      <c r="B52" s="317"/>
      <c r="C52" s="318">
        <v>50</v>
      </c>
      <c r="D52" s="319"/>
    </row>
    <row r="53" spans="1:4">
      <c r="A53" s="316">
        <v>51</v>
      </c>
      <c r="B53" s="317"/>
      <c r="C53" s="318">
        <v>51</v>
      </c>
      <c r="D53" s="319"/>
    </row>
    <row r="54" spans="1:4">
      <c r="A54" s="316">
        <v>52</v>
      </c>
      <c r="B54" s="317"/>
      <c r="C54" s="318">
        <v>52</v>
      </c>
      <c r="D54" s="319"/>
    </row>
    <row r="55" spans="1:4">
      <c r="A55" s="316">
        <v>53</v>
      </c>
      <c r="B55" s="317"/>
      <c r="C55" s="318">
        <v>53</v>
      </c>
      <c r="D55" s="319"/>
    </row>
    <row r="56" spans="1:4">
      <c r="A56" s="316">
        <v>54</v>
      </c>
      <c r="B56" s="317"/>
      <c r="C56" s="318">
        <v>54</v>
      </c>
      <c r="D56" s="319"/>
    </row>
    <row r="57" spans="1:4">
      <c r="A57" s="316">
        <v>55</v>
      </c>
      <c r="B57" s="317"/>
      <c r="C57" s="318">
        <v>55</v>
      </c>
      <c r="D57" s="319"/>
    </row>
    <row r="58" spans="1:4">
      <c r="A58" s="316">
        <v>56</v>
      </c>
      <c r="B58" s="317"/>
      <c r="C58" s="318">
        <v>56</v>
      </c>
      <c r="D58" s="319"/>
    </row>
    <row r="59" spans="1:4">
      <c r="A59" s="316">
        <v>57</v>
      </c>
      <c r="B59" s="317"/>
      <c r="C59" s="318">
        <v>57</v>
      </c>
      <c r="D59" s="319"/>
    </row>
    <row r="60" spans="1:4">
      <c r="A60" s="316">
        <v>58</v>
      </c>
      <c r="B60" s="317"/>
      <c r="C60" s="318">
        <v>58</v>
      </c>
      <c r="D60" s="319"/>
    </row>
    <row r="61" spans="1:4">
      <c r="A61" s="316">
        <v>59</v>
      </c>
      <c r="B61" s="317"/>
      <c r="C61" s="318">
        <v>59</v>
      </c>
      <c r="D61" s="319"/>
    </row>
    <row r="62" spans="1:4">
      <c r="A62" s="316">
        <v>60</v>
      </c>
      <c r="B62" s="317"/>
      <c r="C62" s="318">
        <v>60</v>
      </c>
      <c r="D62" s="319"/>
    </row>
    <row r="63" spans="1:4">
      <c r="A63" s="316">
        <v>61</v>
      </c>
      <c r="B63" s="317"/>
      <c r="C63" s="318">
        <v>61</v>
      </c>
      <c r="D63" s="319"/>
    </row>
    <row r="64" spans="1:4">
      <c r="A64" s="316">
        <v>62</v>
      </c>
      <c r="B64" s="317"/>
      <c r="C64" s="318">
        <v>62</v>
      </c>
      <c r="D64" s="319"/>
    </row>
    <row r="65" spans="1:4">
      <c r="A65" s="316">
        <v>63</v>
      </c>
      <c r="B65" s="317"/>
      <c r="C65" s="318">
        <v>63</v>
      </c>
      <c r="D65" s="319"/>
    </row>
    <row r="66" spans="1:4">
      <c r="A66" s="316">
        <v>64</v>
      </c>
      <c r="B66" s="317"/>
      <c r="C66" s="318">
        <v>64</v>
      </c>
      <c r="D66" s="319"/>
    </row>
    <row r="67" spans="1:4">
      <c r="A67" s="316">
        <v>65</v>
      </c>
      <c r="B67" s="317"/>
      <c r="C67" s="318">
        <v>65</v>
      </c>
      <c r="D67" s="319"/>
    </row>
    <row r="68" spans="1:4">
      <c r="A68" s="316">
        <v>66</v>
      </c>
      <c r="B68" s="317"/>
      <c r="C68" s="318">
        <v>66</v>
      </c>
      <c r="D68" s="319"/>
    </row>
    <row r="69" spans="1:4">
      <c r="A69" s="316">
        <v>67</v>
      </c>
      <c r="B69" s="317"/>
      <c r="C69" s="318">
        <v>67</v>
      </c>
      <c r="D69" s="319"/>
    </row>
    <row r="70" spans="1:4">
      <c r="A70" s="316">
        <v>68</v>
      </c>
      <c r="B70" s="317"/>
      <c r="C70" s="318">
        <v>68</v>
      </c>
      <c r="D70" s="319"/>
    </row>
    <row r="71" spans="1:4">
      <c r="A71" s="316">
        <v>69</v>
      </c>
      <c r="B71" s="317"/>
      <c r="C71" s="318">
        <v>69</v>
      </c>
      <c r="D71" s="319"/>
    </row>
    <row r="72" spans="1:4">
      <c r="A72" s="316">
        <v>70</v>
      </c>
      <c r="B72" s="317"/>
      <c r="C72" s="318">
        <v>70</v>
      </c>
      <c r="D72" s="319"/>
    </row>
    <row r="73" spans="1:4">
      <c r="A73" s="316">
        <v>71</v>
      </c>
      <c r="B73" s="317"/>
      <c r="C73" s="318">
        <v>71</v>
      </c>
      <c r="D73" s="319"/>
    </row>
    <row r="74" spans="1:4">
      <c r="A74" s="316">
        <v>72</v>
      </c>
      <c r="B74" s="317"/>
      <c r="C74" s="318">
        <v>72</v>
      </c>
      <c r="D74" s="319"/>
    </row>
    <row r="75" spans="1:4">
      <c r="A75" s="316">
        <v>73</v>
      </c>
      <c r="B75" s="317"/>
      <c r="C75" s="318">
        <v>73</v>
      </c>
      <c r="D75" s="319"/>
    </row>
    <row r="76" spans="1:4">
      <c r="A76" s="316">
        <v>74</v>
      </c>
      <c r="B76" s="317"/>
      <c r="C76" s="318">
        <v>74</v>
      </c>
      <c r="D76" s="319"/>
    </row>
    <row r="77" spans="1:4">
      <c r="A77" s="316">
        <v>75</v>
      </c>
      <c r="B77" s="317"/>
      <c r="C77" s="318">
        <v>75</v>
      </c>
      <c r="D77" s="319"/>
    </row>
    <row r="78" spans="1:4">
      <c r="A78" s="316">
        <v>76</v>
      </c>
      <c r="B78" s="317"/>
      <c r="C78" s="318">
        <v>76</v>
      </c>
      <c r="D78" s="319"/>
    </row>
    <row r="79" spans="1:4">
      <c r="A79" s="316">
        <v>77</v>
      </c>
      <c r="B79" s="317"/>
      <c r="C79" s="318">
        <v>77</v>
      </c>
      <c r="D79" s="319"/>
    </row>
    <row r="80" spans="1:4">
      <c r="A80" s="316">
        <v>78</v>
      </c>
      <c r="B80" s="317"/>
      <c r="C80" s="318">
        <v>78</v>
      </c>
      <c r="D80" s="319"/>
    </row>
    <row r="81" spans="1:4">
      <c r="A81" s="316">
        <v>79</v>
      </c>
      <c r="B81" s="317"/>
      <c r="C81" s="318">
        <v>79</v>
      </c>
      <c r="D81" s="319"/>
    </row>
    <row r="82" spans="1:4">
      <c r="A82" s="316">
        <v>80</v>
      </c>
      <c r="B82" s="317"/>
      <c r="C82" s="318">
        <v>80</v>
      </c>
      <c r="D82" s="319"/>
    </row>
    <row r="83" spans="1:4">
      <c r="A83" s="316">
        <v>81</v>
      </c>
      <c r="B83" s="317"/>
      <c r="C83" s="318">
        <v>81</v>
      </c>
      <c r="D83" s="319"/>
    </row>
    <row r="84" spans="1:4">
      <c r="A84" s="316">
        <v>82</v>
      </c>
      <c r="B84" s="317"/>
      <c r="C84" s="318">
        <v>82</v>
      </c>
      <c r="D84" s="319"/>
    </row>
    <row r="85" spans="1:4">
      <c r="A85" s="316">
        <v>83</v>
      </c>
      <c r="B85" s="317"/>
      <c r="C85" s="318">
        <v>83</v>
      </c>
      <c r="D85" s="319"/>
    </row>
    <row r="86" spans="1:4">
      <c r="A86" s="316">
        <v>84</v>
      </c>
      <c r="B86" s="317"/>
      <c r="C86" s="318">
        <v>84</v>
      </c>
      <c r="D86" s="319"/>
    </row>
    <row r="87" spans="1:4">
      <c r="A87" s="316">
        <v>85</v>
      </c>
      <c r="B87" s="317"/>
      <c r="C87" s="318">
        <v>85</v>
      </c>
      <c r="D87" s="319"/>
    </row>
    <row r="88" spans="1:4">
      <c r="A88" s="316">
        <v>86</v>
      </c>
      <c r="B88" s="317"/>
      <c r="C88" s="318">
        <v>86</v>
      </c>
      <c r="D88" s="319"/>
    </row>
    <row r="89" spans="1:4">
      <c r="A89" s="316">
        <v>87</v>
      </c>
      <c r="B89" s="317"/>
      <c r="C89" s="318">
        <v>87</v>
      </c>
      <c r="D89" s="319"/>
    </row>
    <row r="90" spans="1:4">
      <c r="A90" s="316">
        <v>88</v>
      </c>
      <c r="B90" s="317"/>
      <c r="C90" s="318">
        <v>88</v>
      </c>
      <c r="D90" s="319"/>
    </row>
    <row r="91" spans="1:4">
      <c r="A91" s="316">
        <v>89</v>
      </c>
      <c r="B91" s="317"/>
      <c r="C91" s="318">
        <v>89</v>
      </c>
      <c r="D91" s="319"/>
    </row>
    <row r="92" spans="1:4">
      <c r="A92" s="316">
        <v>90</v>
      </c>
      <c r="B92" s="317"/>
      <c r="C92" s="318">
        <v>90</v>
      </c>
      <c r="D92" s="319"/>
    </row>
    <row r="93" spans="1:4">
      <c r="A93" s="316">
        <v>91</v>
      </c>
      <c r="B93" s="317"/>
      <c r="C93" s="318">
        <v>91</v>
      </c>
      <c r="D93" s="319"/>
    </row>
    <row r="94" spans="1:4">
      <c r="A94" s="316">
        <v>92</v>
      </c>
      <c r="B94" s="317"/>
      <c r="C94" s="318">
        <v>92</v>
      </c>
      <c r="D94" s="319"/>
    </row>
    <row r="95" spans="1:4">
      <c r="A95" s="316">
        <v>93</v>
      </c>
      <c r="B95" s="317"/>
      <c r="C95" s="318">
        <v>93</v>
      </c>
      <c r="D95" s="319"/>
    </row>
    <row r="96" spans="1:4">
      <c r="A96" s="316">
        <v>94</v>
      </c>
      <c r="B96" s="317"/>
      <c r="C96" s="318">
        <v>94</v>
      </c>
      <c r="D96" s="319"/>
    </row>
    <row r="97" spans="1:4">
      <c r="A97" s="316">
        <v>95</v>
      </c>
      <c r="B97" s="317"/>
      <c r="C97" s="318">
        <v>95</v>
      </c>
      <c r="D97" s="319"/>
    </row>
    <row r="98" spans="1:4">
      <c r="A98" s="316">
        <v>96</v>
      </c>
      <c r="B98" s="317"/>
      <c r="C98" s="318">
        <v>96</v>
      </c>
      <c r="D98" s="319"/>
    </row>
    <row r="99" spans="1:4">
      <c r="A99" s="316">
        <v>97</v>
      </c>
      <c r="B99" s="317"/>
      <c r="C99" s="318">
        <v>97</v>
      </c>
      <c r="D99" s="319"/>
    </row>
    <row r="100" spans="1:4">
      <c r="A100" s="316">
        <v>98</v>
      </c>
      <c r="B100" s="317"/>
      <c r="C100" s="318">
        <v>98</v>
      </c>
      <c r="D100" s="319"/>
    </row>
    <row r="101" spans="1:4">
      <c r="A101" s="316">
        <v>99</v>
      </c>
      <c r="B101" s="317"/>
      <c r="C101" s="318">
        <v>99</v>
      </c>
      <c r="D101" s="319"/>
    </row>
    <row r="102" spans="1:4">
      <c r="A102" s="316">
        <v>100</v>
      </c>
      <c r="B102" s="317"/>
      <c r="C102" s="318">
        <v>100</v>
      </c>
      <c r="D102" s="319"/>
    </row>
    <row r="103" spans="1:4">
      <c r="A103" s="316">
        <v>101</v>
      </c>
      <c r="B103" s="317"/>
      <c r="C103" s="318">
        <v>101</v>
      </c>
      <c r="D103" s="319"/>
    </row>
    <row r="104" spans="1:4">
      <c r="A104" s="316">
        <v>102</v>
      </c>
      <c r="B104" s="317"/>
      <c r="C104" s="318">
        <v>102</v>
      </c>
      <c r="D104" s="319"/>
    </row>
    <row r="105" spans="1:4">
      <c r="A105" s="316">
        <v>103</v>
      </c>
      <c r="B105" s="317"/>
      <c r="C105" s="318">
        <v>103</v>
      </c>
      <c r="D105" s="319"/>
    </row>
    <row r="106" spans="1:4">
      <c r="A106" s="316">
        <v>104</v>
      </c>
      <c r="B106" s="317"/>
      <c r="C106" s="318">
        <v>104</v>
      </c>
      <c r="D106" s="319"/>
    </row>
    <row r="107" spans="1:4">
      <c r="A107" s="316">
        <v>105</v>
      </c>
      <c r="B107" s="317"/>
      <c r="C107" s="318">
        <v>105</v>
      </c>
      <c r="D107" s="319"/>
    </row>
    <row r="108" spans="1:4">
      <c r="A108" s="316">
        <v>106</v>
      </c>
      <c r="B108" s="317"/>
      <c r="C108" s="318">
        <v>106</v>
      </c>
      <c r="D108" s="319"/>
    </row>
    <row r="109" spans="1:4">
      <c r="A109" s="316">
        <v>107</v>
      </c>
      <c r="B109" s="317"/>
      <c r="C109" s="318">
        <v>107</v>
      </c>
      <c r="D109" s="319"/>
    </row>
    <row r="110" spans="1:4">
      <c r="A110" s="316">
        <v>108</v>
      </c>
      <c r="B110" s="317"/>
      <c r="C110" s="318">
        <v>108</v>
      </c>
      <c r="D110" s="319"/>
    </row>
    <row r="111" spans="1:4">
      <c r="A111" s="316">
        <v>109</v>
      </c>
      <c r="B111" s="317"/>
      <c r="C111" s="318">
        <v>109</v>
      </c>
      <c r="D111" s="319"/>
    </row>
    <row r="112" spans="1:4">
      <c r="A112" s="316">
        <v>110</v>
      </c>
      <c r="B112" s="317"/>
      <c r="C112" s="318">
        <v>110</v>
      </c>
      <c r="D112" s="319"/>
    </row>
    <row r="113" spans="1:4">
      <c r="A113" s="316">
        <v>111</v>
      </c>
      <c r="B113" s="317"/>
      <c r="C113" s="318">
        <v>111</v>
      </c>
      <c r="D113" s="319"/>
    </row>
    <row r="114" spans="1:4">
      <c r="A114" s="316">
        <v>112</v>
      </c>
      <c r="B114" s="317"/>
      <c r="C114" s="318">
        <v>112</v>
      </c>
      <c r="D114" s="319"/>
    </row>
    <row r="115" spans="1:4">
      <c r="A115" s="316">
        <v>113</v>
      </c>
      <c r="B115" s="317"/>
      <c r="C115" s="318">
        <v>113</v>
      </c>
      <c r="D115" s="319"/>
    </row>
    <row r="116" spans="1:4">
      <c r="A116" s="316">
        <v>114</v>
      </c>
      <c r="B116" s="317"/>
      <c r="C116" s="318">
        <v>114</v>
      </c>
      <c r="D116" s="319"/>
    </row>
    <row r="117" spans="1:4">
      <c r="A117" s="316">
        <v>115</v>
      </c>
      <c r="B117" s="317"/>
      <c r="C117" s="318">
        <v>115</v>
      </c>
      <c r="D117" s="319"/>
    </row>
    <row r="118" spans="1:4">
      <c r="A118" s="316">
        <v>116</v>
      </c>
      <c r="B118" s="317"/>
      <c r="C118" s="318">
        <v>116</v>
      </c>
      <c r="D118" s="319"/>
    </row>
    <row r="119" spans="1:4">
      <c r="A119" s="316">
        <v>117</v>
      </c>
      <c r="B119" s="317"/>
      <c r="C119" s="318">
        <v>117</v>
      </c>
      <c r="D119" s="319"/>
    </row>
    <row r="120" spans="1:4">
      <c r="A120" s="316">
        <v>118</v>
      </c>
      <c r="B120" s="317"/>
      <c r="C120" s="318">
        <v>118</v>
      </c>
      <c r="D120" s="319"/>
    </row>
    <row r="121" spans="1:4">
      <c r="A121" s="316">
        <v>119</v>
      </c>
      <c r="B121" s="317"/>
      <c r="C121" s="318">
        <v>119</v>
      </c>
      <c r="D121" s="319"/>
    </row>
    <row r="122" spans="1:4">
      <c r="A122" s="316">
        <v>120</v>
      </c>
      <c r="B122" s="317"/>
      <c r="C122" s="318">
        <v>120</v>
      </c>
      <c r="D122" s="319"/>
    </row>
    <row r="123" spans="1:4">
      <c r="A123" s="316">
        <v>121</v>
      </c>
      <c r="B123" s="317"/>
      <c r="C123" s="318">
        <v>121</v>
      </c>
      <c r="D123" s="319"/>
    </row>
    <row r="124" spans="1:4">
      <c r="A124" s="316">
        <v>122</v>
      </c>
      <c r="B124" s="317"/>
      <c r="C124" s="318">
        <v>122</v>
      </c>
      <c r="D124" s="319"/>
    </row>
    <row r="125" spans="1:4">
      <c r="A125" s="316">
        <v>123</v>
      </c>
      <c r="B125" s="317"/>
      <c r="C125" s="318">
        <v>123</v>
      </c>
      <c r="D125" s="319"/>
    </row>
    <row r="126" spans="1:4">
      <c r="A126" s="316">
        <v>124</v>
      </c>
      <c r="B126" s="317"/>
      <c r="C126" s="318">
        <v>124</v>
      </c>
      <c r="D126" s="319"/>
    </row>
    <row r="127" spans="1:4">
      <c r="A127" s="316">
        <v>125</v>
      </c>
      <c r="B127" s="317"/>
      <c r="C127" s="318">
        <v>125</v>
      </c>
      <c r="D127" s="319"/>
    </row>
    <row r="128" spans="1:4">
      <c r="A128" s="316">
        <v>126</v>
      </c>
      <c r="B128" s="317"/>
      <c r="C128" s="318">
        <v>126</v>
      </c>
      <c r="D128" s="319"/>
    </row>
    <row r="129" spans="1:4">
      <c r="A129" s="316">
        <v>127</v>
      </c>
      <c r="B129" s="317"/>
      <c r="C129" s="318">
        <v>127</v>
      </c>
      <c r="D129" s="319"/>
    </row>
    <row r="130" spans="1:4">
      <c r="A130" s="316">
        <v>128</v>
      </c>
      <c r="B130" s="317"/>
      <c r="C130" s="318">
        <v>128</v>
      </c>
      <c r="D130" s="319"/>
    </row>
    <row r="131" spans="1:4">
      <c r="A131" s="316">
        <v>129</v>
      </c>
      <c r="B131" s="317"/>
      <c r="C131" s="318">
        <v>129</v>
      </c>
      <c r="D131" s="319"/>
    </row>
    <row r="132" spans="1:4">
      <c r="A132" s="316">
        <v>130</v>
      </c>
      <c r="B132" s="317"/>
      <c r="C132" s="318">
        <v>130</v>
      </c>
      <c r="D132" s="319"/>
    </row>
    <row r="133" spans="1:4">
      <c r="A133" s="316">
        <v>131</v>
      </c>
      <c r="B133" s="317"/>
      <c r="C133" s="318">
        <v>131</v>
      </c>
      <c r="D133" s="319"/>
    </row>
    <row r="134" spans="1:4">
      <c r="A134" s="316">
        <v>132</v>
      </c>
      <c r="B134" s="317"/>
      <c r="C134" s="318">
        <v>132</v>
      </c>
      <c r="D134" s="319"/>
    </row>
    <row r="135" spans="1:4">
      <c r="A135" s="316">
        <v>133</v>
      </c>
      <c r="B135" s="317"/>
      <c r="C135" s="318">
        <v>133</v>
      </c>
      <c r="D135" s="319"/>
    </row>
    <row r="136" spans="1:4">
      <c r="A136" s="316">
        <v>134</v>
      </c>
      <c r="B136" s="317"/>
      <c r="C136" s="318">
        <v>134</v>
      </c>
      <c r="D136" s="319"/>
    </row>
    <row r="137" spans="1:4">
      <c r="A137" s="316">
        <v>135</v>
      </c>
      <c r="B137" s="317"/>
      <c r="C137" s="318">
        <v>135</v>
      </c>
      <c r="D137" s="319"/>
    </row>
    <row r="138" spans="1:4">
      <c r="A138" s="316">
        <v>136</v>
      </c>
      <c r="B138" s="317"/>
      <c r="C138" s="318">
        <v>136</v>
      </c>
      <c r="D138" s="319"/>
    </row>
    <row r="139" spans="1:4">
      <c r="A139" s="316">
        <v>137</v>
      </c>
      <c r="B139" s="317"/>
      <c r="C139" s="318">
        <v>137</v>
      </c>
      <c r="D139" s="319"/>
    </row>
    <row r="140" spans="1:4">
      <c r="A140" s="316">
        <v>138</v>
      </c>
      <c r="B140" s="317"/>
      <c r="C140" s="318">
        <v>138</v>
      </c>
      <c r="D140" s="319"/>
    </row>
    <row r="141" spans="1:4">
      <c r="A141" s="316">
        <v>139</v>
      </c>
      <c r="B141" s="317"/>
      <c r="C141" s="318">
        <v>139</v>
      </c>
      <c r="D141" s="319"/>
    </row>
    <row r="142" spans="1:4">
      <c r="A142" s="316">
        <v>140</v>
      </c>
      <c r="B142" s="317"/>
      <c r="C142" s="318">
        <v>140</v>
      </c>
      <c r="D142" s="319"/>
    </row>
    <row r="143" spans="1:4">
      <c r="A143" s="316">
        <v>141</v>
      </c>
      <c r="B143" s="317"/>
      <c r="C143" s="318">
        <v>141</v>
      </c>
      <c r="D143" s="319"/>
    </row>
    <row r="144" spans="1:4">
      <c r="A144" s="316">
        <v>142</v>
      </c>
      <c r="B144" s="317"/>
      <c r="C144" s="318">
        <v>142</v>
      </c>
      <c r="D144" s="319"/>
    </row>
    <row r="145" spans="1:4">
      <c r="A145" s="316">
        <v>143</v>
      </c>
      <c r="B145" s="317"/>
      <c r="C145" s="318">
        <v>143</v>
      </c>
      <c r="D145" s="319"/>
    </row>
    <row r="146" spans="1:4">
      <c r="A146" s="316">
        <v>144</v>
      </c>
      <c r="B146" s="317"/>
      <c r="C146" s="318">
        <v>144</v>
      </c>
      <c r="D146" s="319"/>
    </row>
    <row r="147" spans="1:4">
      <c r="A147" s="316">
        <v>145</v>
      </c>
      <c r="B147" s="317"/>
      <c r="C147" s="318">
        <v>145</v>
      </c>
      <c r="D147" s="319"/>
    </row>
    <row r="148" spans="1:4">
      <c r="A148" s="316">
        <v>146</v>
      </c>
      <c r="B148" s="317"/>
      <c r="C148" s="318">
        <v>146</v>
      </c>
      <c r="D148" s="319"/>
    </row>
    <row r="149" spans="1:4">
      <c r="A149" s="316">
        <v>147</v>
      </c>
      <c r="B149" s="317"/>
      <c r="C149" s="318">
        <v>147</v>
      </c>
      <c r="D149" s="319"/>
    </row>
    <row r="150" spans="1:4">
      <c r="A150" s="316">
        <v>148</v>
      </c>
      <c r="B150" s="317"/>
      <c r="C150" s="318">
        <v>148</v>
      </c>
      <c r="D150" s="319"/>
    </row>
    <row r="151" spans="1:4">
      <c r="A151" s="316">
        <v>149</v>
      </c>
      <c r="B151" s="317"/>
      <c r="C151" s="318">
        <v>149</v>
      </c>
      <c r="D151" s="319"/>
    </row>
    <row r="152" spans="1:4">
      <c r="A152" s="316">
        <v>150</v>
      </c>
      <c r="B152" s="317"/>
      <c r="C152" s="318">
        <v>150</v>
      </c>
      <c r="D152" s="319"/>
    </row>
    <row r="153" spans="1:4">
      <c r="A153" s="316">
        <v>151</v>
      </c>
      <c r="B153" s="317"/>
      <c r="C153" s="318">
        <v>151</v>
      </c>
      <c r="D153" s="319"/>
    </row>
    <row r="154" spans="1:4">
      <c r="A154" s="316">
        <v>152</v>
      </c>
      <c r="B154" s="317"/>
      <c r="C154" s="318">
        <v>152</v>
      </c>
      <c r="D154" s="319"/>
    </row>
    <row r="155" spans="1:4">
      <c r="A155" s="316">
        <v>153</v>
      </c>
      <c r="B155" s="317"/>
      <c r="C155" s="318">
        <v>153</v>
      </c>
      <c r="D155" s="319"/>
    </row>
    <row r="156" spans="1:4">
      <c r="A156" s="316">
        <v>154</v>
      </c>
      <c r="B156" s="317"/>
      <c r="C156" s="318">
        <v>154</v>
      </c>
      <c r="D156" s="319"/>
    </row>
    <row r="157" spans="1:4">
      <c r="A157" s="316">
        <v>155</v>
      </c>
      <c r="B157" s="317"/>
      <c r="C157" s="318">
        <v>155</v>
      </c>
      <c r="D157" s="319"/>
    </row>
    <row r="158" spans="1:4">
      <c r="A158" s="316">
        <v>156</v>
      </c>
      <c r="B158" s="317"/>
      <c r="C158" s="318">
        <v>156</v>
      </c>
      <c r="D158" s="319"/>
    </row>
    <row r="159" spans="1:4">
      <c r="A159" s="316">
        <v>157</v>
      </c>
      <c r="B159" s="317"/>
      <c r="C159" s="318">
        <v>157</v>
      </c>
      <c r="D159" s="319"/>
    </row>
    <row r="160" spans="1:4">
      <c r="A160" s="316">
        <v>158</v>
      </c>
      <c r="B160" s="317"/>
      <c r="C160" s="318">
        <v>158</v>
      </c>
      <c r="D160" s="319"/>
    </row>
    <row r="161" spans="1:4">
      <c r="A161" s="316">
        <v>159</v>
      </c>
      <c r="B161" s="317"/>
      <c r="C161" s="318">
        <v>159</v>
      </c>
      <c r="D161" s="319"/>
    </row>
    <row r="162" spans="1:4">
      <c r="A162" s="316">
        <v>160</v>
      </c>
      <c r="B162" s="317"/>
      <c r="C162" s="318">
        <v>160</v>
      </c>
      <c r="D162" s="319"/>
    </row>
    <row r="163" spans="1:4">
      <c r="A163" s="316">
        <v>161</v>
      </c>
      <c r="B163" s="317"/>
      <c r="C163" s="318">
        <v>161</v>
      </c>
      <c r="D163" s="319"/>
    </row>
    <row r="164" spans="1:4">
      <c r="A164" s="316">
        <v>162</v>
      </c>
      <c r="B164" s="317"/>
      <c r="C164" s="318">
        <v>162</v>
      </c>
      <c r="D164" s="319"/>
    </row>
    <row r="165" spans="1:4">
      <c r="A165" s="316">
        <v>163</v>
      </c>
      <c r="B165" s="317"/>
      <c r="C165" s="318">
        <v>163</v>
      </c>
      <c r="D165" s="319"/>
    </row>
    <row r="166" spans="1:4">
      <c r="A166" s="316">
        <v>164</v>
      </c>
      <c r="B166" s="317"/>
      <c r="C166" s="318">
        <v>164</v>
      </c>
      <c r="D166" s="319"/>
    </row>
    <row r="167" spans="1:4">
      <c r="A167" s="316">
        <v>165</v>
      </c>
      <c r="B167" s="317"/>
      <c r="C167" s="318">
        <v>165</v>
      </c>
      <c r="D167" s="319"/>
    </row>
    <row r="168" spans="1:4">
      <c r="A168" s="316">
        <v>166</v>
      </c>
      <c r="B168" s="317"/>
      <c r="C168" s="318">
        <v>166</v>
      </c>
      <c r="D168" s="319"/>
    </row>
    <row r="169" spans="1:4">
      <c r="A169" s="316">
        <v>167</v>
      </c>
      <c r="B169" s="317"/>
      <c r="C169" s="318">
        <v>167</v>
      </c>
      <c r="D169" s="319"/>
    </row>
    <row r="170" spans="1:4">
      <c r="A170" s="316">
        <v>168</v>
      </c>
      <c r="B170" s="317"/>
      <c r="C170" s="318">
        <v>168</v>
      </c>
      <c r="D170" s="319"/>
    </row>
    <row r="171" spans="1:4">
      <c r="A171" s="316">
        <v>169</v>
      </c>
      <c r="B171" s="317"/>
      <c r="C171" s="318">
        <v>169</v>
      </c>
      <c r="D171" s="319"/>
    </row>
    <row r="172" spans="1:4">
      <c r="A172" s="316">
        <v>170</v>
      </c>
      <c r="B172" s="317"/>
      <c r="C172" s="318">
        <v>170</v>
      </c>
      <c r="D172" s="319"/>
    </row>
    <row r="173" spans="1:4">
      <c r="A173" s="316">
        <v>171</v>
      </c>
      <c r="B173" s="317"/>
      <c r="C173" s="318">
        <v>171</v>
      </c>
      <c r="D173" s="319"/>
    </row>
    <row r="174" spans="1:4">
      <c r="A174" s="316">
        <v>172</v>
      </c>
      <c r="B174" s="317"/>
      <c r="C174" s="318">
        <v>172</v>
      </c>
      <c r="D174" s="319"/>
    </row>
    <row r="175" spans="1:4">
      <c r="A175" s="316">
        <v>173</v>
      </c>
      <c r="B175" s="317"/>
      <c r="C175" s="318">
        <v>173</v>
      </c>
      <c r="D175" s="319"/>
    </row>
    <row r="176" spans="1:4">
      <c r="A176" s="316">
        <v>174</v>
      </c>
      <c r="B176" s="317"/>
      <c r="C176" s="318">
        <v>174</v>
      </c>
      <c r="D176" s="319"/>
    </row>
    <row r="177" spans="1:4">
      <c r="A177" s="316">
        <v>175</v>
      </c>
      <c r="B177" s="317"/>
      <c r="C177" s="318">
        <v>175</v>
      </c>
      <c r="D177" s="319"/>
    </row>
    <row r="178" spans="1:4">
      <c r="A178" s="316">
        <v>176</v>
      </c>
      <c r="B178" s="317"/>
      <c r="C178" s="318">
        <v>176</v>
      </c>
      <c r="D178" s="319"/>
    </row>
    <row r="179" spans="1:4">
      <c r="A179" s="316">
        <v>177</v>
      </c>
      <c r="B179" s="317"/>
      <c r="C179" s="318">
        <v>177</v>
      </c>
      <c r="D179" s="319"/>
    </row>
    <row r="180" spans="1:4">
      <c r="A180" s="316">
        <v>178</v>
      </c>
      <c r="B180" s="317"/>
      <c r="C180" s="318">
        <v>178</v>
      </c>
      <c r="D180" s="319"/>
    </row>
    <row r="181" spans="1:4">
      <c r="A181" s="316">
        <v>179</v>
      </c>
      <c r="B181" s="317"/>
      <c r="C181" s="318">
        <v>179</v>
      </c>
      <c r="D181" s="319"/>
    </row>
    <row r="182" spans="1:4">
      <c r="A182" s="316">
        <v>180</v>
      </c>
      <c r="B182" s="317"/>
      <c r="C182" s="318">
        <v>180</v>
      </c>
      <c r="D182" s="319"/>
    </row>
    <row r="183" spans="1:4">
      <c r="A183" s="316">
        <v>181</v>
      </c>
      <c r="B183" s="317"/>
      <c r="C183" s="318">
        <v>181</v>
      </c>
      <c r="D183" s="319"/>
    </row>
    <row r="184" spans="1:4">
      <c r="A184" s="316">
        <v>182</v>
      </c>
      <c r="B184" s="317"/>
      <c r="C184" s="318">
        <v>182</v>
      </c>
      <c r="D184" s="319"/>
    </row>
    <row r="185" spans="1:4">
      <c r="A185" s="316">
        <v>183</v>
      </c>
      <c r="B185" s="317"/>
      <c r="C185" s="318">
        <v>183</v>
      </c>
      <c r="D185" s="319"/>
    </row>
    <row r="186" spans="1:4">
      <c r="A186" s="316">
        <v>184</v>
      </c>
      <c r="B186" s="317"/>
      <c r="C186" s="318">
        <v>184</v>
      </c>
      <c r="D186" s="319"/>
    </row>
    <row r="187" spans="1:4">
      <c r="A187" s="316">
        <v>185</v>
      </c>
      <c r="B187" s="317"/>
      <c r="C187" s="318">
        <v>185</v>
      </c>
      <c r="D187" s="319"/>
    </row>
    <row r="188" spans="1:4">
      <c r="A188" s="316">
        <v>186</v>
      </c>
      <c r="B188" s="317"/>
      <c r="C188" s="318">
        <v>186</v>
      </c>
      <c r="D188" s="319"/>
    </row>
    <row r="189" spans="1:4">
      <c r="A189" s="316">
        <v>187</v>
      </c>
      <c r="B189" s="317"/>
      <c r="C189" s="318">
        <v>187</v>
      </c>
      <c r="D189" s="319"/>
    </row>
    <row r="190" spans="1:4">
      <c r="A190" s="316">
        <v>188</v>
      </c>
      <c r="B190" s="317"/>
      <c r="C190" s="318">
        <v>188</v>
      </c>
      <c r="D190" s="319"/>
    </row>
    <row r="191" spans="1:4">
      <c r="A191" s="316">
        <v>189</v>
      </c>
      <c r="B191" s="317"/>
      <c r="C191" s="318">
        <v>189</v>
      </c>
      <c r="D191" s="319"/>
    </row>
    <row r="192" spans="1:4">
      <c r="A192" s="316">
        <v>190</v>
      </c>
      <c r="B192" s="317"/>
      <c r="C192" s="318">
        <v>190</v>
      </c>
      <c r="D192" s="319"/>
    </row>
    <row r="193" spans="1:4">
      <c r="A193" s="316">
        <v>191</v>
      </c>
      <c r="B193" s="317"/>
      <c r="C193" s="318">
        <v>191</v>
      </c>
      <c r="D193" s="319"/>
    </row>
    <row r="194" spans="1:4">
      <c r="A194" s="316">
        <v>192</v>
      </c>
      <c r="B194" s="317"/>
      <c r="C194" s="318">
        <v>192</v>
      </c>
      <c r="D194" s="319"/>
    </row>
    <row r="195" spans="1:4">
      <c r="A195" s="316">
        <v>193</v>
      </c>
      <c r="B195" s="317"/>
      <c r="C195" s="318">
        <v>193</v>
      </c>
      <c r="D195" s="319"/>
    </row>
    <row r="196" spans="1:4">
      <c r="A196" s="316">
        <v>194</v>
      </c>
      <c r="B196" s="317"/>
      <c r="C196" s="318">
        <v>194</v>
      </c>
      <c r="D196" s="319"/>
    </row>
    <row r="197" spans="1:4">
      <c r="A197" s="316">
        <v>195</v>
      </c>
      <c r="B197" s="317"/>
      <c r="C197" s="318">
        <v>195</v>
      </c>
      <c r="D197" s="319"/>
    </row>
    <row r="198" spans="1:4">
      <c r="A198" s="316">
        <v>196</v>
      </c>
      <c r="B198" s="317"/>
      <c r="C198" s="318">
        <v>196</v>
      </c>
      <c r="D198" s="319"/>
    </row>
    <row r="199" spans="1:4">
      <c r="A199" s="316">
        <v>197</v>
      </c>
      <c r="B199" s="317"/>
      <c r="C199" s="318">
        <v>197</v>
      </c>
      <c r="D199" s="319"/>
    </row>
    <row r="200" spans="1:4">
      <c r="A200" s="316">
        <v>198</v>
      </c>
      <c r="B200" s="317"/>
      <c r="C200" s="318">
        <v>198</v>
      </c>
      <c r="D200" s="319"/>
    </row>
    <row r="201" spans="1:4">
      <c r="A201" s="316">
        <v>199</v>
      </c>
      <c r="B201" s="317"/>
      <c r="C201" s="318">
        <v>199</v>
      </c>
      <c r="D201" s="319"/>
    </row>
    <row r="202" spans="1:4">
      <c r="A202" s="316">
        <v>200</v>
      </c>
      <c r="B202" s="317"/>
      <c r="C202" s="318">
        <v>200</v>
      </c>
      <c r="D202" s="319"/>
    </row>
    <row r="203" spans="1:4">
      <c r="A203" s="316">
        <v>201</v>
      </c>
      <c r="B203" s="317"/>
      <c r="C203" s="318">
        <v>201</v>
      </c>
      <c r="D203" s="319"/>
    </row>
    <row r="204" spans="1:4">
      <c r="A204" s="316">
        <v>202</v>
      </c>
      <c r="B204" s="317"/>
      <c r="C204" s="318">
        <v>202</v>
      </c>
      <c r="D204" s="319"/>
    </row>
    <row r="205" spans="1:4">
      <c r="A205" s="316">
        <v>203</v>
      </c>
      <c r="B205" s="317"/>
      <c r="C205" s="318">
        <v>203</v>
      </c>
      <c r="D205" s="319"/>
    </row>
    <row r="206" spans="1:4">
      <c r="A206" s="316">
        <v>204</v>
      </c>
      <c r="B206" s="317"/>
      <c r="C206" s="318">
        <v>204</v>
      </c>
      <c r="D206" s="319"/>
    </row>
    <row r="207" spans="1:4">
      <c r="A207" s="316">
        <v>205</v>
      </c>
      <c r="B207" s="317"/>
      <c r="C207" s="318">
        <v>205</v>
      </c>
      <c r="D207" s="319"/>
    </row>
    <row r="208" spans="1:4">
      <c r="A208" s="316">
        <v>206</v>
      </c>
      <c r="B208" s="317"/>
      <c r="C208" s="318">
        <v>206</v>
      </c>
      <c r="D208" s="319"/>
    </row>
    <row r="209" spans="1:4">
      <c r="A209" s="316">
        <v>207</v>
      </c>
      <c r="B209" s="317"/>
      <c r="C209" s="318">
        <v>207</v>
      </c>
      <c r="D209" s="319"/>
    </row>
    <row r="210" spans="1:4">
      <c r="A210" s="316">
        <v>208</v>
      </c>
      <c r="B210" s="317"/>
      <c r="C210" s="318">
        <v>208</v>
      </c>
      <c r="D210" s="319"/>
    </row>
    <row r="211" spans="1:4">
      <c r="A211" s="316">
        <v>209</v>
      </c>
      <c r="B211" s="317"/>
      <c r="C211" s="318">
        <v>209</v>
      </c>
      <c r="D211" s="319"/>
    </row>
    <row r="212" spans="1:4">
      <c r="A212" s="316">
        <v>210</v>
      </c>
      <c r="B212" s="317"/>
      <c r="C212" s="318">
        <v>210</v>
      </c>
      <c r="D212" s="319"/>
    </row>
    <row r="213" spans="1:4">
      <c r="A213" s="316">
        <v>211</v>
      </c>
      <c r="B213" s="317"/>
      <c r="C213" s="318">
        <v>211</v>
      </c>
      <c r="D213" s="319"/>
    </row>
    <row r="214" spans="1:4">
      <c r="A214" s="316">
        <v>212</v>
      </c>
      <c r="B214" s="317"/>
      <c r="C214" s="318">
        <v>212</v>
      </c>
      <c r="D214" s="319"/>
    </row>
    <row r="215" spans="1:4">
      <c r="A215" s="316">
        <v>213</v>
      </c>
      <c r="B215" s="317"/>
      <c r="C215" s="318">
        <v>213</v>
      </c>
      <c r="D215" s="319"/>
    </row>
    <row r="216" spans="1:4">
      <c r="A216" s="316">
        <v>214</v>
      </c>
      <c r="B216" s="317"/>
      <c r="C216" s="318">
        <v>214</v>
      </c>
      <c r="D216" s="319"/>
    </row>
    <row r="217" spans="1:4">
      <c r="A217" s="316">
        <v>215</v>
      </c>
      <c r="B217" s="317"/>
      <c r="C217" s="318">
        <v>215</v>
      </c>
      <c r="D217" s="319"/>
    </row>
    <row r="218" spans="1:4">
      <c r="A218" s="316">
        <v>216</v>
      </c>
      <c r="B218" s="317"/>
      <c r="C218" s="318">
        <v>216</v>
      </c>
      <c r="D218" s="319"/>
    </row>
    <row r="219" spans="1:4">
      <c r="A219" s="316">
        <v>217</v>
      </c>
      <c r="B219" s="317"/>
      <c r="C219" s="318">
        <v>217</v>
      </c>
      <c r="D219" s="319"/>
    </row>
    <row r="220" spans="1:4">
      <c r="A220" s="316">
        <v>218</v>
      </c>
      <c r="B220" s="317"/>
      <c r="C220" s="318">
        <v>218</v>
      </c>
      <c r="D220" s="319"/>
    </row>
    <row r="221" spans="1:4">
      <c r="A221" s="316">
        <v>219</v>
      </c>
      <c r="B221" s="317"/>
      <c r="C221" s="318">
        <v>219</v>
      </c>
      <c r="D221" s="319"/>
    </row>
    <row r="222" spans="1:4">
      <c r="A222" s="316">
        <v>220</v>
      </c>
      <c r="B222" s="317"/>
      <c r="C222" s="318">
        <v>220</v>
      </c>
      <c r="D222" s="319"/>
    </row>
    <row r="223" spans="1:4">
      <c r="A223" s="316">
        <v>221</v>
      </c>
      <c r="B223" s="317"/>
      <c r="C223" s="318">
        <v>221</v>
      </c>
      <c r="D223" s="319"/>
    </row>
    <row r="224" spans="1:4">
      <c r="A224" s="316">
        <v>222</v>
      </c>
      <c r="B224" s="317"/>
      <c r="C224" s="318">
        <v>222</v>
      </c>
      <c r="D224" s="319"/>
    </row>
    <row r="225" spans="1:4">
      <c r="A225" s="316">
        <v>223</v>
      </c>
      <c r="B225" s="317"/>
      <c r="C225" s="318">
        <v>223</v>
      </c>
      <c r="D225" s="319"/>
    </row>
    <row r="226" spans="1:4">
      <c r="A226" s="316">
        <v>224</v>
      </c>
      <c r="B226" s="317"/>
      <c r="C226" s="318">
        <v>224</v>
      </c>
      <c r="D226" s="319"/>
    </row>
    <row r="227" spans="1:4">
      <c r="A227" s="316">
        <v>225</v>
      </c>
      <c r="B227" s="317"/>
      <c r="C227" s="318">
        <v>225</v>
      </c>
      <c r="D227" s="319"/>
    </row>
    <row r="228" spans="1:4">
      <c r="A228" s="316">
        <v>226</v>
      </c>
      <c r="B228" s="317"/>
      <c r="C228" s="318">
        <v>226</v>
      </c>
      <c r="D228" s="319"/>
    </row>
    <row r="229" spans="1:4">
      <c r="A229" s="316">
        <v>227</v>
      </c>
      <c r="B229" s="317"/>
      <c r="C229" s="318">
        <v>227</v>
      </c>
      <c r="D229" s="319"/>
    </row>
    <row r="230" spans="1:4">
      <c r="A230" s="316">
        <v>228</v>
      </c>
      <c r="B230" s="317"/>
      <c r="C230" s="318">
        <v>228</v>
      </c>
      <c r="D230" s="319"/>
    </row>
    <row r="231" spans="1:4">
      <c r="A231" s="316">
        <v>229</v>
      </c>
      <c r="B231" s="317"/>
      <c r="C231" s="318">
        <v>229</v>
      </c>
      <c r="D231" s="319"/>
    </row>
    <row r="232" spans="1:4">
      <c r="A232" s="316">
        <v>230</v>
      </c>
      <c r="B232" s="317"/>
      <c r="C232" s="318">
        <v>230</v>
      </c>
      <c r="D232" s="319"/>
    </row>
    <row r="233" spans="1:4">
      <c r="A233" s="316">
        <v>231</v>
      </c>
      <c r="B233" s="317"/>
      <c r="C233" s="318">
        <v>231</v>
      </c>
      <c r="D233" s="319"/>
    </row>
    <row r="234" spans="1:4">
      <c r="A234" s="316">
        <v>232</v>
      </c>
      <c r="B234" s="317"/>
      <c r="C234" s="318">
        <v>232</v>
      </c>
      <c r="D234" s="319"/>
    </row>
    <row r="235" spans="1:4">
      <c r="A235" s="316">
        <v>233</v>
      </c>
      <c r="B235" s="317"/>
      <c r="C235" s="318">
        <v>233</v>
      </c>
      <c r="D235" s="319"/>
    </row>
    <row r="236" spans="1:4">
      <c r="A236" s="316">
        <v>234</v>
      </c>
      <c r="B236" s="317"/>
      <c r="C236" s="318">
        <v>234</v>
      </c>
      <c r="D236" s="319"/>
    </row>
    <row r="237" spans="1:4">
      <c r="A237" s="316">
        <v>235</v>
      </c>
      <c r="B237" s="317"/>
      <c r="C237" s="318">
        <v>235</v>
      </c>
      <c r="D237" s="319"/>
    </row>
    <row r="238" spans="1:4">
      <c r="A238" s="316">
        <v>236</v>
      </c>
      <c r="B238" s="317"/>
      <c r="C238" s="318">
        <v>236</v>
      </c>
      <c r="D238" s="319"/>
    </row>
    <row r="239" spans="1:4">
      <c r="A239" s="316">
        <v>237</v>
      </c>
      <c r="B239" s="317"/>
      <c r="C239" s="318">
        <v>237</v>
      </c>
      <c r="D239" s="319"/>
    </row>
    <row r="240" spans="1:4">
      <c r="A240" s="316">
        <v>238</v>
      </c>
      <c r="B240" s="317"/>
      <c r="C240" s="318">
        <v>238</v>
      </c>
      <c r="D240" s="319"/>
    </row>
    <row r="241" spans="1:4">
      <c r="A241" s="316">
        <v>239</v>
      </c>
      <c r="B241" s="317"/>
      <c r="C241" s="318">
        <v>239</v>
      </c>
      <c r="D241" s="319"/>
    </row>
    <row r="242" spans="1:4">
      <c r="A242" s="316">
        <v>240</v>
      </c>
      <c r="B242" s="317"/>
      <c r="C242" s="318">
        <v>240</v>
      </c>
      <c r="D242" s="319"/>
    </row>
    <row r="243" spans="1:4">
      <c r="A243" s="316">
        <v>241</v>
      </c>
      <c r="B243" s="317"/>
      <c r="C243" s="318">
        <v>241</v>
      </c>
      <c r="D243" s="319"/>
    </row>
    <row r="244" spans="1:4">
      <c r="A244" s="316">
        <v>242</v>
      </c>
      <c r="B244" s="317"/>
      <c r="C244" s="318">
        <v>242</v>
      </c>
      <c r="D244" s="319"/>
    </row>
    <row r="245" spans="1:4">
      <c r="A245" s="316">
        <v>243</v>
      </c>
      <c r="B245" s="317"/>
      <c r="C245" s="318">
        <v>243</v>
      </c>
      <c r="D245" s="319"/>
    </row>
    <row r="246" spans="1:4">
      <c r="A246" s="316">
        <v>244</v>
      </c>
      <c r="B246" s="317"/>
      <c r="C246" s="318">
        <v>244</v>
      </c>
      <c r="D246" s="319"/>
    </row>
    <row r="247" spans="1:4">
      <c r="A247" s="316">
        <v>245</v>
      </c>
      <c r="B247" s="317"/>
      <c r="C247" s="318">
        <v>245</v>
      </c>
      <c r="D247" s="319"/>
    </row>
    <row r="248" spans="1:4">
      <c r="A248" s="316">
        <v>246</v>
      </c>
      <c r="B248" s="317"/>
      <c r="C248" s="318">
        <v>246</v>
      </c>
      <c r="D248" s="319"/>
    </row>
    <row r="249" spans="1:4">
      <c r="A249" s="316">
        <v>247</v>
      </c>
      <c r="B249" s="317"/>
      <c r="C249" s="318">
        <v>247</v>
      </c>
      <c r="D249" s="319"/>
    </row>
    <row r="250" spans="1:4">
      <c r="A250" s="316">
        <v>248</v>
      </c>
      <c r="B250" s="317"/>
      <c r="C250" s="318">
        <v>248</v>
      </c>
      <c r="D250" s="319"/>
    </row>
    <row r="251" spans="1:4">
      <c r="A251" s="316">
        <v>249</v>
      </c>
      <c r="B251" s="317"/>
      <c r="C251" s="318">
        <v>249</v>
      </c>
      <c r="D251" s="319"/>
    </row>
    <row r="252" spans="1:4">
      <c r="A252" s="316">
        <v>250</v>
      </c>
      <c r="B252" s="317"/>
      <c r="C252" s="318">
        <v>250</v>
      </c>
      <c r="D252" s="319"/>
    </row>
    <row r="253" spans="1:4">
      <c r="A253" s="316">
        <v>251</v>
      </c>
      <c r="B253" s="317"/>
      <c r="C253" s="318">
        <v>251</v>
      </c>
      <c r="D253" s="319"/>
    </row>
    <row r="254" spans="1:4">
      <c r="A254" s="316">
        <v>252</v>
      </c>
      <c r="B254" s="317"/>
      <c r="C254" s="318">
        <v>252</v>
      </c>
      <c r="D254" s="319"/>
    </row>
    <row r="255" spans="1:4">
      <c r="A255" s="316">
        <v>253</v>
      </c>
      <c r="B255" s="317"/>
      <c r="C255" s="318">
        <v>253</v>
      </c>
      <c r="D255" s="319"/>
    </row>
    <row r="256" spans="1:4">
      <c r="A256" s="316">
        <v>254</v>
      </c>
      <c r="B256" s="317"/>
      <c r="C256" s="318">
        <v>254</v>
      </c>
      <c r="D256" s="319"/>
    </row>
    <row r="257" spans="1:4">
      <c r="A257" s="316">
        <v>255</v>
      </c>
      <c r="B257" s="317"/>
      <c r="C257" s="318">
        <v>255</v>
      </c>
      <c r="D257" s="319"/>
    </row>
    <row r="258" spans="1:4">
      <c r="A258" s="316">
        <v>256</v>
      </c>
      <c r="B258" s="317"/>
      <c r="C258" s="318">
        <v>256</v>
      </c>
      <c r="D258" s="319"/>
    </row>
    <row r="259" spans="1:4">
      <c r="A259" s="316">
        <v>257</v>
      </c>
      <c r="B259" s="317"/>
      <c r="C259" s="318">
        <v>257</v>
      </c>
      <c r="D259" s="319"/>
    </row>
    <row r="260" spans="1:4">
      <c r="A260" s="316">
        <v>258</v>
      </c>
      <c r="B260" s="317"/>
      <c r="C260" s="318">
        <v>258</v>
      </c>
      <c r="D260" s="319"/>
    </row>
    <row r="261" spans="1:4">
      <c r="A261" s="316">
        <v>259</v>
      </c>
      <c r="B261" s="317"/>
      <c r="C261" s="318">
        <v>259</v>
      </c>
      <c r="D261" s="319"/>
    </row>
    <row r="262" spans="1:4">
      <c r="A262" s="316">
        <v>260</v>
      </c>
      <c r="B262" s="317"/>
      <c r="C262" s="318">
        <v>260</v>
      </c>
      <c r="D262" s="319"/>
    </row>
    <row r="263" spans="1:4">
      <c r="A263" s="316">
        <v>261</v>
      </c>
      <c r="B263" s="317"/>
      <c r="C263" s="318">
        <v>261</v>
      </c>
      <c r="D263" s="319"/>
    </row>
    <row r="264" spans="1:4">
      <c r="A264" s="316">
        <v>262</v>
      </c>
      <c r="B264" s="317"/>
      <c r="C264" s="318">
        <v>262</v>
      </c>
      <c r="D264" s="319"/>
    </row>
    <row r="265" spans="1:4">
      <c r="A265" s="316">
        <v>263</v>
      </c>
      <c r="B265" s="317"/>
      <c r="C265" s="318">
        <v>263</v>
      </c>
      <c r="D265" s="319"/>
    </row>
    <row r="266" spans="1:4">
      <c r="A266" s="316">
        <v>264</v>
      </c>
      <c r="B266" s="317"/>
      <c r="C266" s="318">
        <v>264</v>
      </c>
      <c r="D266" s="319"/>
    </row>
    <row r="267" spans="1:4">
      <c r="A267" s="316">
        <v>265</v>
      </c>
      <c r="B267" s="317"/>
      <c r="C267" s="318">
        <v>265</v>
      </c>
      <c r="D267" s="319"/>
    </row>
    <row r="268" spans="1:4">
      <c r="A268" s="316">
        <v>266</v>
      </c>
      <c r="B268" s="317"/>
      <c r="C268" s="318">
        <v>266</v>
      </c>
      <c r="D268" s="319"/>
    </row>
    <row r="269" spans="1:4">
      <c r="A269" s="316">
        <v>267</v>
      </c>
      <c r="B269" s="317"/>
      <c r="C269" s="318">
        <v>267</v>
      </c>
      <c r="D269" s="319"/>
    </row>
    <row r="270" spans="1:4">
      <c r="A270" s="316">
        <v>268</v>
      </c>
      <c r="B270" s="317"/>
      <c r="C270" s="318">
        <v>268</v>
      </c>
      <c r="D270" s="319"/>
    </row>
    <row r="271" spans="1:4">
      <c r="A271" s="316">
        <v>269</v>
      </c>
      <c r="B271" s="317"/>
      <c r="C271" s="318">
        <v>269</v>
      </c>
      <c r="D271" s="319"/>
    </row>
    <row r="272" spans="1:4">
      <c r="A272" s="316">
        <v>270</v>
      </c>
      <c r="B272" s="317"/>
      <c r="C272" s="318">
        <v>270</v>
      </c>
      <c r="D272" s="319"/>
    </row>
    <row r="273" spans="1:4">
      <c r="A273" s="316">
        <v>271</v>
      </c>
      <c r="B273" s="317"/>
      <c r="C273" s="318">
        <v>271</v>
      </c>
      <c r="D273" s="319"/>
    </row>
    <row r="274" spans="1:4">
      <c r="A274" s="316">
        <v>272</v>
      </c>
      <c r="B274" s="317"/>
      <c r="C274" s="318">
        <v>272</v>
      </c>
      <c r="D274" s="319"/>
    </row>
    <row r="275" spans="1:4">
      <c r="A275" s="316">
        <v>273</v>
      </c>
      <c r="B275" s="317"/>
      <c r="C275" s="318">
        <v>273</v>
      </c>
      <c r="D275" s="319"/>
    </row>
    <row r="276" spans="1:4">
      <c r="A276" s="316">
        <v>274</v>
      </c>
      <c r="B276" s="317"/>
      <c r="C276" s="318">
        <v>274</v>
      </c>
      <c r="D276" s="319"/>
    </row>
    <row r="277" spans="1:4">
      <c r="A277" s="316">
        <v>275</v>
      </c>
      <c r="B277" s="317"/>
      <c r="C277" s="318">
        <v>275</v>
      </c>
      <c r="D277" s="319"/>
    </row>
    <row r="278" spans="1:4">
      <c r="A278" s="316">
        <v>276</v>
      </c>
      <c r="B278" s="317"/>
      <c r="C278" s="318">
        <v>276</v>
      </c>
      <c r="D278" s="319"/>
    </row>
    <row r="279" spans="1:4">
      <c r="A279" s="316">
        <v>277</v>
      </c>
      <c r="B279" s="317"/>
      <c r="C279" s="318">
        <v>277</v>
      </c>
      <c r="D279" s="319"/>
    </row>
    <row r="280" spans="1:4">
      <c r="A280" s="316">
        <v>278</v>
      </c>
      <c r="B280" s="317"/>
      <c r="C280" s="318">
        <v>278</v>
      </c>
      <c r="D280" s="319"/>
    </row>
    <row r="281" spans="1:4">
      <c r="A281" s="316">
        <v>279</v>
      </c>
      <c r="B281" s="317"/>
      <c r="C281" s="318">
        <v>279</v>
      </c>
      <c r="D281" s="319"/>
    </row>
    <row r="282" spans="1:4">
      <c r="A282" s="316">
        <v>280</v>
      </c>
      <c r="B282" s="317"/>
      <c r="C282" s="318">
        <v>280</v>
      </c>
      <c r="D282" s="319"/>
    </row>
    <row r="283" spans="1:4">
      <c r="A283" s="316">
        <v>281</v>
      </c>
      <c r="B283" s="317"/>
      <c r="C283" s="318">
        <v>281</v>
      </c>
      <c r="D283" s="319"/>
    </row>
    <row r="284" spans="1:4">
      <c r="A284" s="316">
        <v>282</v>
      </c>
      <c r="B284" s="317"/>
      <c r="C284" s="318">
        <v>282</v>
      </c>
      <c r="D284" s="319"/>
    </row>
    <row r="285" spans="1:4">
      <c r="A285" s="316">
        <v>283</v>
      </c>
      <c r="B285" s="317"/>
      <c r="C285" s="318">
        <v>283</v>
      </c>
      <c r="D285" s="319"/>
    </row>
    <row r="286" spans="1:4">
      <c r="A286" s="316">
        <v>284</v>
      </c>
      <c r="B286" s="317"/>
      <c r="C286" s="318">
        <v>284</v>
      </c>
      <c r="D286" s="319"/>
    </row>
    <row r="287" spans="1:4">
      <c r="A287" s="316">
        <v>285</v>
      </c>
      <c r="B287" s="317"/>
      <c r="C287" s="318">
        <v>285</v>
      </c>
      <c r="D287" s="319"/>
    </row>
    <row r="288" spans="1:4">
      <c r="A288" s="316">
        <v>286</v>
      </c>
      <c r="B288" s="317"/>
      <c r="C288" s="318">
        <v>286</v>
      </c>
      <c r="D288" s="319"/>
    </row>
    <row r="289" spans="1:4">
      <c r="A289" s="316">
        <v>287</v>
      </c>
      <c r="B289" s="317"/>
      <c r="C289" s="318">
        <v>287</v>
      </c>
      <c r="D289" s="319"/>
    </row>
    <row r="290" spans="1:4">
      <c r="A290" s="316">
        <v>288</v>
      </c>
      <c r="B290" s="317"/>
      <c r="C290" s="318">
        <v>288</v>
      </c>
      <c r="D290" s="319"/>
    </row>
    <row r="291" spans="1:4">
      <c r="A291" s="316">
        <v>289</v>
      </c>
      <c r="B291" s="317"/>
      <c r="C291" s="318">
        <v>289</v>
      </c>
      <c r="D291" s="319"/>
    </row>
    <row r="292" spans="1:4">
      <c r="A292" s="316">
        <v>290</v>
      </c>
      <c r="B292" s="317"/>
      <c r="C292" s="318">
        <v>290</v>
      </c>
      <c r="D292" s="319"/>
    </row>
    <row r="293" spans="1:4">
      <c r="A293" s="316">
        <v>291</v>
      </c>
      <c r="B293" s="317"/>
      <c r="C293" s="318">
        <v>291</v>
      </c>
      <c r="D293" s="319"/>
    </row>
    <row r="294" spans="1:4">
      <c r="A294" s="316">
        <v>292</v>
      </c>
      <c r="B294" s="317"/>
      <c r="C294" s="318">
        <v>292</v>
      </c>
      <c r="D294" s="319"/>
    </row>
    <row r="295" spans="1:4">
      <c r="A295" s="316">
        <v>293</v>
      </c>
      <c r="B295" s="317"/>
      <c r="C295" s="318">
        <v>293</v>
      </c>
      <c r="D295" s="319"/>
    </row>
    <row r="296" spans="1:4">
      <c r="A296" s="316">
        <v>294</v>
      </c>
      <c r="B296" s="317"/>
      <c r="C296" s="318">
        <v>294</v>
      </c>
      <c r="D296" s="319"/>
    </row>
    <row r="297" spans="1:4">
      <c r="A297" s="316">
        <v>295</v>
      </c>
      <c r="B297" s="317"/>
      <c r="C297" s="318">
        <v>295</v>
      </c>
      <c r="D297" s="319"/>
    </row>
    <row r="298" spans="1:4">
      <c r="A298" s="316">
        <v>296</v>
      </c>
      <c r="B298" s="317"/>
      <c r="C298" s="318">
        <v>296</v>
      </c>
      <c r="D298" s="319"/>
    </row>
    <row r="299" spans="1:4">
      <c r="A299" s="316">
        <v>297</v>
      </c>
      <c r="B299" s="317"/>
      <c r="C299" s="318">
        <v>297</v>
      </c>
      <c r="D299" s="319"/>
    </row>
    <row r="300" spans="1:4">
      <c r="A300" s="316">
        <v>298</v>
      </c>
      <c r="B300" s="317"/>
      <c r="C300" s="318">
        <v>298</v>
      </c>
      <c r="D300" s="319"/>
    </row>
    <row r="301" spans="1:4">
      <c r="A301" s="316">
        <v>299</v>
      </c>
      <c r="B301" s="317"/>
      <c r="C301" s="318">
        <v>299</v>
      </c>
      <c r="D301" s="319"/>
    </row>
    <row r="302" spans="1:4">
      <c r="A302" s="316">
        <v>300</v>
      </c>
      <c r="B302" s="317"/>
      <c r="C302" s="318">
        <v>300</v>
      </c>
      <c r="D302" s="319"/>
    </row>
  </sheetData>
  <mergeCells count="1">
    <mergeCell ref="A1:D1"/>
  </mergeCells>
  <printOptions horizontalCentered="1"/>
  <pageMargins left="0.19685039370078741" right="0.19685039370078741" top="0.19685039370078741" bottom="0.19685039370078741" header="0.31496062992125984" footer="0.31496062992125984"/>
  <pageSetup paperSize="9" scale="18"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rgb="FF7030A0"/>
    <pageSetUpPr fitToPage="1"/>
  </sheetPr>
  <dimension ref="A1:EZ53"/>
  <sheetViews>
    <sheetView view="pageBreakPreview" zoomScale="85" zoomScaleNormal="85" zoomScaleSheetLayoutView="85" workbookViewId="0">
      <selection activeCell="B9" sqref="B9"/>
    </sheetView>
  </sheetViews>
  <sheetFormatPr defaultRowHeight="15"/>
  <cols>
    <col min="1" max="1" width="6" style="54" customWidth="1"/>
    <col min="2" max="2" width="17.140625" style="54" customWidth="1"/>
    <col min="3" max="3" width="13" style="54" customWidth="1"/>
    <col min="4" max="4" width="12.42578125" style="54" customWidth="1"/>
    <col min="5" max="5" width="8.140625" style="54" customWidth="1"/>
    <col min="6" max="6" width="8.85546875" style="54" customWidth="1"/>
    <col min="7" max="7" width="19.140625" style="54" customWidth="1"/>
    <col min="8" max="8" width="18" style="54" customWidth="1"/>
    <col min="9" max="9" width="9.42578125" style="54" customWidth="1"/>
    <col min="10" max="10" width="11.28515625" style="54" customWidth="1"/>
    <col min="11" max="11" width="14.140625" style="54" customWidth="1"/>
    <col min="12" max="12" width="15.7109375" style="54" customWidth="1"/>
    <col min="13" max="14" width="14" style="54" customWidth="1"/>
    <col min="15" max="15" width="17.42578125" style="54" customWidth="1"/>
    <col min="16" max="17" width="8.5703125" style="54" customWidth="1"/>
    <col min="18" max="19" width="7.42578125" style="54" customWidth="1"/>
    <col min="20" max="20" width="7.7109375" style="54" customWidth="1"/>
    <col min="21" max="23" width="9.85546875" style="54" customWidth="1"/>
    <col min="24" max="24" width="8.85546875" style="54" customWidth="1"/>
    <col min="25" max="25" width="8.7109375" style="54" customWidth="1"/>
    <col min="26" max="26" width="7.7109375" style="54" customWidth="1"/>
    <col min="27" max="27" width="8.28515625" style="54" customWidth="1"/>
    <col min="28" max="28" width="7.5703125" style="54" customWidth="1"/>
    <col min="29" max="30" width="10.28515625" style="54" customWidth="1"/>
    <col min="31" max="31" width="14.42578125" style="54" customWidth="1"/>
    <col min="32" max="32" width="37.85546875" style="54" customWidth="1"/>
    <col min="33" max="33" width="9" style="80" hidden="1" customWidth="1"/>
    <col min="34" max="46" width="9" style="54" hidden="1" customWidth="1"/>
    <col min="47" max="47" width="9.5703125" style="54" customWidth="1"/>
    <col min="48" max="48" width="11.42578125" style="65" hidden="1" customWidth="1"/>
    <col min="49" max="49" width="9.140625" style="65" hidden="1" customWidth="1"/>
    <col min="50" max="50" width="18.28515625" style="65" hidden="1" customWidth="1"/>
    <col min="51" max="51" width="19.28515625" style="65" hidden="1" customWidth="1"/>
    <col min="52" max="52" width="52" style="65" hidden="1" customWidth="1"/>
    <col min="53" max="53" width="35.5703125" style="183" hidden="1" customWidth="1"/>
    <col min="54" max="54" width="26.140625" style="65" hidden="1" customWidth="1"/>
    <col min="55" max="55" width="15.42578125" style="183" hidden="1" customWidth="1"/>
    <col min="56" max="56" width="15.42578125" style="65" hidden="1" customWidth="1"/>
    <col min="57" max="57" width="54.42578125" style="183" hidden="1" customWidth="1"/>
    <col min="58" max="58" width="15.42578125" style="65" hidden="1" customWidth="1"/>
    <col min="59" max="59" width="15.7109375" style="65" hidden="1" customWidth="1"/>
    <col min="60" max="60" width="15.5703125" style="65" hidden="1" customWidth="1"/>
    <col min="61" max="61" width="22.140625" style="183" hidden="1" customWidth="1"/>
    <col min="62" max="62" width="19.7109375" style="184" hidden="1" customWidth="1"/>
    <col min="63" max="66" width="15.140625" style="65" hidden="1" customWidth="1"/>
    <col min="67" max="67" width="18.5703125" style="65" hidden="1" customWidth="1"/>
    <col min="68" max="68" width="20.5703125" style="65" hidden="1" customWidth="1"/>
    <col min="69" max="69" width="16.42578125" style="65" hidden="1" customWidth="1"/>
    <col min="70" max="70" width="14.28515625" style="65" hidden="1" customWidth="1"/>
    <col min="71" max="71" width="15.7109375" style="65" hidden="1" customWidth="1"/>
    <col min="72" max="72" width="12.140625" style="54" hidden="1" customWidth="1"/>
    <col min="73" max="73" width="20.28515625" style="183" hidden="1" customWidth="1"/>
    <col min="74" max="74" width="21.140625" style="183" hidden="1" customWidth="1"/>
    <col min="75" max="76" width="12.140625" style="54" hidden="1" customWidth="1"/>
    <col min="77" max="77" width="12.140625" style="65" hidden="1" customWidth="1"/>
    <col min="78" max="78" width="32.42578125" style="183" hidden="1" customWidth="1"/>
    <col min="79" max="79" width="29.5703125" style="65" hidden="1" customWidth="1"/>
    <col min="80" max="80" width="26" style="65" hidden="1" customWidth="1"/>
    <col min="81" max="81" width="26.28515625" style="65" hidden="1" customWidth="1"/>
    <col min="82" max="82" width="19.42578125" style="65" hidden="1" customWidth="1"/>
    <col min="83" max="83" width="30.42578125" style="183" hidden="1" customWidth="1"/>
    <col min="84" max="84" width="33" style="183" hidden="1" customWidth="1"/>
    <col min="85" max="85" width="21.7109375" style="65" hidden="1" customWidth="1"/>
    <col min="86" max="86" width="24" style="65" hidden="1" customWidth="1"/>
    <col min="87" max="87" width="27.42578125" style="183" hidden="1" customWidth="1"/>
    <col min="88" max="88" width="21.85546875" style="183" hidden="1" customWidth="1"/>
    <col min="89" max="89" width="19.42578125" style="183" hidden="1" customWidth="1"/>
    <col min="90" max="91" width="35.85546875" style="54" hidden="1" customWidth="1"/>
    <col min="92" max="92" width="43.7109375" style="54" hidden="1" customWidth="1"/>
    <col min="93" max="93" width="28.42578125" style="343" hidden="1" customWidth="1"/>
    <col min="94" max="94" width="16.140625" style="183" hidden="1" customWidth="1"/>
    <col min="95" max="95" width="21.5703125" style="183" hidden="1" customWidth="1"/>
    <col min="96" max="96" width="20.7109375" style="183" hidden="1" customWidth="1"/>
    <col min="97" max="97" width="15.85546875" style="183" hidden="1" customWidth="1"/>
    <col min="98" max="98" width="23.5703125" style="184" hidden="1" customWidth="1"/>
    <col min="99" max="99" width="27.5703125" style="183" hidden="1" customWidth="1"/>
    <col min="100" max="100" width="27.5703125" style="65" hidden="1" customWidth="1"/>
    <col min="101" max="102" width="27.5703125" style="183" hidden="1" customWidth="1"/>
    <col min="103" max="103" width="27.85546875" style="65" hidden="1" customWidth="1"/>
    <col min="104" max="104" width="25.7109375" style="54" hidden="1" customWidth="1"/>
    <col min="105" max="105" width="32.85546875" style="65" hidden="1" customWidth="1"/>
    <col min="106" max="106" width="35.42578125" style="54" hidden="1" customWidth="1"/>
    <col min="107" max="107" width="28" style="54" hidden="1" customWidth="1"/>
    <col min="108" max="108" width="32.140625" style="54" hidden="1" customWidth="1"/>
    <col min="109" max="109" width="38" style="54" hidden="1" customWidth="1"/>
    <col min="110" max="110" width="36.85546875" style="183" hidden="1" customWidth="1"/>
    <col min="111" max="112" width="9.140625" style="54" hidden="1" customWidth="1"/>
    <col min="113" max="113" width="29.85546875" style="217" hidden="1" customWidth="1"/>
    <col min="114" max="114" width="31.85546875" style="54" hidden="1" customWidth="1"/>
    <col min="115" max="115" width="62" style="54" hidden="1" customWidth="1"/>
    <col min="116" max="116" width="37.42578125" style="184" hidden="1" customWidth="1"/>
    <col min="117" max="117" width="9.140625" style="54" hidden="1" customWidth="1"/>
    <col min="118" max="118" width="27.42578125" style="65" hidden="1" customWidth="1"/>
    <col min="119" max="119" width="22" style="65" hidden="1" customWidth="1"/>
    <col min="120" max="120" width="20.42578125" style="65" hidden="1" customWidth="1"/>
    <col min="121" max="122" width="21.7109375" style="65" hidden="1" customWidth="1"/>
    <col min="123" max="123" width="19.5703125" style="65" hidden="1" customWidth="1"/>
    <col min="124" max="124" width="29.28515625" style="65" hidden="1" customWidth="1"/>
    <col min="125" max="125" width="33.28515625" style="65" hidden="1" customWidth="1"/>
    <col min="126" max="126" width="25.140625" style="54" hidden="1" customWidth="1"/>
    <col min="127" max="129" width="19.5703125" style="183" hidden="1" customWidth="1"/>
    <col min="130" max="130" width="19.7109375" style="54" hidden="1" customWidth="1"/>
    <col min="131" max="131" width="39" style="54" hidden="1" customWidth="1"/>
    <col min="132" max="132" width="7.5703125" style="54" hidden="1" customWidth="1"/>
    <col min="133" max="133" width="17.42578125" style="54" hidden="1" customWidth="1"/>
    <col min="134" max="134" width="24.42578125" style="54" hidden="1" customWidth="1"/>
    <col min="135" max="135" width="32.42578125" style="54" hidden="1" customWidth="1"/>
    <col min="136" max="136" width="25" style="54" hidden="1" customWidth="1"/>
    <col min="137" max="138" width="19.42578125" style="54" hidden="1" customWidth="1"/>
    <col min="139" max="139" width="22.42578125" style="54" hidden="1" customWidth="1"/>
    <col min="140" max="142" width="25.5703125" style="54" hidden="1" customWidth="1"/>
    <col min="143" max="143" width="29.140625" style="54" hidden="1" customWidth="1"/>
    <col min="144" max="144" width="25.5703125" style="54" hidden="1" customWidth="1"/>
    <col min="145" max="149" width="19.42578125" style="54" hidden="1" customWidth="1"/>
    <col min="150" max="150" width="26.85546875" style="54" hidden="1" customWidth="1"/>
    <col min="151" max="151" width="19" style="54" hidden="1" customWidth="1"/>
    <col min="152" max="152" width="15.140625" style="54" hidden="1" customWidth="1"/>
    <col min="153" max="153" width="20.7109375" style="54" hidden="1" customWidth="1"/>
    <col min="154" max="154" width="40.7109375" style="54" hidden="1" customWidth="1"/>
    <col min="155" max="156" width="9.140625" style="54" hidden="1" customWidth="1"/>
    <col min="157" max="157" width="9.140625" style="54" customWidth="1"/>
    <col min="158" max="16384" width="9.140625" style="54"/>
  </cols>
  <sheetData>
    <row r="1" spans="1:154" ht="27" customHeight="1">
      <c r="A1" s="90"/>
      <c r="B1" s="92"/>
      <c r="C1" s="92"/>
      <c r="D1" s="92"/>
      <c r="E1" s="92"/>
      <c r="F1" s="676"/>
      <c r="G1" s="676"/>
      <c r="H1" s="676"/>
      <c r="I1" s="676"/>
      <c r="J1" s="723"/>
      <c r="K1" s="58"/>
      <c r="L1" s="694" t="s">
        <v>0</v>
      </c>
      <c r="M1" s="762"/>
      <c r="N1" s="545">
        <f>Summary!D3</f>
        <v>0</v>
      </c>
      <c r="O1" s="545"/>
      <c r="P1" s="545"/>
      <c r="Q1" s="545"/>
      <c r="R1" s="545"/>
      <c r="S1" s="545"/>
      <c r="T1" s="545"/>
      <c r="U1" s="545"/>
      <c r="V1" s="545"/>
      <c r="W1" s="545"/>
      <c r="X1" s="545"/>
      <c r="Y1" s="545"/>
      <c r="Z1" s="545"/>
      <c r="AA1" s="59"/>
      <c r="AC1" s="180" t="s">
        <v>142</v>
      </c>
      <c r="AD1" s="211" t="s">
        <v>394</v>
      </c>
      <c r="AE1" s="540"/>
      <c r="AF1" s="760"/>
      <c r="AG1" s="54"/>
    </row>
    <row r="2" spans="1:154" ht="21" customHeight="1">
      <c r="A2" s="48"/>
      <c r="B2" s="49"/>
      <c r="C2" s="49"/>
      <c r="D2" s="49"/>
      <c r="E2" s="91"/>
      <c r="F2" s="740" t="s">
        <v>177</v>
      </c>
      <c r="G2" s="740"/>
      <c r="H2" s="740"/>
      <c r="I2" s="740"/>
      <c r="J2" s="741"/>
      <c r="K2" s="60"/>
      <c r="L2" s="694" t="s">
        <v>141</v>
      </c>
      <c r="M2" s="762"/>
      <c r="N2" s="549">
        <f>Summary!D6</f>
        <v>0</v>
      </c>
      <c r="O2" s="549"/>
      <c r="P2" s="549"/>
      <c r="Q2" s="549"/>
      <c r="R2" s="549"/>
      <c r="S2" s="549"/>
      <c r="T2" s="549"/>
      <c r="U2" s="549"/>
      <c r="V2" s="549"/>
      <c r="W2" s="549"/>
      <c r="X2" s="549"/>
      <c r="Y2" s="549"/>
      <c r="Z2" s="549"/>
      <c r="AB2" s="61"/>
      <c r="AC2" s="61"/>
      <c r="AE2" s="540"/>
      <c r="AF2" s="760"/>
    </row>
    <row r="3" spans="1:154" ht="21" customHeight="1">
      <c r="A3" s="7"/>
      <c r="B3" s="8"/>
      <c r="C3" s="91"/>
      <c r="D3" s="91"/>
      <c r="E3" s="91"/>
      <c r="F3" s="91"/>
      <c r="G3" s="58"/>
      <c r="H3" s="58"/>
      <c r="I3" s="58"/>
      <c r="J3" s="81"/>
      <c r="K3" s="58"/>
      <c r="L3" s="694" t="s">
        <v>143</v>
      </c>
      <c r="M3" s="762"/>
      <c r="N3" s="613">
        <f>Summary!D4</f>
        <v>0</v>
      </c>
      <c r="O3" s="613"/>
      <c r="P3" s="613"/>
      <c r="Q3" s="613"/>
      <c r="R3" s="613"/>
      <c r="S3" s="613"/>
      <c r="T3" s="613"/>
      <c r="U3" s="613"/>
      <c r="V3" s="613"/>
      <c r="W3" s="613"/>
      <c r="X3" s="613"/>
      <c r="Y3" s="613"/>
      <c r="Z3" s="613"/>
      <c r="AA3" s="754" t="s">
        <v>145</v>
      </c>
      <c r="AB3" s="754"/>
      <c r="AC3" s="763">
        <f>SUM(AD9:AD23)</f>
        <v>0</v>
      </c>
      <c r="AD3" s="763"/>
      <c r="AE3" s="62"/>
      <c r="AF3" s="63"/>
    </row>
    <row r="4" spans="1:154" ht="21" customHeight="1">
      <c r="A4" s="554" t="s">
        <v>453</v>
      </c>
      <c r="B4" s="748"/>
      <c r="C4" s="551"/>
      <c r="D4" s="747"/>
      <c r="E4" s="747" t="s">
        <v>452</v>
      </c>
      <c r="F4" s="551"/>
      <c r="G4" s="551"/>
      <c r="H4" s="554"/>
      <c r="I4" s="601"/>
      <c r="J4" s="555"/>
      <c r="K4" s="60"/>
      <c r="L4" s="694" t="s">
        <v>978</v>
      </c>
      <c r="M4" s="762"/>
      <c r="N4" s="556">
        <f>Summary!D7</f>
        <v>0</v>
      </c>
      <c r="O4" s="557"/>
      <c r="P4" s="557"/>
      <c r="Q4" s="557"/>
      <c r="R4" s="557"/>
      <c r="S4" s="557"/>
      <c r="T4" s="557"/>
      <c r="U4" s="557"/>
      <c r="V4" s="557"/>
      <c r="W4" s="557"/>
      <c r="X4" s="557"/>
      <c r="Y4" s="557"/>
      <c r="Z4" s="558"/>
      <c r="AA4" s="755" t="s">
        <v>584</v>
      </c>
      <c r="AB4" s="755"/>
      <c r="AC4" s="764">
        <f>SUM(F9:F23)</f>
        <v>0</v>
      </c>
      <c r="AD4" s="764"/>
      <c r="AE4" s="761"/>
      <c r="AF4" s="541"/>
    </row>
    <row r="5" spans="1:154" ht="21" customHeight="1">
      <c r="A5" s="101" t="s">
        <v>1031</v>
      </c>
      <c r="B5" s="104"/>
      <c r="C5" s="104"/>
      <c r="D5" s="104"/>
      <c r="E5" s="104"/>
      <c r="F5" s="104" t="s">
        <v>210</v>
      </c>
      <c r="G5" s="104"/>
      <c r="H5" s="104"/>
      <c r="I5" s="104"/>
      <c r="J5" s="122"/>
      <c r="K5" s="288" t="s">
        <v>1036</v>
      </c>
      <c r="L5" s="694" t="s">
        <v>144</v>
      </c>
      <c r="M5" s="762"/>
      <c r="N5" s="569">
        <f>Summary!D8</f>
        <v>0</v>
      </c>
      <c r="O5" s="569"/>
      <c r="P5" s="569"/>
      <c r="Q5" s="569"/>
      <c r="R5" s="569"/>
      <c r="S5" s="569"/>
      <c r="T5" s="569"/>
      <c r="U5" s="569"/>
      <c r="V5" s="569"/>
      <c r="W5" s="569"/>
      <c r="X5" s="569"/>
      <c r="Y5" s="569"/>
      <c r="Z5" s="569"/>
      <c r="AB5" s="179"/>
      <c r="AC5" s="208"/>
      <c r="AD5" s="82"/>
      <c r="AE5" s="540"/>
      <c r="AF5" s="541"/>
    </row>
    <row r="6" spans="1:154">
      <c r="A6" s="742" t="s">
        <v>967</v>
      </c>
      <c r="B6" s="743"/>
      <c r="C6" s="743"/>
      <c r="D6" s="743"/>
      <c r="E6" s="743"/>
      <c r="F6" s="743"/>
      <c r="G6" s="743"/>
      <c r="H6" s="743"/>
      <c r="I6" s="743"/>
      <c r="J6" s="744"/>
      <c r="K6" s="325">
        <v>27</v>
      </c>
      <c r="L6" s="773" t="s">
        <v>654</v>
      </c>
      <c r="M6" s="774"/>
      <c r="N6" s="756" t="str">
        <f>CN13</f>
        <v xml:space="preserve">         </v>
      </c>
      <c r="O6" s="757"/>
      <c r="P6" s="757"/>
      <c r="Q6" s="757"/>
      <c r="R6" s="757"/>
      <c r="S6" s="757"/>
      <c r="T6" s="757"/>
      <c r="U6" s="757"/>
      <c r="V6" s="757"/>
      <c r="W6" s="757"/>
      <c r="X6" s="757"/>
      <c r="Y6" s="758"/>
      <c r="Z6" s="759"/>
      <c r="AA6" s="181"/>
    </row>
    <row r="7" spans="1:154" ht="15.75" thickBot="1">
      <c r="A7" s="127"/>
      <c r="B7" s="751" t="s">
        <v>725</v>
      </c>
      <c r="C7" s="752"/>
      <c r="D7" s="752"/>
      <c r="E7" s="752"/>
      <c r="F7" s="752"/>
      <c r="G7" s="752"/>
      <c r="H7" s="752"/>
      <c r="I7" s="752"/>
      <c r="J7" s="753"/>
      <c r="K7" s="148" t="s">
        <v>731</v>
      </c>
      <c r="L7" s="147"/>
      <c r="M7" s="751" t="s">
        <v>725</v>
      </c>
      <c r="N7" s="752"/>
      <c r="O7" s="752"/>
      <c r="P7" s="752"/>
      <c r="Q7" s="752"/>
      <c r="R7" s="752"/>
      <c r="S7" s="752"/>
      <c r="T7" s="752"/>
      <c r="U7" s="752"/>
      <c r="V7" s="753"/>
      <c r="W7" s="701" t="s">
        <v>957</v>
      </c>
      <c r="X7" s="702"/>
      <c r="Y7" s="592" t="str">
        <f>DK24</f>
        <v/>
      </c>
      <c r="Z7" s="606"/>
      <c r="AA7" s="606"/>
      <c r="AB7" s="607"/>
      <c r="DN7" s="169" t="s">
        <v>825</v>
      </c>
      <c r="DO7" s="169"/>
      <c r="DP7" s="169"/>
      <c r="DQ7" s="169"/>
      <c r="DR7" s="169"/>
      <c r="DS7" s="169"/>
      <c r="EJ7" s="157"/>
      <c r="EK7" s="157"/>
      <c r="EL7" s="169" t="s">
        <v>22</v>
      </c>
      <c r="EM7" s="157"/>
      <c r="EN7" s="266"/>
    </row>
    <row r="8" spans="1:154" ht="49.5" customHeight="1" thickTop="1" thickBot="1">
      <c r="A8" s="66" t="s">
        <v>146</v>
      </c>
      <c r="B8" s="128" t="s">
        <v>147</v>
      </c>
      <c r="C8" s="128" t="s">
        <v>148</v>
      </c>
      <c r="D8" s="129" t="s">
        <v>149</v>
      </c>
      <c r="E8" s="130" t="s">
        <v>206</v>
      </c>
      <c r="F8" s="130" t="s">
        <v>955</v>
      </c>
      <c r="G8" s="131" t="s">
        <v>876</v>
      </c>
      <c r="H8" s="749" t="s">
        <v>152</v>
      </c>
      <c r="I8" s="750"/>
      <c r="J8" s="129" t="s">
        <v>150</v>
      </c>
      <c r="K8" s="149" t="s">
        <v>789</v>
      </c>
      <c r="L8" s="75" t="s">
        <v>153</v>
      </c>
      <c r="M8" s="133" t="s">
        <v>14</v>
      </c>
      <c r="N8" s="134" t="s">
        <v>155</v>
      </c>
      <c r="O8" s="132" t="s">
        <v>154</v>
      </c>
      <c r="P8" s="771" t="s">
        <v>157</v>
      </c>
      <c r="Q8" s="772"/>
      <c r="R8" s="133" t="s">
        <v>355</v>
      </c>
      <c r="S8" s="134" t="s">
        <v>356</v>
      </c>
      <c r="T8" s="134" t="s">
        <v>357</v>
      </c>
      <c r="U8" s="134" t="s">
        <v>374</v>
      </c>
      <c r="V8" s="133" t="s">
        <v>161</v>
      </c>
      <c r="W8" s="67" t="s">
        <v>156</v>
      </c>
      <c r="X8" s="67" t="s">
        <v>375</v>
      </c>
      <c r="Y8" s="67" t="s">
        <v>962</v>
      </c>
      <c r="Z8" s="67" t="s">
        <v>158</v>
      </c>
      <c r="AA8" s="67" t="s">
        <v>159</v>
      </c>
      <c r="AB8" s="67" t="s">
        <v>160</v>
      </c>
      <c r="AC8" s="68" t="s">
        <v>958</v>
      </c>
      <c r="AD8" s="162" t="s">
        <v>162</v>
      </c>
      <c r="AE8" s="231"/>
      <c r="AF8" s="231"/>
      <c r="AU8" s="93" t="s">
        <v>450</v>
      </c>
      <c r="AV8" s="55" t="s">
        <v>973</v>
      </c>
      <c r="AW8" s="218" t="s">
        <v>970</v>
      </c>
      <c r="AX8" s="218" t="s">
        <v>971</v>
      </c>
      <c r="AY8" s="169" t="s">
        <v>156</v>
      </c>
      <c r="AZ8" s="338" t="s">
        <v>333</v>
      </c>
      <c r="BA8" s="339" t="s">
        <v>376</v>
      </c>
      <c r="BB8" s="150" t="s">
        <v>395</v>
      </c>
      <c r="BC8" s="339" t="s">
        <v>396</v>
      </c>
      <c r="BD8" s="338" t="s">
        <v>582</v>
      </c>
      <c r="BE8" s="339" t="s">
        <v>397</v>
      </c>
      <c r="BF8" s="150" t="s">
        <v>398</v>
      </c>
      <c r="BG8" s="338" t="s">
        <v>161</v>
      </c>
      <c r="BH8" s="338" t="s">
        <v>401</v>
      </c>
      <c r="BI8" s="150" t="s">
        <v>375</v>
      </c>
      <c r="BJ8" s="339" t="s">
        <v>161</v>
      </c>
      <c r="BK8" s="150" t="s">
        <v>426</v>
      </c>
      <c r="BL8" s="150" t="s">
        <v>427</v>
      </c>
      <c r="BM8" s="150" t="s">
        <v>428</v>
      </c>
      <c r="BN8" s="150" t="s">
        <v>429</v>
      </c>
      <c r="BO8" s="150" t="s">
        <v>419</v>
      </c>
      <c r="BP8" s="338" t="s">
        <v>423</v>
      </c>
      <c r="BQ8" s="151" t="s">
        <v>451</v>
      </c>
      <c r="BR8" s="151" t="s">
        <v>457</v>
      </c>
      <c r="BS8" s="151" t="s">
        <v>458</v>
      </c>
      <c r="BT8" s="152" t="s">
        <v>578</v>
      </c>
      <c r="BU8" s="152" t="s">
        <v>576</v>
      </c>
      <c r="BV8" s="152" t="s">
        <v>357</v>
      </c>
      <c r="BW8" s="152" t="s">
        <v>579</v>
      </c>
      <c r="BX8" s="152" t="s">
        <v>580</v>
      </c>
      <c r="BY8" s="152" t="s">
        <v>581</v>
      </c>
      <c r="BZ8" s="331" t="s">
        <v>585</v>
      </c>
      <c r="CA8" s="331" t="s">
        <v>150</v>
      </c>
      <c r="CB8" s="153" t="s">
        <v>612</v>
      </c>
      <c r="CC8" s="277" t="s">
        <v>613</v>
      </c>
      <c r="CD8" s="337" t="s">
        <v>616</v>
      </c>
      <c r="CE8" s="153" t="s">
        <v>617</v>
      </c>
      <c r="CF8" s="153" t="s">
        <v>157</v>
      </c>
      <c r="CG8" s="153" t="s">
        <v>649</v>
      </c>
      <c r="CH8" s="153" t="s">
        <v>650</v>
      </c>
      <c r="CI8" s="153" t="s">
        <v>651</v>
      </c>
      <c r="CJ8" s="153" t="s">
        <v>652</v>
      </c>
      <c r="CK8" s="153" t="s">
        <v>653</v>
      </c>
      <c r="CL8" s="154"/>
      <c r="CM8" s="154"/>
      <c r="CN8" s="154" t="s">
        <v>658</v>
      </c>
      <c r="CO8" s="326" t="s">
        <v>729</v>
      </c>
      <c r="CP8" s="152" t="s">
        <v>729</v>
      </c>
      <c r="CQ8" s="152" t="s">
        <v>730</v>
      </c>
      <c r="CR8" s="152" t="s">
        <v>157</v>
      </c>
      <c r="CS8" s="152" t="s">
        <v>731</v>
      </c>
      <c r="CT8" s="152" t="s">
        <v>732</v>
      </c>
      <c r="CU8" s="326" t="s">
        <v>752</v>
      </c>
      <c r="CV8" s="152" t="s">
        <v>877</v>
      </c>
      <c r="CW8" s="329" t="s">
        <v>878</v>
      </c>
      <c r="CX8" s="329" t="s">
        <v>879</v>
      </c>
      <c r="CY8" s="331" t="s">
        <v>753</v>
      </c>
      <c r="CZ8" s="337" t="s">
        <v>783</v>
      </c>
      <c r="DA8" s="153" t="s">
        <v>784</v>
      </c>
      <c r="DB8" s="120" t="s">
        <v>786</v>
      </c>
      <c r="DC8" s="120" t="s">
        <v>785</v>
      </c>
      <c r="DD8" s="120" t="s">
        <v>787</v>
      </c>
      <c r="DE8" s="120" t="s">
        <v>794</v>
      </c>
      <c r="DF8" s="185" t="s">
        <v>375</v>
      </c>
      <c r="DG8" s="120"/>
      <c r="DH8" s="120"/>
      <c r="DI8" s="185" t="s">
        <v>803</v>
      </c>
      <c r="DJ8" s="185" t="s">
        <v>804</v>
      </c>
      <c r="DK8" s="185" t="s">
        <v>822</v>
      </c>
      <c r="DL8" s="120" t="s">
        <v>950</v>
      </c>
      <c r="DM8" s="120"/>
      <c r="DN8" s="170" t="s">
        <v>824</v>
      </c>
      <c r="DO8" s="170" t="s">
        <v>826</v>
      </c>
      <c r="DP8" s="170" t="s">
        <v>827</v>
      </c>
      <c r="DQ8" s="170" t="s">
        <v>828</v>
      </c>
      <c r="DR8" s="170" t="s">
        <v>829</v>
      </c>
      <c r="DS8" s="170" t="s">
        <v>830</v>
      </c>
      <c r="DT8" s="185" t="s">
        <v>937</v>
      </c>
      <c r="DU8" s="185" t="s">
        <v>155</v>
      </c>
      <c r="DV8" s="120" t="s">
        <v>14</v>
      </c>
      <c r="DW8" s="216" t="s">
        <v>959</v>
      </c>
      <c r="DX8" s="216" t="s">
        <v>960</v>
      </c>
      <c r="DY8" s="261" t="s">
        <v>961</v>
      </c>
      <c r="DZ8" s="219" t="s">
        <v>972</v>
      </c>
      <c r="EA8" s="65" t="s">
        <v>1033</v>
      </c>
      <c r="EB8" s="65" t="s">
        <v>971</v>
      </c>
      <c r="EC8" s="54" t="s">
        <v>1034</v>
      </c>
      <c r="ED8" s="157" t="s">
        <v>1037</v>
      </c>
      <c r="EE8" s="169" t="s">
        <v>357</v>
      </c>
      <c r="EF8" s="169" t="s">
        <v>1055</v>
      </c>
      <c r="EG8" s="335" t="s">
        <v>1086</v>
      </c>
      <c r="EH8" s="336" t="s">
        <v>1087</v>
      </c>
      <c r="EI8" s="333" t="s">
        <v>1088</v>
      </c>
      <c r="EJ8" s="273" t="s">
        <v>1458</v>
      </c>
      <c r="EK8" s="273" t="s">
        <v>1459</v>
      </c>
      <c r="EL8" s="273" t="s">
        <v>1460</v>
      </c>
      <c r="EM8" s="273" t="s">
        <v>1461</v>
      </c>
      <c r="EN8" s="275" t="s">
        <v>732</v>
      </c>
      <c r="EO8" s="265" t="s">
        <v>872</v>
      </c>
      <c r="EP8" s="332" t="s">
        <v>1774</v>
      </c>
      <c r="EQ8" s="332" t="s">
        <v>1775</v>
      </c>
      <c r="ER8" s="265" t="s">
        <v>873</v>
      </c>
      <c r="ES8" s="279" t="s">
        <v>871</v>
      </c>
      <c r="ET8" s="279" t="s">
        <v>1462</v>
      </c>
      <c r="EU8" s="273" t="s">
        <v>1463</v>
      </c>
      <c r="EV8" s="342" t="s">
        <v>1530</v>
      </c>
      <c r="EW8" s="271" t="s">
        <v>1531</v>
      </c>
      <c r="EX8" s="342" t="s">
        <v>1532</v>
      </c>
    </row>
    <row r="9" spans="1:154" ht="36.75" customHeight="1" thickTop="1">
      <c r="A9" s="50">
        <v>1</v>
      </c>
      <c r="B9" s="9"/>
      <c r="C9" s="24"/>
      <c r="D9" s="24"/>
      <c r="E9" s="10"/>
      <c r="F9" s="24"/>
      <c r="G9" s="25"/>
      <c r="H9" s="703"/>
      <c r="I9" s="745"/>
      <c r="J9" s="24"/>
      <c r="K9" s="143" t="str">
        <f>IF(G9="","",EU9)</f>
        <v/>
      </c>
      <c r="L9" s="11"/>
      <c r="M9" s="11"/>
      <c r="N9" s="11"/>
      <c r="O9" s="11"/>
      <c r="P9" s="746"/>
      <c r="Q9" s="746"/>
      <c r="R9" s="25"/>
      <c r="S9" s="25"/>
      <c r="T9" s="25"/>
      <c r="U9" s="25"/>
      <c r="V9" s="11"/>
      <c r="W9" s="11"/>
      <c r="X9" s="26"/>
      <c r="Y9" s="26"/>
      <c r="Z9" s="24"/>
      <c r="AA9" s="24"/>
      <c r="AB9" s="24"/>
      <c r="AC9" s="18"/>
      <c r="AD9" s="163" t="str">
        <f t="shared" ref="AD9:AD23" si="0">IF(SUM(D9)=0,"",IF(E9="MS",SUM(((C9*D9)/1000000)*F9),SUM(((C9*D9)/1000000))))</f>
        <v/>
      </c>
      <c r="AE9" s="229"/>
      <c r="AF9" s="230"/>
      <c r="AU9" s="107" t="str">
        <f>IF(G9="Fauxwood Eco",BT9+BX9+BY9,IF(G9="Fauxwood Eco Air",BT9+BX9+BY9,IF(G9="Fauxwood Eco Elite",BT9+BX9+BY9, IF(G9="Fauxwood Night",BT9+BX9+BY9,IF(G9="Timber Eco",BW9+BX9+BY9,"")))))</f>
        <v/>
      </c>
      <c r="AV9" s="65" t="e">
        <f>IF(OR(AND(W9="",DZ9="Yes")), "Yes","No")</f>
        <v>#N/A</v>
      </c>
      <c r="AW9" s="169" t="e">
        <f>VLOOKUP(P9,Data!$MI$2:$MJ$4,2,FALSE)</f>
        <v>#N/A</v>
      </c>
      <c r="AX9" s="169" t="e">
        <f>IF(OR(AND(E9="IN",AW9="Yes")), "Yes","No")</f>
        <v>#N/A</v>
      </c>
      <c r="AY9" s="169" t="e">
        <f>VLOOKUP(N9,Data!$BI$24:$BJ$30,2,FALSE)</f>
        <v>#N/A</v>
      </c>
      <c r="AZ9" s="155" t="b">
        <f>IF(G9=Data!$BO$2,Data!$BS$2, IF(Shutters!G9=Data!$BP$2,Data!$BT$2, IF(Shutters!G9=Data!$BQ$2,Data!$BU$2)))</f>
        <v>0</v>
      </c>
      <c r="BA9" s="340" t="str">
        <f>IF(OR(AND(D9&gt;1500,G9="Fauxwood Eco",L9=""), AND(D9&gt;1500,G9="Fauxwood Night",L9=""), AND(D9&gt;1500,G9="Fauxwood Eco Air",L9=""),AND(D9&gt;1500,G9="Fauxwood Eco Elite",L9=""), AND(D9&gt;1800,G9="Timber Eco",L9="")), "Yes","No")</f>
        <v>No</v>
      </c>
      <c r="BB9" s="155" t="e">
        <f>IF(E9="MS",C9*1,C9/F9)</f>
        <v>#DIV/0!</v>
      </c>
      <c r="BC9" s="340" t="e">
        <f>IF(OR(AND(BB9&gt;650,G9="Fauxwood Eco"), AND(BB9&gt;650,G9="Fauxwood Night"), AND(BB9&gt;650,G9="Fauxwood Eco Air"), AND(BB9&gt;650,G9="Fauxwood Eco Elite"), AND(BB9&gt;950,G9="Timber Eco")), "Yes","No")</f>
        <v>#DIV/0!</v>
      </c>
      <c r="BD9" s="155" t="e">
        <f t="shared" ref="BD9:BD23" si="1">IF(OR(AND(BB9&gt;650,G9="Fauxwood",E9="MS"),AND(BB9&gt;700,G9="Fauxwood",E9="IN"),AND(BB9&gt;700,G9="Fauxwood",E9="OUT")), "Yes","No")</f>
        <v>#DIV/0!</v>
      </c>
      <c r="BE9" s="340" t="str">
        <f>IF(OR(AND(D9&gt;2600,G9="Fauxwood Eco"),AND(D9&gt;2600,G9="Fauxwood Night"), AND(D9&gt;2600,G9="Fauxwood Eco Air"),AND(D9&gt;2600,G9="Fauxwood Eco Elite"),AND(D9&gt;3000,G9="Timber Eco")), "Yes","No")</f>
        <v>No</v>
      </c>
      <c r="BF9" s="155" t="str">
        <f>IF(OR(AND(C9&gt;0,V9="")), "Required","NotRequired")</f>
        <v>NotRequired</v>
      </c>
      <c r="BG9" s="155" t="b">
        <f>IF(G9=Data!$BO$2,Data!$CM$2, IF(Shutters!G9=Data!$BP$2,Data!$CN$2, IF(Shutters!G9=Data!$BQ$2,Data!$CO$2)))</f>
        <v>0</v>
      </c>
      <c r="BH9" s="155" t="e">
        <f>IF(OR(AND(AZ9="FauxwoodY",BC9="Yes")), "Highlight","NoHighlight")</f>
        <v>#DIV/0!</v>
      </c>
      <c r="BI9" s="156" t="str">
        <f t="shared" ref="BI9:BI23" si="2">IF(OR(AND(N9="Sliding",X9="")), "Highlight","NoHighlight")</f>
        <v>NoHighlight</v>
      </c>
      <c r="BJ9" s="340" t="str">
        <f>IF(OR(AND(J9="89mm",G9="Fauxwood Eco"),AND(J9="89mm",G9="Fauxwood Eco Elite")),"FauxwoodRP","FauxwoodRPNo")</f>
        <v>FauxwoodRPNo</v>
      </c>
      <c r="BK9" s="156" t="str">
        <f>IF(SUM(--ISNUMBER( SEARCH({"t","T"},O9))),"Yes","No")</f>
        <v>No</v>
      </c>
      <c r="BL9" s="156" t="str">
        <f>IF(OR(AND(Y9&gt;0,Z9="")), "Error","OK")</f>
        <v>OK</v>
      </c>
      <c r="BM9" s="156" t="str">
        <f>IF(OR(AND(Y9&gt;1,AA9="")), "Error","OK")</f>
        <v>OK</v>
      </c>
      <c r="BN9" s="156" t="str">
        <f>IF(OR(AND(Y9&gt;2,AB9="")), "Error","OK")</f>
        <v>OK</v>
      </c>
      <c r="BO9" s="156" t="e">
        <f>IF(OR(AND(F9&gt;1,#REF!="L",#REF!="l"),AND(F9&gt;1,#REF!="R",#REF!="r"),AND(F9&gt;2,#REF!="LR",#REF!="lr")), "Error","OK")</f>
        <v>#REF!</v>
      </c>
      <c r="BP9" s="156" t="str">
        <f t="shared" ref="BP9:BP23" si="3">IF(OR(AND(J9="63mm",G9="Fauxwood"),AND(J9="89mm",G9="Fauxwood")),"FauxwoodAI","FauxwoodAINo")</f>
        <v>FauxwoodAINo</v>
      </c>
      <c r="BQ9" s="156" t="str">
        <f>IF(SUM(--ISNUMBER(SEARCH({"combo","Combo","COMBO"}, B26))),"Yes","No")</f>
        <v>No</v>
      </c>
      <c r="BR9" s="156" t="str">
        <f>IF(OR(AND(BK9="Yes",BQ9="Yes")),"Yes","No")</f>
        <v>No</v>
      </c>
      <c r="BS9" s="156" t="str">
        <f>IF(SUM(--ISNUMBER( SEARCH({"c","C","b","B"},#REF!))),"Yes","No")</f>
        <v>No</v>
      </c>
      <c r="BT9" s="157">
        <f t="shared" ref="BT9:BT23" si="4">IF(D9="",0,IF(N9="Fixed","N/A",IF(N9="Sliding","N/A",IF(N9="Track Bi Fold","N/A",IF(N9="Pivot Hinged","N/A",IF(D9&lt;741,2,IF(D9&lt;1321,3,IF(D9&lt;1906,4,5)))*IF(F9&gt;0,F9,1))))))</f>
        <v>0</v>
      </c>
      <c r="BU9" s="169" t="str">
        <f>IF(N9=Data!$BI$3,Data!$DR$3,IF(N9=Data!$BI$4,Data!$DS$3,IF(N9=Data!$BI$5,Data!$DT$3,IF(N9=Data!$BI$6,Data!$DU$3,IF(N9=Data!$BI$7,Data!$DV$3, IF(N9=Data!$BI$8,Data!$DX$3, IF(N9=Data!$BI$9,Data!$DW$3, "")))))))</f>
        <v/>
      </c>
      <c r="BV9" s="169" t="str">
        <f>IF(N9=Data!$BI$3,Data!$DY$3,IF(N9=Data!$BI$4,Data!$DZ$3,IF(N9=Data!$BI$5,Data!$EA$3,IF(N9=Data!$BI$6,Data!$EB$3,IF(N9=Data!$BI$7,Data!$EC$3,IF(N9=Data!$BI$8,Data!$EE$3, IF(N9=Data!$BI$9,Data!$ED$3,"")))))))</f>
        <v/>
      </c>
      <c r="BW9" s="157">
        <f t="shared" ref="BW9:BW23" si="5">IF(D9="",0,IF(N9="Fixed","N/A",IF(N9="Sliding","N/A",IF(N9="Track Bi Fold","N/A",IF(N9="Pivot Hinged","N/A",IF(D9&lt;1220,2,IF(D9&lt;1981,3,IF(D9&lt;2438,4,5)))*IF(F9&gt;0,F9,1))))))</f>
        <v>0</v>
      </c>
      <c r="BX9" s="157">
        <f t="shared" ref="BX9:BX23" si="6">IF(N9="Double Hinged",F9,0)</f>
        <v>0</v>
      </c>
      <c r="BY9" s="169" t="e">
        <f>IF(C9/F9&gt;650,F9,0)</f>
        <v>#DIV/0!</v>
      </c>
      <c r="BZ9" s="330" t="b">
        <f>IF(G9=Data!$EU$2,Data!$ES$2,IF(G9=Data!$EU$3,Data!$ER$2, IF(G9=Data!$EU$5,Data!$ET$2, IF(G9=Data!$EU$4,Data!$EQ$2,IF(G9=Data!$EU$6,Data!$ER$2)))))</f>
        <v>0</v>
      </c>
      <c r="CA9" s="330" t="b">
        <f>IF(G9=Data!$EU$2,Data!$EW$2,IF(G9=Data!$EU$3,Data!$EX$2,IF(G9=Data!$EU$4,Data!$EY$2, IF(G9=Data!$EU$5,Data!$EY$2,IF(G9=Data!$EU$6,Data!$EX$2)))))</f>
        <v>0</v>
      </c>
      <c r="CB9" s="169" t="e">
        <f>VLOOKUP(M9,Data!$EJ$3:$EK$14,2,FALSE)</f>
        <v>#N/A</v>
      </c>
      <c r="CC9" s="169" t="str">
        <f>IF(J9="114mm",VLOOKUP(H9,Data!$FA$2:$FB$18,2,FALSE),"OK")</f>
        <v>OK</v>
      </c>
      <c r="CD9" s="169" t="e">
        <f t="shared" ref="CD9:CD23" si="7">IF(OR(AND(BB9&gt;800,G9="Fauxwood",J9="63mm"),AND(BB9&gt;900,G9="Fauxwood",J9="89mm")), "Yes","No")</f>
        <v>#DIV/0!</v>
      </c>
      <c r="CE9" s="169" t="str">
        <f>IF(OR(AND(R9="",P9&lt;&gt;"")),VLOOKUP(P9,Data!$FC$2:$FD$18,2,FALSE),"")</f>
        <v/>
      </c>
      <c r="CF9" s="169" t="str">
        <f>IF(N9=Data!$BI$3,Data!$FJ$1,IF(N9=Data!$BI$4,Data!$FK$1,IF(N9=Data!$BI$5,Data!$FL$1,IF(N9=Data!$BI$6,Data!$FM$1,IF(N9=Data!$BI$7,Data!$FN$1, IF(N9=Data!$BI$8,Data!$FO$1, IF(N9=Data!$BI$9,Data!$FI$1, "")))))))</f>
        <v/>
      </c>
      <c r="CG9" s="169" t="str">
        <f>IF(SUM(--ISNUMBER(SEARCH({"z","Z"}, P9))),"Yes","No")</f>
        <v>No</v>
      </c>
      <c r="CH9" s="169" t="str">
        <f t="shared" ref="CH9:CH23" si="8">IF(OR(AND(E9="OUT",CG9="Yes")), "Error","OK")</f>
        <v>OK</v>
      </c>
      <c r="CI9" s="169">
        <f>LEN(O9)</f>
        <v>0</v>
      </c>
      <c r="CJ9" s="169" t="e">
        <f>VLOOKUP(O9,Data!$DO$4:$DP$156,2,FALSE)</f>
        <v>#N/A</v>
      </c>
      <c r="CK9" s="169" t="e">
        <f t="shared" ref="CK9:CK23" si="9">IF(F9&lt;&gt;CJ9,"Failed","Passed")</f>
        <v>#N/A</v>
      </c>
      <c r="CL9" s="157"/>
      <c r="CM9" s="157" t="s">
        <v>659</v>
      </c>
      <c r="CN9" s="157" t="str">
        <f>IF(COUNTIF(M9:M23,Data!EJ4),Data!EL4,"")</f>
        <v/>
      </c>
      <c r="CO9" s="344" t="str">
        <f>IF(AND(OR(G9="Fauxwood Eco", G9="Fauxwood Night", G9="Fauxwood Eco Elite", G9="Fauxwood Eco Air", N9="Hinged",N9="Track Bi Fold")), "Error","OK")</f>
        <v>OK</v>
      </c>
      <c r="CP9" s="169" t="b">
        <f>IF(N9="Hinged",50,IF(N9="Double Hinged",50,IF(N9="Track Bi Fold",0,IF(N9="Sliding",40,IF(N9="Fixed",0, IF(N9="Pivot Hinged",0))))))</f>
        <v>0</v>
      </c>
      <c r="CQ9" s="169">
        <f>IF(E9="IN",1,IF(E9="OUT",1,0))</f>
        <v>0</v>
      </c>
      <c r="CR9" s="169">
        <f>IF(P9="No Frame",0,IF(P9="Hanging Strip",0,1))</f>
        <v>1</v>
      </c>
      <c r="CS9" s="169">
        <f>CP9*CQ9*CR9</f>
        <v>0</v>
      </c>
      <c r="CT9" s="157" t="e">
        <f>IF(E9="MS",C9,IF(EL9=$EL$7,(C9-CS9)/EM9,(C9-CS9)/F9))</f>
        <v>#DIV/0!</v>
      </c>
      <c r="CU9" s="169" t="b">
        <f>IF(H9=Data!$BD$3,Data!$HC$2,IF(H9=Data!$BD$4,Data!$HM$2,IF(H9=Data!$BD$5,Data!$HF$2,IF(H9=Data!$BD$6,Data!$HB$2,IF(H9=Data!$BD$7,Data!$HD$2,IF(H9=Data!$BD$8,Data!$HJ$2,IF(H9=Data!$BD$9,Data!$HN$2,IF(H9=Data!$BD$10,Data!$HA$2,IF(H9=Data!$BD$11,Data!$HI$2)))))))))</f>
        <v>0</v>
      </c>
      <c r="CV9" s="276" t="b">
        <f>IF(H9=Data!$BE$3,Data!$HQ$2, IF(H9=Data!$BE$4,Data!$HP$2, IF(H9=Data!$BE$5,Data!$HR$2, IF(H9=Data!$BE$6,Data!$HO$2))))</f>
        <v>0</v>
      </c>
      <c r="CW9" s="330" t="b">
        <f>IF(H9=Data!$BH$3,Data!$HU$2, IF(H9=Data!$BH$4,Data!$HT$2, IF(H9=Data!$BH$5,Data!$HS$2)))</f>
        <v>0</v>
      </c>
      <c r="CX9" s="330" t="b">
        <f>IF(H9=Data!$BF$3,Data!$HQ$16, IF(H9=Data!$BF$4,Data!$HP$16, IF(H9=Data!$BF$5,Data!$HR$16, IF(H9=Data!$BF$6,Data!$HO$16))))</f>
        <v>0</v>
      </c>
      <c r="CY9" s="330" t="b">
        <f>IF(G9=Data!$BC$3,Shutters!CU9,IF(G9=Data!$BC$4,Shutters!CV9,IF(G9=Data!$BC$6,Shutters!CW9, IF(G9=Data!$BC$5, Shutters!CX9,IF(G9=Data!$BC$7,Shutters!CV9)))))</f>
        <v>0</v>
      </c>
      <c r="CZ9" s="157" t="e">
        <f>IF(OR(AND(L9&gt;0,#REF!="")), "Error","OK")</f>
        <v>#REF!</v>
      </c>
      <c r="DA9" s="169" t="e">
        <f>IF(COUNTIF(#REF!,Data!$CX$6),"Yes","")</f>
        <v>#REF!</v>
      </c>
      <c r="DB9" s="54" t="str">
        <f>IF(AND(OR(G9="Fauxwood"),AND(K9="Yes")), "Yes","")</f>
        <v/>
      </c>
      <c r="DC9" s="54" t="str">
        <f>IF($CN$9=Data!$EL$4,"Yes",IF(Shutters!$CN$10=Data!$EL$5,"Yes",IF(Shutters!$CN$11=Data!$EL$6,"Yes",IF(Shutters!$CN$12=Data!$EL$8,"Yes",""))))</f>
        <v/>
      </c>
      <c r="DD9" s="54" t="str">
        <f>IF(COUNTIF(DA9:DC23,Data!IZ3),"Yes","")</f>
        <v/>
      </c>
      <c r="DE9" s="54" t="str">
        <f>IF(N9=Data!$BI$5,"Yes",IF(N9=Data!$BI$6,"Yes","No"))</f>
        <v>No</v>
      </c>
      <c r="DF9" s="65" t="b">
        <f>IF(N9=Data!$BI$3,Data!$JB$2,IF(N9=Data!$BI$4,Data!$JC$2,IF(N9=Data!$BI$5,Data!$JD$2,IF(N9=Data!$BI$6,Data!$JE$2,IF(N9=Data!$BI$7,Data!$JF$2, IF(N9=Data!$BI$8,Data!$JA$2, IF(N9=Data!$BI$9,Data!$JG$2)))))))</f>
        <v>0</v>
      </c>
      <c r="DI9" s="65" t="e">
        <f>VLOOKUP(O9,Data!$DO$4:$DQ$156,3,FALSE)</f>
        <v>#N/A</v>
      </c>
      <c r="DJ9" s="54" t="e">
        <f t="shared" ref="DJ9:DJ23" si="10">Y9-DI9</f>
        <v>#N/A</v>
      </c>
      <c r="DK9" s="54" t="e">
        <f>IF(DJ9=0,"OK", "Layout Code &amp; T Post Quantity Issue")</f>
        <v>#N/A</v>
      </c>
      <c r="DL9" s="54" t="b">
        <f>IF(P9=Data!$BK$3,Data!$JH$2,IF(P9=Data!$BK$4,Data!$JI$2,IF(P9=Data!$BK$5,Data!$JJ$2,IF(P9=Data!$BK$6,Data!$JK$2,IF(P9=Data!$BK$7,Data!$JL$2,IF(P9=Data!$BK$8,Data!$JM$2,IF(P9=Data!$BK$9,Data!$JN$2,IF(P9=Data!$BK$10,Data!$JO$2,IF(P9=Data!$BK$11,Data!$JP$2,IF(P9=Data!$BK$12,Data!$JQ$2,IF(P9=Data!$BK$13,Data!$JR$2,IF(P9=Data!$BK$14,Data!$JS$2,IF(P9=Data!$BK$15,Data!$JT$2,IF(P9=Data!$BK$16,Data!$JU$2,IF(P9=Data!$BK$17,Data!$JV$2,IF(P9=Data!$BK$18,Data!$JW$2, IF(P9=Data!$BK$19,Data!$JX$2, IF(P9=Data!$BK$20,Data!$JY$2))))))))))))))))))</f>
        <v>0</v>
      </c>
      <c r="DN9" s="169" t="str">
        <f>IF(COUNTIF(BL9:BN9,$DN$7),"Required","")</f>
        <v/>
      </c>
      <c r="DO9" s="169" t="e">
        <f>IF(OR(AND(DK9="Layout Code &amp; T Post Quantity Issue"), AND(DN9="Required")),"Yes","No")</f>
        <v>#N/A</v>
      </c>
      <c r="DP9" s="169" t="str">
        <f>IF(OR(AND(AA9="",Y9=2)), "Error","OK")</f>
        <v>OK</v>
      </c>
      <c r="DQ9" s="169" t="str">
        <f>IF(OR(AND(Z9&lt;&gt;"",Y9&lt;1)), "Error","OK")</f>
        <v>OK</v>
      </c>
      <c r="DR9" s="169" t="str">
        <f>IF(OR(AND(AA9&lt;&gt;"",Y9&lt;2)), "Error","OK")</f>
        <v>OK</v>
      </c>
      <c r="DS9" s="169" t="str">
        <f>IF(OR(AND(AB9&lt;&gt;"",Y9&lt;3)), "Error","OK")</f>
        <v>OK</v>
      </c>
      <c r="DT9" s="65" t="b">
        <f>IF(N9=Data!$LW$2,Data!$LX$1,IF(N9=Data!$LW$3,Data!$LY$1,IF(N9=Data!$LW$4,Data!$LZ$1,IF(N9=Data!$LW$5,Data!$MA$1,IF(N9=Data!$LW$6,Data!$MB$1,IF(N9=Data!$LW$7,Data!$MC$1, IF(N9=Data!$LW$8,Data!$MX$1)))))))</f>
        <v>0</v>
      </c>
      <c r="DU9" s="65" t="b">
        <f>IF(E9=Data!$MD$2,Data!$ME$2, IF(E9=Data!$MD$3,Data!$MF$2, IF(E9=Data!$MD$4,Data!$MG$2)))</f>
        <v>0</v>
      </c>
      <c r="DV9" s="54" t="str">
        <f>IF(E9="MS", Data!$AK$1, Data!$EJ$2)</f>
        <v>Special_Window</v>
      </c>
      <c r="DW9" s="65" t="str">
        <f>IF(OR(AND(S9="",P9&lt;&gt;"")),VLOOKUP(P9,Data!$FC$2:$FD$18,2,FALSE),"")</f>
        <v/>
      </c>
      <c r="DX9" s="65" t="str">
        <f>IF(OR(AND(T9="",P9&lt;&gt;"")),VLOOKUP(P9,Data!$FC$2:$FD$18,2,FALSE),"")</f>
        <v/>
      </c>
      <c r="DY9" s="65" t="str">
        <f>IF(OR(AND(U9="",P9&lt;&gt;"")),VLOOKUP(P9,Data!$FC$2:$FD$18,2,FALSE),"")</f>
        <v/>
      </c>
      <c r="DZ9" s="157" t="e">
        <f>VLOOKUP(N9,Data!$MK$2:$ML$8,2,FALSE)</f>
        <v>#N/A</v>
      </c>
      <c r="EA9" s="65" t="e">
        <f>VLOOKUP(O9,Data!$DO$4:$DO$157,1,FALSE)</f>
        <v>#N/A</v>
      </c>
      <c r="EB9" s="65" t="e">
        <f>EXACT(O9,EA9)</f>
        <v>#N/A</v>
      </c>
      <c r="EC9" s="54" t="str">
        <f>IF(O9="","",IFERROR(EB9,"ERROR"))</f>
        <v/>
      </c>
      <c r="ED9" s="157" t="str">
        <f>IF(D9="","OK", D9)</f>
        <v>OK</v>
      </c>
      <c r="EE9" s="169" t="b">
        <f>IF(P9=Data!$NN$3,Data!$NO$2, IF(P9=Data!$NN$4,Data!$NP$2, IF(P9=Data!$NN$5,Data!$NQ$2, IF(P9=Data!$NN$6,Data!$NR$2, IF(P9=Data!$NN$7,Data!$NS$2, IF(P9=Data!$NN$8,Data!$NT$2, IF(P9=Data!$NN$9,Data!$NU$2, IF(P9=Data!$NN$10,Data!$NV$2, IF(P9=Data!$NN$11,Data!$NW$2, IF(P9=Data!$NN$12,Data!$NX$2, IF(P9=Data!$NN$13,Data!$NY$2, IF(P9=Data!$NN$14,Data!$NZ$2, IF(P9=Data!$NN$15,Data!$OA$2, IF(P9=Data!$NN$16,Data!$OB$2, IF(P9=Data!$NN$17,Data!$OC$2, IF(P9=Data!$NN$18,Data!$OD$2, IF(P9=Data!$NN$19,Data!$OE$2, IF(P9=Data!$NN$20,Data!$OG$2))))))))))))))))))</f>
        <v>0</v>
      </c>
      <c r="EF9" s="169" t="b">
        <f>IF(P9=Data!$NN$3,Data!$NO$15,IF(P9=Data!$NN$4,Data!$NP$15,IF(P9=Data!$NN$5,Data!$NQ$15,IF(P9=Data!$NN$6,Data!$NR$15,IF(P9=Data!$NN$7,Data!$NS$15,IF(P9=Data!$NN$8,Data!$NT$15,IF(P9=Data!$NN$9,Data!$NU$15,IF(P9=Data!$NN$10,Data!$NV$15,IF(P9=Data!$NN$11,Data!$NW$15,IF(P9=Data!$NN$12,Data!$NX$15,IF(P9=Data!$NN$13,Data!$NY$15,IF(P9=Data!$NN$14,Data!$NZ$15,IF(N9=Data!$NN$22,Data!$OA$15,IF(N9=Data!$NN$23,Data!$OB$15,IF(P9=Data!$NN$19,Data!$OC$15, IF(P9=Data!$NN$20,Data!$OG$15))))))))))))))))</f>
        <v>0</v>
      </c>
      <c r="EG9" s="330" t="e">
        <f>MATCH(G9, Data!$CW$10:$CW$14,0)</f>
        <v>#N/A</v>
      </c>
      <c r="EH9" s="169" t="e">
        <f>MATCH(J9,Data!$CX$9:$DA$9,0)</f>
        <v>#N/A</v>
      </c>
      <c r="EI9" s="334" t="e">
        <f>INDEX(Data!$CX$10:$DA$14,Shutters!EG9,Shutters!EH9)</f>
        <v>#N/A</v>
      </c>
      <c r="EJ9" s="169" t="str">
        <f>IF(SUM(--ISNUMBER(SEARCH({"combo","Combo","COMBO"}, B26))),"Yes","No")</f>
        <v>No</v>
      </c>
      <c r="EK9" s="169" t="str">
        <f>IF(SUM(--ISNUMBER(SEARCH({"combo","Combo","COMBO"}, F26))),"Yes","No")</f>
        <v>No</v>
      </c>
      <c r="EL9" s="169" t="str">
        <f>IF(COUNTIF(EJ9:EK9,$EL$7),"Yes","No")</f>
        <v>No</v>
      </c>
      <c r="EM9" s="157">
        <f>IF(EL9=$EL$7,F9*2,1)</f>
        <v>1</v>
      </c>
      <c r="EN9" s="157" t="e">
        <f>IF(E9="MS",C9, (C9-CS9)/F9)</f>
        <v>#DIV/0!</v>
      </c>
      <c r="EO9" s="169" t="str">
        <f>IF(G9="","",IF(OR(AND(G9="Fauxwood Eco",CT9&gt;650)),"Yes","No"))</f>
        <v/>
      </c>
      <c r="EP9" s="330" t="str">
        <f>IF(G9="","",IF(OR(AND(G9="Fauxwood Eco Air",CT9&gt;950)),"Yes","No"))</f>
        <v/>
      </c>
      <c r="EQ9" s="330" t="str">
        <f>IF(G9="","",IF(OR(AND(G9="Fauxwood Eco Elite",CT9&gt;650)),"Yes","No"))</f>
        <v/>
      </c>
      <c r="ER9" s="169" t="str">
        <f>IF(G9="","",IF(OR(AND(G9="Fauxwood Night",CT9&gt;650)),"Yes","No"))</f>
        <v/>
      </c>
      <c r="ES9" s="169" t="str">
        <f>IF(G9="","",IF(OR(AND(G9="Timber Eco",CT9&gt;950)),"Yes","No"))</f>
        <v/>
      </c>
      <c r="ET9" s="169" t="str">
        <f>IF(G9="","",IF(OR(AND(G9="Timber Eco",CT9&gt;750,EL9=$EL$7)),"Yes","No"))</f>
        <v/>
      </c>
      <c r="EU9" s="264" t="str">
        <f>IF(COUNTIF(EO9:ET9,$EL$7),"Yes","No")</f>
        <v>No</v>
      </c>
      <c r="EV9" s="330" t="e">
        <f>MATCH(G9,Data!$FH$18:$FL$18,0)</f>
        <v>#N/A</v>
      </c>
      <c r="EW9" s="169" t="e">
        <f>MATCH(N9,Data!$FG$19:$FG$25,0)</f>
        <v>#N/A</v>
      </c>
      <c r="EX9" s="330" t="e">
        <f>INDEX(Data!$FH$19:$FL$25,Shutters!EW9,Shutters!EV9)</f>
        <v>#N/A</v>
      </c>
    </row>
    <row r="10" spans="1:154" ht="36.75" customHeight="1">
      <c r="A10" s="51">
        <v>2</v>
      </c>
      <c r="B10" s="13"/>
      <c r="C10" s="14"/>
      <c r="D10" s="14"/>
      <c r="E10" s="10"/>
      <c r="F10" s="10"/>
      <c r="G10" s="13"/>
      <c r="H10" s="699"/>
      <c r="I10" s="729"/>
      <c r="J10" s="14"/>
      <c r="K10" s="144" t="str">
        <f t="shared" ref="K10:K23" si="11">IF(G10="","",EU10)</f>
        <v/>
      </c>
      <c r="L10" s="15"/>
      <c r="M10" s="15"/>
      <c r="N10" s="15"/>
      <c r="O10" s="15"/>
      <c r="P10" s="565"/>
      <c r="Q10" s="565"/>
      <c r="R10" s="13"/>
      <c r="S10" s="13"/>
      <c r="T10" s="13"/>
      <c r="U10" s="13"/>
      <c r="V10" s="15"/>
      <c r="W10" s="15"/>
      <c r="X10" s="16"/>
      <c r="Y10" s="16"/>
      <c r="Z10" s="14"/>
      <c r="AA10" s="14"/>
      <c r="AB10" s="14"/>
      <c r="AC10" s="18"/>
      <c r="AD10" s="164" t="str">
        <f t="shared" si="0"/>
        <v/>
      </c>
      <c r="AE10" s="229"/>
      <c r="AF10" s="230"/>
      <c r="AU10" s="108" t="str">
        <f t="shared" ref="AU10:AU23" si="12">IF(G10="Fauxwood Eco",BT10+BX10+BY10,IF(G10="Fauxwood Eco Air",BT10+BX10+BY10,IF(G10="Fauxwood Eco Elite",BT10+BX10+BY10, IF(G10="Fauxwood Night",BT10+BX10+BY10,IF(G10="Timber Eco",BW10+BX10+BY10,"")))))</f>
        <v/>
      </c>
      <c r="AV10" s="65" t="e">
        <f t="shared" ref="AV10:AV23" si="13">IF(OR(AND(W10="",DZ10="Yes")), "Yes","No")</f>
        <v>#N/A</v>
      </c>
      <c r="AW10" s="169" t="e">
        <f>VLOOKUP(P10,Data!$MI$2:$MJ$4,2,FALSE)</f>
        <v>#N/A</v>
      </c>
      <c r="AX10" s="169" t="e">
        <f t="shared" ref="AX10:AX23" si="14">IF(OR(AND(E10="IN",AW10="Yes")), "Yes","No")</f>
        <v>#N/A</v>
      </c>
      <c r="AY10" s="169" t="e">
        <f>VLOOKUP(N10,Data!$BI$24:$BJ$30,2,FALSE)</f>
        <v>#N/A</v>
      </c>
      <c r="AZ10" s="155" t="b">
        <f>IF(G10=Data!$BO$2,Data!$BS$2, IF(Shutters!G10=Data!$BP$2,Data!$BT$2, IF(Shutters!G10=Data!$BQ$2,Data!$BU$2)))</f>
        <v>0</v>
      </c>
      <c r="BA10" s="340" t="str">
        <f t="shared" ref="BA10:BA23" si="15">IF(OR(AND(D10&gt;1500,G10="Fauxwood Eco",L10=""), AND(D10&gt;1500,G10="Fauxwood Night",L10=""), AND(D10&gt;1500,G10="Fauxwood Eco Air",L10=""),AND(D10&gt;1500,G10="Fauxwood Eco Elite",L10=""), AND(D10&gt;1800,G10="Timber Eco",L10="")), "Yes","No")</f>
        <v>No</v>
      </c>
      <c r="BB10" s="155" t="e">
        <f t="shared" ref="BB10:BB23" si="16">IF(E10="MS",C10*1,C10/F10)</f>
        <v>#DIV/0!</v>
      </c>
      <c r="BC10" s="340" t="e">
        <f t="shared" ref="BC10:BC23" si="17">IF(OR(AND(BB10&gt;650,G10="Fauxwood Eco"), AND(BB10&gt;650,G10="Fauxwood Night"), AND(BB10&gt;650,G10="Fauxwood Eco Air"), AND(BB10&gt;650,G10="Fauxwood Eco Elite"), AND(BB10&gt;950,G10="Timber Eco")), "Yes","No")</f>
        <v>#DIV/0!</v>
      </c>
      <c r="BD10" s="155" t="e">
        <f t="shared" si="1"/>
        <v>#DIV/0!</v>
      </c>
      <c r="BE10" s="340" t="str">
        <f t="shared" ref="BE10:BE23" si="18">IF(OR(AND(D10&gt;2600,G10="Fauxwood Eco"),AND(D10&gt;2600,G10="Fauxwood Night"), AND(D10&gt;2600,G10="Fauxwood Eco Air"),AND(D10&gt;2600,G10="Fauxwood Eco Elite"),AND(D10&gt;3000,G10="Timber Eco")), "Yes","No")</f>
        <v>No</v>
      </c>
      <c r="BF10" s="155" t="str">
        <f t="shared" ref="BF10:BF23" si="19">IF(OR(AND(C10&gt;0,V10="")), "Required","NotRequired")</f>
        <v>NotRequired</v>
      </c>
      <c r="BG10" s="155" t="b">
        <f>IF(G10=Data!$BO$2,Data!$CM$2, IF(Shutters!G10=Data!$BP$2,Data!$CN$2, IF(Shutters!G10=Data!$BQ$2,Data!$CO$2)))</f>
        <v>0</v>
      </c>
      <c r="BH10" s="155" t="e">
        <f t="shared" ref="BH10:BH23" si="20">IF(OR(AND(AZ10="FauxwoodY",BC10="Yes")), "Highlight","NoHighlight")</f>
        <v>#DIV/0!</v>
      </c>
      <c r="BI10" s="156" t="str">
        <f t="shared" si="2"/>
        <v>NoHighlight</v>
      </c>
      <c r="BJ10" s="340" t="str">
        <f t="shared" ref="BJ10:BJ23" si="21">IF(OR(AND(J10="89mm",G10="Fauxwood Eco"),AND(J10="89mm",G10="Fauxwood Eco Elite")),"FauxwoodRP","FauxwoodRPNo")</f>
        <v>FauxwoodRPNo</v>
      </c>
      <c r="BK10" s="156" t="str">
        <f>IF(SUM(--ISNUMBER( SEARCH({"t","T"},O10))),"Yes","No")</f>
        <v>No</v>
      </c>
      <c r="BL10" s="156" t="str">
        <f t="shared" ref="BL10:BL23" si="22">IF(OR(AND(Y10&gt;0,Z10="")), "Error","OK")</f>
        <v>OK</v>
      </c>
      <c r="BM10" s="156" t="str">
        <f t="shared" ref="BM10:BM23" si="23">IF(OR(AND(Y10&gt;1,AA10="")), "Error","OK")</f>
        <v>OK</v>
      </c>
      <c r="BN10" s="156" t="str">
        <f t="shared" ref="BN10:BN23" si="24">IF(OR(AND(Y10&gt;2,AB10="")), "Error","OK")</f>
        <v>OK</v>
      </c>
      <c r="BO10" s="156" t="e">
        <f>IF(OR(AND(F10&gt;1,#REF!="L",#REF!="l"),AND(F10&gt;1,#REF!="R",#REF!="r"),AND(F10&gt;2,#REF!="LR",#REF!="lr")), "Error","OK")</f>
        <v>#REF!</v>
      </c>
      <c r="BP10" s="156" t="str">
        <f t="shared" si="3"/>
        <v>FauxwoodAINo</v>
      </c>
      <c r="BQ10" s="156" t="str">
        <f>IF(SUM(--ISNUMBER(SEARCH({"combo","Combo","COMBO"}, B27))),"Yes","No")</f>
        <v>No</v>
      </c>
      <c r="BR10" s="156" t="str">
        <f t="shared" ref="BR10:BR23" si="25">IF(OR(AND(BK10="Yes",BQ10="Yes")),"Yes","No")</f>
        <v>No</v>
      </c>
      <c r="BS10" s="156" t="str">
        <f>IF(SUM(--ISNUMBER( SEARCH({"c","C","b","B"},#REF!))),"Yes","No")</f>
        <v>No</v>
      </c>
      <c r="BT10" s="157">
        <f t="shared" si="4"/>
        <v>0</v>
      </c>
      <c r="BU10" s="169" t="str">
        <f>IF(N10=Data!$BI$3,Data!$DR$3,IF(N10=Data!$BI$4,Data!$DS$3,IF(N10=Data!$BI$5,Data!$DT$3,IF(N10=Data!$BI$6,Data!$DU$3,IF(N10=Data!$BI$7,Data!$DV$3, IF(N10=Data!$BI$8,Data!$DX$3, IF(N10=Data!$BI$9,Data!$DW$3, "")))))))</f>
        <v/>
      </c>
      <c r="BV10" s="169" t="str">
        <f>IF(N10=Data!$BI$3,Data!$DY$3,IF(N10=Data!$BI$4,Data!$DZ$3,IF(N10=Data!$BI$5,Data!$EA$3,IF(N10=Data!$BI$6,Data!$EB$3,IF(N10=Data!$BI$7,Data!$EC$3,IF(N10=Data!$BI$8,Data!$EE$3, IF(N10=Data!$BI$9,Data!$ED$3,"")))))))</f>
        <v/>
      </c>
      <c r="BW10" s="157">
        <f t="shared" si="5"/>
        <v>0</v>
      </c>
      <c r="BX10" s="157">
        <f t="shared" si="6"/>
        <v>0</v>
      </c>
      <c r="BY10" s="169" t="e">
        <f t="shared" ref="BY10:BY23" si="26">IF(C10/F10&gt;650,F10,0)</f>
        <v>#DIV/0!</v>
      </c>
      <c r="BZ10" s="330" t="b">
        <f>IF(G10=Data!$EU$2,Data!$ES$2,IF(G10=Data!$EU$3,Data!$ER$2, IF(G10=Data!$EU$5,Data!$ET$2, IF(G10=Data!$EU$4,Data!$EQ$2,IF(G10=Data!$EU$6,Data!$ER$2)))))</f>
        <v>0</v>
      </c>
      <c r="CA10" s="330" t="b">
        <f>IF(G10=Data!$EU$2,Data!$EW$2,IF(G10=Data!$EU$3,Data!$EX$2,IF(G10=Data!$EU$4,Data!$EY$2, IF(G10=Data!$EU$5,Data!$EY$2,IF(G10=Data!$EU$6,Data!$EX$2)))))</f>
        <v>0</v>
      </c>
      <c r="CB10" s="169" t="e">
        <f>VLOOKUP(M10,Data!$EJ$3:$EK$14,2,FALSE)</f>
        <v>#N/A</v>
      </c>
      <c r="CC10" s="169" t="str">
        <f>IF(J10="114mm",VLOOKUP(H10,Data!$FA$2:$FB$18,2,FALSE),"OK")</f>
        <v>OK</v>
      </c>
      <c r="CD10" s="169" t="e">
        <f t="shared" si="7"/>
        <v>#DIV/0!</v>
      </c>
      <c r="CE10" s="169" t="str">
        <f>IF(OR(AND(R10="",P10&lt;&gt;"")),VLOOKUP(P10,Data!$FC$2:$FD$18,2,FALSE),"")</f>
        <v/>
      </c>
      <c r="CF10" s="169" t="str">
        <f>IF(N10=Data!$BI$3,Data!$FJ$1,IF(N10=Data!$BI$4,Data!$FK$1,IF(N10=Data!$BI$5,Data!$FL$1,IF(N10=Data!$BI$6,Data!$FM$1,IF(N10=Data!$BI$7,Data!$FN$1, IF(N10=Data!$BI$8,Data!$FO$1, IF(N10=Data!$BI$9,Data!$FI$1, "")))))))</f>
        <v/>
      </c>
      <c r="CG10" s="169" t="str">
        <f>IF(SUM(--ISNUMBER(SEARCH({"z","Z"}, P10))),"Yes","No")</f>
        <v>No</v>
      </c>
      <c r="CH10" s="169" t="str">
        <f t="shared" si="8"/>
        <v>OK</v>
      </c>
      <c r="CI10" s="169">
        <f t="shared" ref="CI10:CI23" si="27">LEN(O10)</f>
        <v>0</v>
      </c>
      <c r="CJ10" s="169" t="e">
        <f>VLOOKUP(O10,Data!$DO$4:$DP$156,2,FALSE)</f>
        <v>#N/A</v>
      </c>
      <c r="CK10" s="169" t="e">
        <f t="shared" si="9"/>
        <v>#N/A</v>
      </c>
      <c r="CL10" s="157"/>
      <c r="CM10" s="157" t="s">
        <v>660</v>
      </c>
      <c r="CN10" s="157" t="str">
        <f>IF(COUNTIF(M9:M23,Data!EJ5),Data!EL5,"")</f>
        <v/>
      </c>
      <c r="CO10" s="344" t="str">
        <f t="shared" ref="CO10:CO23" si="28">IF(AND(OR(G10="Fauxwood Eco", G10="Fauxwood Night", G10="Fauxwood Eco Elite", G10="Fauxwood Eco Air", N10="Hinged",N10="Track Bi Fold")), "Error","OK")</f>
        <v>OK</v>
      </c>
      <c r="CP10" s="169" t="b">
        <f t="shared" ref="CP10:CP23" si="29">IF(N10="Hinged",50,IF(N10="Double Hinged",50,IF(N10="Track Bi Fold",0,IF(N10="Sliding",40,IF(N10="Fixed",0, IF(N10="Pivot Hinged",0))))))</f>
        <v>0</v>
      </c>
      <c r="CQ10" s="169">
        <f t="shared" ref="CQ10:CQ19" si="30">IF(E10="IN",1,IF(E10="OUT",1,0))</f>
        <v>0</v>
      </c>
      <c r="CR10" s="169">
        <f t="shared" ref="CR10:CR19" si="31">IF(P10="No Frame",0,IF(P10="Hanging Strip",0,1))</f>
        <v>1</v>
      </c>
      <c r="CS10" s="169">
        <f t="shared" ref="CS10:CS19" si="32">CP10*CQ10*CR10</f>
        <v>0</v>
      </c>
      <c r="CT10" s="157" t="e">
        <f t="shared" ref="CT10:CT23" si="33">IF(E10="MS",C10,IF(EL10=$EL$7,(C10-CS10)/EM10,(C10-CS10)/F10))</f>
        <v>#DIV/0!</v>
      </c>
      <c r="CU10" s="169" t="b">
        <f>IF(H10=Data!$BD$3,Data!$HC$2,IF(H10=Data!$BD$4,Data!$HM$2,IF(H10=Data!$BD$5,Data!$HF$2,IF(H10=Data!$BD$6,Data!$HB$2,IF(H10=Data!$BD$7,Data!$HD$2,IF(H10=Data!$BD$8,Data!$HJ$2,IF(H10=Data!$BD$9,Data!$HN$2,IF(H10=Data!$BD$10,Data!$HA$2,IF(H10=Data!$BD$11,Data!$HI$2)))))))))</f>
        <v>0</v>
      </c>
      <c r="CV10" s="276" t="b">
        <f>IF(H10=Data!$BE$3,Data!$HQ$2, IF(H10=Data!$BE$4,Data!$HP$2, IF(H10=Data!$BE$5,Data!$HR$2, IF(H10=Data!$BE$6,Data!$HO$2))))</f>
        <v>0</v>
      </c>
      <c r="CW10" s="330" t="b">
        <f>IF(H10=Data!$BH$3,Data!$HU$2, IF(H10=Data!$BH$4,Data!$HT$2, IF(H10=Data!$BH$5,Data!$HS$2)))</f>
        <v>0</v>
      </c>
      <c r="CX10" s="330" t="b">
        <f>IF(H10=Data!$BF$3,Data!$HQ$16, IF(H10=Data!$BF$4,Data!$HP$16, IF(H10=Data!$BF$5,Data!$HR$16, IF(H10=Data!$BF$6,Data!$HO$16))))</f>
        <v>0</v>
      </c>
      <c r="CY10" s="330" t="b">
        <f>IF(G10=Data!$BC$3,Shutters!CU10,IF(G10=Data!$BC$4,Shutters!CV10,IF(G10=Data!$BC$6,Shutters!CW10, IF(G10=Data!$BC$5, Shutters!CX10,IF(G10=Data!$BC$7,Shutters!CV10)))))</f>
        <v>0</v>
      </c>
      <c r="CZ10" s="157" t="e">
        <f>IF(OR(AND(L10&gt;0,#REF!="")), "Error","OK")</f>
        <v>#REF!</v>
      </c>
      <c r="DA10" s="169" t="e">
        <f>IF(COUNTIF(#REF!,Data!$CX$6),"Yes","")</f>
        <v>#REF!</v>
      </c>
      <c r="DB10" s="54" t="str">
        <f t="shared" ref="DB10:DB23" si="34">IF(AND(OR(G10="Fauxwood"),AND(K10="Yes")), "Yes","")</f>
        <v/>
      </c>
      <c r="DE10" s="54" t="str">
        <f>IF(N10=Data!$BI$5,"Yes",IF(N10=Data!$BI$6,"Yes","No"))</f>
        <v>No</v>
      </c>
      <c r="DF10" s="65" t="b">
        <f>IF(N10=Data!$BI$3,Data!$JB$2,IF(N10=Data!$BI$4,Data!$JC$2,IF(N10=Data!$BI$5,Data!$JD$2,IF(N10=Data!$BI$6,Data!$JE$2,IF(N10=Data!$BI$7,Data!$JF$2, IF(N10=Data!$BI$8,Data!$JA$2, IF(N10=Data!$BI$9,Data!$JG$2)))))))</f>
        <v>0</v>
      </c>
      <c r="DI10" s="65" t="e">
        <f>VLOOKUP(O10,Data!$DO$4:$DQ$156,3,FALSE)</f>
        <v>#N/A</v>
      </c>
      <c r="DJ10" s="54" t="e">
        <f t="shared" si="10"/>
        <v>#N/A</v>
      </c>
      <c r="DK10" s="54" t="e">
        <f t="shared" ref="DK10:DK22" si="35">IF(DJ10=0,"OK", "Layout Code &amp; T Post Quantity Issue")</f>
        <v>#N/A</v>
      </c>
      <c r="DL10" s="54" t="b">
        <f>IF(P10=Data!$BK$3,Data!$JH$2,IF(P10=Data!$BK$4,Data!$JI$2,IF(P10=Data!$BK$5,Data!$JJ$2,IF(P10=Data!$BK$6,Data!$JK$2,IF(P10=Data!$BK$7,Data!$JL$2,IF(P10=Data!$BK$8,Data!$JM$2,IF(P10=Data!$BK$9,Data!$JN$2,IF(P10=Data!$BK$10,Data!$JO$2,IF(P10=Data!$BK$11,Data!$JP$2,IF(P10=Data!$BK$12,Data!$JQ$2,IF(P10=Data!$BK$13,Data!$JR$2,IF(P10=Data!$BK$14,Data!$JS$2,IF(P10=Data!$BK$15,Data!$JT$2,IF(P10=Data!$BK$16,Data!$JU$2,IF(P10=Data!$BK$17,Data!$JV$2,IF(P10=Data!$BK$18,Data!$JW$2, IF(P10=Data!$BK$19,Data!$JX$2, IF(P10=Data!$BK$20,Data!$JY$2))))))))))))))))))</f>
        <v>0</v>
      </c>
      <c r="DN10" s="169" t="str">
        <f t="shared" ref="DN10:DN23" si="36">IF(COUNTIF(BL10:BN10,$DN$7),"Required","")</f>
        <v/>
      </c>
      <c r="DO10" s="169" t="e">
        <f t="shared" ref="DO10:DO23" si="37">IF(OR(AND(DK10="Layout Code &amp; T Post Quantity Issue"), AND(DN10="Required")),"Yes","No")</f>
        <v>#N/A</v>
      </c>
      <c r="DP10" s="169" t="str">
        <f t="shared" ref="DP10:DP23" si="38">IF(OR(AND(AA10="",Y10=2)), "Error","OK")</f>
        <v>OK</v>
      </c>
      <c r="DQ10" s="169" t="str">
        <f t="shared" ref="DQ10:DQ23" si="39">IF(OR(AND(Z10&lt;&gt;"",Y10&lt;1)), "Error","OK")</f>
        <v>OK</v>
      </c>
      <c r="DR10" s="169" t="str">
        <f t="shared" ref="DR10:DR23" si="40">IF(OR(AND(AA10&lt;&gt;"",Y10&lt;2)), "Error","OK")</f>
        <v>OK</v>
      </c>
      <c r="DS10" s="169" t="str">
        <f t="shared" ref="DS10:DS23" si="41">IF(OR(AND(AB10&lt;&gt;"",Y10&lt;3)), "Error","OK")</f>
        <v>OK</v>
      </c>
      <c r="DT10" s="65" t="b">
        <f>IF(N10=Data!$LW$2,Data!$LX$1,IF(N10=Data!$LW$3,Data!$LY$1,IF(N10=Data!$LW$4,Data!$LZ$1,IF(N10=Data!$LW$5,Data!$MA$1,IF(N10=Data!$LW$6,Data!$MB$1,IF(N10=Data!$LW$7,Data!$MC$1, IF(N10=Data!$LW$8,Data!$MX$1)))))))</f>
        <v>0</v>
      </c>
      <c r="DU10" s="65" t="b">
        <f>IF(E10=Data!$MD$2,Data!$ME$2, IF(E10=Data!$MD$3,Data!$MF$2, IF(E10=Data!$MD$4,Data!$MG$2)))</f>
        <v>0</v>
      </c>
      <c r="DV10" s="54" t="str">
        <f>IF(E10="MS", Data!$AK$1, Data!$EJ$2)</f>
        <v>Special_Window</v>
      </c>
      <c r="DW10" s="65" t="str">
        <f>IF(OR(AND(S10="",P10&lt;&gt;"")),VLOOKUP(P10,Data!$FC$2:$FD$18,2,FALSE),"")</f>
        <v/>
      </c>
      <c r="DX10" s="65" t="str">
        <f>IF(OR(AND(T10="",P10&lt;&gt;"")),VLOOKUP(P10,Data!$FC$2:$FD$18,2,FALSE),"")</f>
        <v/>
      </c>
      <c r="DY10" s="65" t="str">
        <f>IF(OR(AND(U10="",P10&lt;&gt;"")),VLOOKUP(P10,Data!$FC$2:$FD$18,2,FALSE),"")</f>
        <v/>
      </c>
      <c r="DZ10" s="157" t="e">
        <f>VLOOKUP(N10,Data!$MK$2:$ML$8,2,FALSE)</f>
        <v>#N/A</v>
      </c>
      <c r="EA10" s="65" t="e">
        <f>VLOOKUP(O10,Data!$DO$4:$DO$157,1,FALSE)</f>
        <v>#N/A</v>
      </c>
      <c r="EB10" s="65" t="e">
        <f t="shared" ref="EB10:EB23" si="42">EXACT(O10,EA10)</f>
        <v>#N/A</v>
      </c>
      <c r="EC10" s="54" t="str">
        <f t="shared" ref="EC10:EC23" si="43">IF(O10="","",IFERROR(EB10,"ERROR"))</f>
        <v/>
      </c>
      <c r="ED10" s="157" t="str">
        <f t="shared" ref="ED10:ED23" si="44">IF(D10="","OK", D10)</f>
        <v>OK</v>
      </c>
      <c r="EE10" s="169" t="b">
        <f>IF(P10=Data!$NN$3,Data!$NO$2, IF(P10=Data!$NN$4,Data!$NP$2, IF(P10=Data!$NN$5,Data!$NQ$2, IF(P10=Data!$NN$6,Data!$NR$2, IF(P10=Data!$NN$7,Data!$NS$2, IF(P10=Data!$NN$8,Data!$NT$2, IF(P10=Data!$NN$9,Data!$NU$2, IF(P10=Data!$NN$10,Data!$NV$2, IF(P10=Data!$NN$11,Data!$NW$2, IF(P10=Data!$NN$12,Data!$NX$2, IF(P10=Data!$NN$13,Data!$NY$2, IF(P10=Data!$NN$14,Data!$NZ$2, IF(P10=Data!$NN$15,Data!$OA$2, IF(P10=Data!$NN$16,Data!$OB$2, IF(P10=Data!$NN$17,Data!$OC$2, IF(P10=Data!$NN$18,Data!$OD$2, IF(P10=Data!$NN$19,Data!$OE$2, IF(P10=Data!$NN$20,Data!$OG$2))))))))))))))))))</f>
        <v>0</v>
      </c>
      <c r="EF10" s="169" t="b">
        <f>IF(P10=Data!$NN$3,Data!$NO$15,IF(P10=Data!$NN$4,Data!$NP$15,IF(P10=Data!$NN$5,Data!$NQ$15,IF(P10=Data!$NN$6,Data!$NR$15,IF(P10=Data!$NN$7,Data!$NS$15,IF(P10=Data!$NN$8,Data!$NT$15,IF(P10=Data!$NN$9,Data!$NU$15,IF(P10=Data!$NN$10,Data!$NV$15,IF(P10=Data!$NN$11,Data!$NW$15,IF(P10=Data!$NN$12,Data!$NX$15,IF(P10=Data!$NN$13,Data!$NY$15,IF(P10=Data!$NN$14,Data!$NZ$15,IF(N10=Data!$NN$22,Data!$OA$15,IF(N10=Data!$NN$23,Data!$OB$15,IF(P10=Data!$NN$19,Data!$OC$15, IF(P10=Data!$NN$20,Data!$OG$15))))))))))))))))</f>
        <v>0</v>
      </c>
      <c r="EG10" s="330" t="e">
        <f>MATCH(G10, Data!$CW$10:$CW$14,0)</f>
        <v>#N/A</v>
      </c>
      <c r="EH10" s="169" t="e">
        <f>MATCH(J10,Data!$CX$9:$DA$9,0)</f>
        <v>#N/A</v>
      </c>
      <c r="EI10" s="334" t="e">
        <f>INDEX(Data!$CX$10:$DA$14,Shutters!EG10,Shutters!EH10)</f>
        <v>#N/A</v>
      </c>
      <c r="EJ10" s="169" t="str">
        <f>IF(SUM(--ISNUMBER(SEARCH({"combo","Combo","COMBO"}, B27))),"Yes","No")</f>
        <v>No</v>
      </c>
      <c r="EK10" s="169" t="str">
        <f>IF(SUM(--ISNUMBER(SEARCH({"combo","Combo","COMBO"}, F27))),"Yes","No")</f>
        <v>No</v>
      </c>
      <c r="EL10" s="169" t="str">
        <f t="shared" ref="EL10:EL23" si="45">IF(COUNTIF(EJ10:EK10,$EL$7),"Yes","No")</f>
        <v>No</v>
      </c>
      <c r="EM10" s="157">
        <f t="shared" ref="EM10:EM23" si="46">IF(EL10=$EL$7,F10*2,1)</f>
        <v>1</v>
      </c>
      <c r="EN10" s="157" t="e">
        <f t="shared" ref="EN10:EN23" si="47">IF(E10="MS",C10, (C10-CS10)/F10)</f>
        <v>#DIV/0!</v>
      </c>
      <c r="EO10" s="169" t="str">
        <f t="shared" ref="EO10:EO23" si="48">IF(G10="","",IF(OR(AND(G10="Fauxwood Eco",CT10&gt;650)),"Yes","No"))</f>
        <v/>
      </c>
      <c r="EP10" s="330" t="str">
        <f t="shared" ref="EP10:EP23" si="49">IF(G10="","",IF(OR(AND(G10="Fauxwood Eco Air",CT10&gt;950)),"Yes","No"))</f>
        <v/>
      </c>
      <c r="EQ10" s="330" t="str">
        <f t="shared" ref="EQ10:EQ23" si="50">IF(G10="","",IF(OR(AND(G10="Fauxwood Eco Elite",CT10&gt;650)),"Yes","No"))</f>
        <v/>
      </c>
      <c r="ER10" s="169" t="str">
        <f t="shared" ref="ER10:ER23" si="51">IF(G10="","",IF(OR(AND(G10="Fauxwood Night",CT10&gt;650)),"Yes","No"))</f>
        <v/>
      </c>
      <c r="ES10" s="169" t="str">
        <f t="shared" ref="ES10:ES23" si="52">IF(G10="","",IF(OR(AND(G10="Timber Eco",CT10&gt;950)),"Yes","No"))</f>
        <v/>
      </c>
      <c r="ET10" s="169" t="str">
        <f t="shared" ref="ET10:ET23" si="53">IF(G10="","",IF(OR(AND(G10="Timber Eco",CT10&gt;750,EL10=$EL$7)),"Yes","No"))</f>
        <v/>
      </c>
      <c r="EU10" s="264" t="str">
        <f t="shared" ref="EU10:EU23" si="54">IF(COUNTIF(EO10:ET10,$EL$7),"Yes","No")</f>
        <v>No</v>
      </c>
      <c r="EV10" s="330" t="e">
        <f>MATCH(G10,Data!$FH$18:$FL$18,0)</f>
        <v>#N/A</v>
      </c>
      <c r="EW10" s="169" t="e">
        <f>MATCH(N10,Data!$FG$19:$FG$25,0)</f>
        <v>#N/A</v>
      </c>
      <c r="EX10" s="330" t="e">
        <f>INDEX(Data!$FH$19:$FL$25,Shutters!EW10,Shutters!EV10)</f>
        <v>#N/A</v>
      </c>
    </row>
    <row r="11" spans="1:154" ht="36.75" customHeight="1">
      <c r="A11" s="52">
        <v>3</v>
      </c>
      <c r="B11" s="17"/>
      <c r="C11" s="14"/>
      <c r="D11" s="14"/>
      <c r="E11" s="10"/>
      <c r="F11" s="10"/>
      <c r="G11" s="13"/>
      <c r="H11" s="699"/>
      <c r="I11" s="729"/>
      <c r="J11" s="14"/>
      <c r="K11" s="144" t="str">
        <f t="shared" si="11"/>
        <v/>
      </c>
      <c r="L11" s="15"/>
      <c r="M11" s="15"/>
      <c r="N11" s="15"/>
      <c r="O11" s="15"/>
      <c r="P11" s="565"/>
      <c r="Q11" s="565"/>
      <c r="R11" s="13"/>
      <c r="S11" s="13"/>
      <c r="T11" s="13"/>
      <c r="U11" s="13"/>
      <c r="V11" s="15"/>
      <c r="W11" s="15"/>
      <c r="X11" s="16"/>
      <c r="Y11" s="16"/>
      <c r="Z11" s="14"/>
      <c r="AA11" s="14"/>
      <c r="AB11" s="14"/>
      <c r="AC11" s="18"/>
      <c r="AD11" s="164" t="str">
        <f t="shared" si="0"/>
        <v/>
      </c>
      <c r="AE11" s="229"/>
      <c r="AF11" s="230"/>
      <c r="AU11" s="108" t="str">
        <f t="shared" si="12"/>
        <v/>
      </c>
      <c r="AV11" s="65" t="e">
        <f t="shared" si="13"/>
        <v>#N/A</v>
      </c>
      <c r="AW11" s="169" t="e">
        <f>VLOOKUP(P11,Data!$MI$2:$MJ$4,2,FALSE)</f>
        <v>#N/A</v>
      </c>
      <c r="AX11" s="169" t="e">
        <f t="shared" si="14"/>
        <v>#N/A</v>
      </c>
      <c r="AY11" s="169" t="e">
        <f>VLOOKUP(N11,Data!$BI$24:$BJ$30,2,FALSE)</f>
        <v>#N/A</v>
      </c>
      <c r="AZ11" s="155" t="b">
        <f>IF(G11=Data!$BO$2,Data!$BS$2, IF(Shutters!G11=Data!$BP$2,Data!$BT$2, IF(Shutters!G11=Data!$BQ$2,Data!$BU$2)))</f>
        <v>0</v>
      </c>
      <c r="BA11" s="340" t="str">
        <f t="shared" si="15"/>
        <v>No</v>
      </c>
      <c r="BB11" s="155" t="e">
        <f t="shared" si="16"/>
        <v>#DIV/0!</v>
      </c>
      <c r="BC11" s="340" t="e">
        <f t="shared" si="17"/>
        <v>#DIV/0!</v>
      </c>
      <c r="BD11" s="155" t="e">
        <f t="shared" si="1"/>
        <v>#DIV/0!</v>
      </c>
      <c r="BE11" s="340" t="str">
        <f t="shared" si="18"/>
        <v>No</v>
      </c>
      <c r="BF11" s="155" t="str">
        <f t="shared" si="19"/>
        <v>NotRequired</v>
      </c>
      <c r="BG11" s="155" t="b">
        <f>IF(G11=Data!$BO$2,Data!$CM$2, IF(Shutters!G11=Data!$BP$2,Data!$CN$2, IF(Shutters!G11=Data!$BQ$2,Data!$CO$2)))</f>
        <v>0</v>
      </c>
      <c r="BH11" s="155" t="e">
        <f t="shared" si="20"/>
        <v>#DIV/0!</v>
      </c>
      <c r="BI11" s="156" t="str">
        <f t="shared" si="2"/>
        <v>NoHighlight</v>
      </c>
      <c r="BJ11" s="340" t="str">
        <f t="shared" si="21"/>
        <v>FauxwoodRPNo</v>
      </c>
      <c r="BK11" s="156" t="str">
        <f>IF(SUM(--ISNUMBER( SEARCH({"t","T"},O11))),"Yes","No")</f>
        <v>No</v>
      </c>
      <c r="BL11" s="156" t="str">
        <f t="shared" si="22"/>
        <v>OK</v>
      </c>
      <c r="BM11" s="156" t="str">
        <f t="shared" si="23"/>
        <v>OK</v>
      </c>
      <c r="BN11" s="156" t="str">
        <f t="shared" si="24"/>
        <v>OK</v>
      </c>
      <c r="BO11" s="156" t="e">
        <f>IF(OR(AND(F11&gt;1,#REF!="L",#REF!="l"),AND(F11&gt;1,#REF!="R",#REF!="r"),AND(F11&gt;2,#REF!="LR",#REF!="lr")), "Error","OK")</f>
        <v>#REF!</v>
      </c>
      <c r="BP11" s="156" t="str">
        <f t="shared" si="3"/>
        <v>FauxwoodAINo</v>
      </c>
      <c r="BQ11" s="156" t="str">
        <f>IF(SUM(--ISNUMBER(SEARCH({"combo","Combo","COMBO"}, B28))),"Yes","No")</f>
        <v>No</v>
      </c>
      <c r="BR11" s="156" t="str">
        <f t="shared" si="25"/>
        <v>No</v>
      </c>
      <c r="BS11" s="156" t="str">
        <f>IF(SUM(--ISNUMBER( SEARCH({"c","C","b","B"},#REF!))),"Yes","No")</f>
        <v>No</v>
      </c>
      <c r="BT11" s="157">
        <f t="shared" si="4"/>
        <v>0</v>
      </c>
      <c r="BU11" s="169" t="str">
        <f>IF(N11=Data!$BI$3,Data!$DR$3,IF(N11=Data!$BI$4,Data!$DS$3,IF(N11=Data!$BI$5,Data!$DT$3,IF(N11=Data!$BI$6,Data!$DU$3,IF(N11=Data!$BI$7,Data!$DV$3, IF(N11=Data!$BI$8,Data!$DX$3, IF(N11=Data!$BI$9,Data!$DW$3, "")))))))</f>
        <v/>
      </c>
      <c r="BV11" s="169" t="str">
        <f>IF(N11=Data!$BI$3,Data!$DY$3,IF(N11=Data!$BI$4,Data!$DZ$3,IF(N11=Data!$BI$5,Data!$EA$3,IF(N11=Data!$BI$6,Data!$EB$3,IF(N11=Data!$BI$7,Data!$EC$3,IF(N11=Data!$BI$8,Data!$EE$3, IF(N11=Data!$BI$9,Data!$ED$3,"")))))))</f>
        <v/>
      </c>
      <c r="BW11" s="157">
        <f t="shared" si="5"/>
        <v>0</v>
      </c>
      <c r="BX11" s="157">
        <f t="shared" si="6"/>
        <v>0</v>
      </c>
      <c r="BY11" s="169" t="e">
        <f t="shared" si="26"/>
        <v>#DIV/0!</v>
      </c>
      <c r="BZ11" s="330" t="b">
        <f>IF(G11=Data!$EU$2,Data!$ES$2,IF(G11=Data!$EU$3,Data!$ER$2, IF(G11=Data!$EU$5,Data!$ET$2, IF(G11=Data!$EU$4,Data!$EQ$2,IF(G11=Data!$EU$6,Data!$ER$2)))))</f>
        <v>0</v>
      </c>
      <c r="CA11" s="330" t="b">
        <f>IF(G11=Data!$EU$2,Data!$EW$2,IF(G11=Data!$EU$3,Data!$EX$2,IF(G11=Data!$EU$4,Data!$EY$2, IF(G11=Data!$EU$5,Data!$EY$2,IF(G11=Data!$EU$6,Data!$EX$2)))))</f>
        <v>0</v>
      </c>
      <c r="CB11" s="169" t="e">
        <f>VLOOKUP(M11,Data!$EJ$3:$EK$14,2,FALSE)</f>
        <v>#N/A</v>
      </c>
      <c r="CC11" s="169" t="str">
        <f>IF(J11="114mm",VLOOKUP(H11,Data!$FA$2:$FB$18,2,FALSE),"OK")</f>
        <v>OK</v>
      </c>
      <c r="CD11" s="169" t="e">
        <f t="shared" si="7"/>
        <v>#DIV/0!</v>
      </c>
      <c r="CE11" s="169" t="str">
        <f>IF(OR(AND(R11="",P11&lt;&gt;"")),VLOOKUP(P11,Data!$FC$2:$FD$18,2,FALSE),"")</f>
        <v/>
      </c>
      <c r="CF11" s="169" t="str">
        <f>IF(N11=Data!$BI$3,Data!$FJ$1,IF(N11=Data!$BI$4,Data!$FK$1,IF(N11=Data!$BI$5,Data!$FL$1,IF(N11=Data!$BI$6,Data!$FM$1,IF(N11=Data!$BI$7,Data!$FN$1, IF(N11=Data!$BI$8,Data!$FO$1, IF(N11=Data!$BI$9,Data!$FI$1, "")))))))</f>
        <v/>
      </c>
      <c r="CG11" s="169" t="str">
        <f>IF(SUM(--ISNUMBER(SEARCH({"z","Z"}, P11))),"Yes","No")</f>
        <v>No</v>
      </c>
      <c r="CH11" s="169" t="str">
        <f t="shared" si="8"/>
        <v>OK</v>
      </c>
      <c r="CI11" s="169">
        <f t="shared" si="27"/>
        <v>0</v>
      </c>
      <c r="CJ11" s="169" t="e">
        <f>VLOOKUP(O11,Data!$DO$4:$DP$156,2,FALSE)</f>
        <v>#N/A</v>
      </c>
      <c r="CK11" s="169" t="e">
        <f t="shared" si="9"/>
        <v>#N/A</v>
      </c>
      <c r="CL11" s="157"/>
      <c r="CM11" s="157" t="s">
        <v>661</v>
      </c>
      <c r="CN11" s="157" t="str">
        <f>IF(COUNTIF(M9:M23,Data!EJ6)+COUNTIF(M9:M23,Data!EJ7)+COUNTIF(M9:M23,Data!EJ9)+COUNTIF(M9:M23,Data!EJ10)+COUNTIF(M9:M23,Data!EJ13),Data!EL6,"")</f>
        <v/>
      </c>
      <c r="CO11" s="344" t="str">
        <f t="shared" si="28"/>
        <v>OK</v>
      </c>
      <c r="CP11" s="169" t="b">
        <f t="shared" si="29"/>
        <v>0</v>
      </c>
      <c r="CQ11" s="169">
        <f t="shared" si="30"/>
        <v>0</v>
      </c>
      <c r="CR11" s="169">
        <f t="shared" si="31"/>
        <v>1</v>
      </c>
      <c r="CS11" s="169">
        <f t="shared" si="32"/>
        <v>0</v>
      </c>
      <c r="CT11" s="157" t="e">
        <f t="shared" si="33"/>
        <v>#DIV/0!</v>
      </c>
      <c r="CU11" s="169" t="b">
        <f>IF(H11=Data!$BD$3,Data!$HC$2,IF(H11=Data!$BD$4,Data!$HM$2,IF(H11=Data!$BD$5,Data!$HF$2,IF(H11=Data!$BD$6,Data!$HB$2,IF(H11=Data!$BD$7,Data!$HD$2,IF(H11=Data!$BD$8,Data!$HJ$2,IF(H11=Data!$BD$9,Data!$HN$2,IF(H11=Data!$BD$10,Data!$HA$2,IF(H11=Data!$BD$11,Data!$HI$2)))))))))</f>
        <v>0</v>
      </c>
      <c r="CV11" s="276" t="b">
        <f>IF(H11=Data!$BE$3,Data!$HQ$2, IF(H11=Data!$BE$4,Data!$HP$2, IF(H11=Data!$BE$5,Data!$HR$2, IF(H11=Data!$BE$6,Data!$HO$2))))</f>
        <v>0</v>
      </c>
      <c r="CW11" s="330" t="b">
        <f>IF(H11=Data!$BH$3,Data!$HU$2, IF(H11=Data!$BH$4,Data!$HT$2, IF(H11=Data!$BH$5,Data!$HS$2)))</f>
        <v>0</v>
      </c>
      <c r="CX11" s="330" t="b">
        <f>IF(H11=Data!$BF$3,Data!$HQ$16, IF(H11=Data!$BF$4,Data!$HP$16, IF(H11=Data!$BF$5,Data!$HR$16, IF(H11=Data!$BF$6,Data!$HO$16))))</f>
        <v>0</v>
      </c>
      <c r="CY11" s="330" t="b">
        <f>IF(G11=Data!$BC$3,Shutters!CU11,IF(G11=Data!$BC$4,Shutters!CV11,IF(G11=Data!$BC$6,Shutters!CW11, IF(G11=Data!$BC$5, Shutters!CX11,IF(G11=Data!$BC$7,Shutters!CV11)))))</f>
        <v>0</v>
      </c>
      <c r="CZ11" s="157" t="e">
        <f>IF(OR(AND(L11&gt;0,#REF!="")), "Error","OK")</f>
        <v>#REF!</v>
      </c>
      <c r="DA11" s="169" t="e">
        <f>IF(COUNTIF(#REF!,Data!$CX$6),"Yes","")</f>
        <v>#REF!</v>
      </c>
      <c r="DB11" s="54" t="str">
        <f t="shared" si="34"/>
        <v/>
      </c>
      <c r="DE11" s="54" t="str">
        <f>IF(N11=Data!$BI$5,"Yes",IF(N11=Data!$BI$6,"Yes","No"))</f>
        <v>No</v>
      </c>
      <c r="DF11" s="65" t="b">
        <f>IF(N11=Data!$BI$3,Data!$JB$2,IF(N11=Data!$BI$4,Data!$JC$2,IF(N11=Data!$BI$5,Data!$JD$2,IF(N11=Data!$BI$6,Data!$JE$2,IF(N11=Data!$BI$7,Data!$JF$2, IF(N11=Data!$BI$8,Data!$JA$2, IF(N11=Data!$BI$9,Data!$JG$2)))))))</f>
        <v>0</v>
      </c>
      <c r="DI11" s="65" t="e">
        <f>VLOOKUP(O11,Data!$DO$4:$DQ$156,3,FALSE)</f>
        <v>#N/A</v>
      </c>
      <c r="DJ11" s="54" t="e">
        <f t="shared" si="10"/>
        <v>#N/A</v>
      </c>
      <c r="DK11" s="54" t="e">
        <f t="shared" si="35"/>
        <v>#N/A</v>
      </c>
      <c r="DL11" s="54" t="b">
        <f>IF(P11=Data!$BK$3,Data!$JH$2,IF(P11=Data!$BK$4,Data!$JI$2,IF(P11=Data!$BK$5,Data!$JJ$2,IF(P11=Data!$BK$6,Data!$JK$2,IF(P11=Data!$BK$7,Data!$JL$2,IF(P11=Data!$BK$8,Data!$JM$2,IF(P11=Data!$BK$9,Data!$JN$2,IF(P11=Data!$BK$10,Data!$JO$2,IF(P11=Data!$BK$11,Data!$JP$2,IF(P11=Data!$BK$12,Data!$JQ$2,IF(P11=Data!$BK$13,Data!$JR$2,IF(P11=Data!$BK$14,Data!$JS$2,IF(P11=Data!$BK$15,Data!$JT$2,IF(P11=Data!$BK$16,Data!$JU$2,IF(P11=Data!$BK$17,Data!$JV$2,IF(P11=Data!$BK$18,Data!$JW$2, IF(P11=Data!$BK$19,Data!$JX$2, IF(P11=Data!$BK$20,Data!$JY$2))))))))))))))))))</f>
        <v>0</v>
      </c>
      <c r="DN11" s="169" t="str">
        <f t="shared" si="36"/>
        <v/>
      </c>
      <c r="DO11" s="169" t="e">
        <f t="shared" si="37"/>
        <v>#N/A</v>
      </c>
      <c r="DP11" s="169" t="str">
        <f t="shared" si="38"/>
        <v>OK</v>
      </c>
      <c r="DQ11" s="169" t="str">
        <f t="shared" si="39"/>
        <v>OK</v>
      </c>
      <c r="DR11" s="169" t="str">
        <f t="shared" si="40"/>
        <v>OK</v>
      </c>
      <c r="DS11" s="169" t="str">
        <f t="shared" si="41"/>
        <v>OK</v>
      </c>
      <c r="DT11" s="65" t="b">
        <f>IF(N11=Data!$LW$2,Data!$LX$1,IF(N11=Data!$LW$3,Data!$LY$1,IF(N11=Data!$LW$4,Data!$LZ$1,IF(N11=Data!$LW$5,Data!$MA$1,IF(N11=Data!$LW$6,Data!$MB$1,IF(N11=Data!$LW$7,Data!$MC$1, IF(N11=Data!$LW$8,Data!$MX$1)))))))</f>
        <v>0</v>
      </c>
      <c r="DU11" s="65" t="b">
        <f>IF(E11=Data!$MD$2,Data!$ME$2, IF(E11=Data!$MD$3,Data!$MF$2, IF(E11=Data!$MD$4,Data!$MG$2)))</f>
        <v>0</v>
      </c>
      <c r="DV11" s="54" t="str">
        <f>IF(E11="MS", Data!$AK$1, Data!$EJ$2)</f>
        <v>Special_Window</v>
      </c>
      <c r="DW11" s="65" t="str">
        <f>IF(OR(AND(S11="",P11&lt;&gt;"")),VLOOKUP(P11,Data!$FC$2:$FD$18,2,FALSE),"")</f>
        <v/>
      </c>
      <c r="DX11" s="65" t="str">
        <f>IF(OR(AND(T11="",P11&lt;&gt;"")),VLOOKUP(P11,Data!$FC$2:$FD$18,2,FALSE),"")</f>
        <v/>
      </c>
      <c r="DY11" s="65" t="str">
        <f>IF(OR(AND(U11="",P11&lt;&gt;"")),VLOOKUP(P11,Data!$FC$2:$FD$18,2,FALSE),"")</f>
        <v/>
      </c>
      <c r="DZ11" s="157" t="e">
        <f>VLOOKUP(N11,Data!$MK$2:$ML$8,2,FALSE)</f>
        <v>#N/A</v>
      </c>
      <c r="EA11" s="65" t="e">
        <f>VLOOKUP(O11,Data!$DO$4:$DO$157,1,FALSE)</f>
        <v>#N/A</v>
      </c>
      <c r="EB11" s="65" t="e">
        <f t="shared" si="42"/>
        <v>#N/A</v>
      </c>
      <c r="EC11" s="54" t="str">
        <f t="shared" si="43"/>
        <v/>
      </c>
      <c r="ED11" s="157" t="str">
        <f t="shared" si="44"/>
        <v>OK</v>
      </c>
      <c r="EE11" s="169" t="b">
        <f>IF(P11=Data!$NN$3,Data!$NO$2, IF(P11=Data!$NN$4,Data!$NP$2, IF(P11=Data!$NN$5,Data!$NQ$2, IF(P11=Data!$NN$6,Data!$NR$2, IF(P11=Data!$NN$7,Data!$NS$2, IF(P11=Data!$NN$8,Data!$NT$2, IF(P11=Data!$NN$9,Data!$NU$2, IF(P11=Data!$NN$10,Data!$NV$2, IF(P11=Data!$NN$11,Data!$NW$2, IF(P11=Data!$NN$12,Data!$NX$2, IF(P11=Data!$NN$13,Data!$NY$2, IF(P11=Data!$NN$14,Data!$NZ$2, IF(P11=Data!$NN$15,Data!$OA$2, IF(P11=Data!$NN$16,Data!$OB$2, IF(P11=Data!$NN$17,Data!$OC$2, IF(P11=Data!$NN$18,Data!$OD$2, IF(P11=Data!$NN$19,Data!$OE$2, IF(P11=Data!$NN$20,Data!$OG$2))))))))))))))))))</f>
        <v>0</v>
      </c>
      <c r="EF11" s="169" t="b">
        <f>IF(P11=Data!$NN$3,Data!$NO$15,IF(P11=Data!$NN$4,Data!$NP$15,IF(P11=Data!$NN$5,Data!$NQ$15,IF(P11=Data!$NN$6,Data!$NR$15,IF(P11=Data!$NN$7,Data!$NS$15,IF(P11=Data!$NN$8,Data!$NT$15,IF(P11=Data!$NN$9,Data!$NU$15,IF(P11=Data!$NN$10,Data!$NV$15,IF(P11=Data!$NN$11,Data!$NW$15,IF(P11=Data!$NN$12,Data!$NX$15,IF(P11=Data!$NN$13,Data!$NY$15,IF(P11=Data!$NN$14,Data!$NZ$15,IF(N11=Data!$NN$22,Data!$OA$15,IF(N11=Data!$NN$23,Data!$OB$15,IF(P11=Data!$NN$19,Data!$OC$15, IF(P11=Data!$NN$20,Data!$OG$15))))))))))))))))</f>
        <v>0</v>
      </c>
      <c r="EG11" s="330" t="e">
        <f>MATCH(G11, Data!$CW$10:$CW$14,0)</f>
        <v>#N/A</v>
      </c>
      <c r="EH11" s="169" t="e">
        <f>MATCH(J11,Data!$CX$9:$DA$9,0)</f>
        <v>#N/A</v>
      </c>
      <c r="EI11" s="334" t="e">
        <f>INDEX(Data!$CX$10:$DA$14,Shutters!EG11,Shutters!EH11)</f>
        <v>#N/A</v>
      </c>
      <c r="EJ11" s="169" t="str">
        <f>IF(SUM(--ISNUMBER(SEARCH({"combo","Combo","COMBO"}, B28))),"Yes","No")</f>
        <v>No</v>
      </c>
      <c r="EK11" s="169" t="str">
        <f>IF(SUM(--ISNUMBER(SEARCH({"combo","Combo","COMBO"}, F28))),"Yes","No")</f>
        <v>No</v>
      </c>
      <c r="EL11" s="169" t="str">
        <f t="shared" si="45"/>
        <v>No</v>
      </c>
      <c r="EM11" s="157">
        <f t="shared" si="46"/>
        <v>1</v>
      </c>
      <c r="EN11" s="157" t="e">
        <f t="shared" si="47"/>
        <v>#DIV/0!</v>
      </c>
      <c r="EO11" s="169" t="str">
        <f t="shared" si="48"/>
        <v/>
      </c>
      <c r="EP11" s="330" t="str">
        <f t="shared" si="49"/>
        <v/>
      </c>
      <c r="EQ11" s="330" t="str">
        <f t="shared" si="50"/>
        <v/>
      </c>
      <c r="ER11" s="169" t="str">
        <f t="shared" si="51"/>
        <v/>
      </c>
      <c r="ES11" s="169" t="str">
        <f t="shared" si="52"/>
        <v/>
      </c>
      <c r="ET11" s="169" t="str">
        <f t="shared" si="53"/>
        <v/>
      </c>
      <c r="EU11" s="264" t="str">
        <f t="shared" si="54"/>
        <v>No</v>
      </c>
      <c r="EV11" s="330" t="e">
        <f>MATCH(G11,Data!$FH$18:$FL$18,0)</f>
        <v>#N/A</v>
      </c>
      <c r="EW11" s="169" t="e">
        <f>MATCH(N11,Data!$FG$19:$FG$25,0)</f>
        <v>#N/A</v>
      </c>
      <c r="EX11" s="330" t="e">
        <f>INDEX(Data!$FH$19:$FL$25,Shutters!EW11,Shutters!EV11)</f>
        <v>#N/A</v>
      </c>
    </row>
    <row r="12" spans="1:154" ht="36.75" customHeight="1">
      <c r="A12" s="52">
        <v>4</v>
      </c>
      <c r="B12" s="17"/>
      <c r="C12" s="14"/>
      <c r="D12" s="14"/>
      <c r="E12" s="10"/>
      <c r="F12" s="10"/>
      <c r="G12" s="13"/>
      <c r="H12" s="699"/>
      <c r="I12" s="729"/>
      <c r="J12" s="14"/>
      <c r="K12" s="144" t="str">
        <f t="shared" si="11"/>
        <v/>
      </c>
      <c r="L12" s="15"/>
      <c r="M12" s="15"/>
      <c r="N12" s="15"/>
      <c r="O12" s="15"/>
      <c r="P12" s="565"/>
      <c r="Q12" s="565"/>
      <c r="R12" s="13"/>
      <c r="S12" s="13"/>
      <c r="T12" s="13"/>
      <c r="U12" s="13"/>
      <c r="V12" s="15"/>
      <c r="W12" s="15"/>
      <c r="X12" s="16"/>
      <c r="Y12" s="16"/>
      <c r="Z12" s="14"/>
      <c r="AA12" s="14"/>
      <c r="AB12" s="14"/>
      <c r="AC12" s="18"/>
      <c r="AD12" s="164" t="str">
        <f t="shared" si="0"/>
        <v/>
      </c>
      <c r="AE12" s="229"/>
      <c r="AF12" s="230"/>
      <c r="AU12" s="108" t="str">
        <f t="shared" si="12"/>
        <v/>
      </c>
      <c r="AV12" s="65" t="e">
        <f t="shared" si="13"/>
        <v>#N/A</v>
      </c>
      <c r="AW12" s="169" t="e">
        <f>VLOOKUP(P12,Data!$MI$2:$MJ$4,2,FALSE)</f>
        <v>#N/A</v>
      </c>
      <c r="AX12" s="169" t="e">
        <f t="shared" si="14"/>
        <v>#N/A</v>
      </c>
      <c r="AY12" s="169" t="e">
        <f>VLOOKUP(N12,Data!$BI$24:$BJ$30,2,FALSE)</f>
        <v>#N/A</v>
      </c>
      <c r="AZ12" s="155" t="b">
        <f>IF(G12=Data!$BO$2,Data!$BS$2, IF(Shutters!G12=Data!$BP$2,Data!$BT$2, IF(Shutters!G12=Data!$BQ$2,Data!$BU$2)))</f>
        <v>0</v>
      </c>
      <c r="BA12" s="340" t="str">
        <f t="shared" si="15"/>
        <v>No</v>
      </c>
      <c r="BB12" s="155" t="e">
        <f t="shared" si="16"/>
        <v>#DIV/0!</v>
      </c>
      <c r="BC12" s="340" t="e">
        <f t="shared" si="17"/>
        <v>#DIV/0!</v>
      </c>
      <c r="BD12" s="155" t="e">
        <f t="shared" si="1"/>
        <v>#DIV/0!</v>
      </c>
      <c r="BE12" s="340" t="str">
        <f t="shared" si="18"/>
        <v>No</v>
      </c>
      <c r="BF12" s="155" t="str">
        <f t="shared" si="19"/>
        <v>NotRequired</v>
      </c>
      <c r="BG12" s="155" t="b">
        <f>IF(G12=Data!$BO$2,Data!$CM$2, IF(Shutters!G12=Data!$BP$2,Data!$CN$2, IF(Shutters!G12=Data!$BQ$2,Data!$CO$2)))</f>
        <v>0</v>
      </c>
      <c r="BH12" s="155" t="e">
        <f t="shared" si="20"/>
        <v>#DIV/0!</v>
      </c>
      <c r="BI12" s="156" t="str">
        <f t="shared" si="2"/>
        <v>NoHighlight</v>
      </c>
      <c r="BJ12" s="340" t="str">
        <f t="shared" si="21"/>
        <v>FauxwoodRPNo</v>
      </c>
      <c r="BK12" s="156" t="str">
        <f>IF(SUM(--ISNUMBER( SEARCH({"t","T"},O12))),"Yes","No")</f>
        <v>No</v>
      </c>
      <c r="BL12" s="156" t="str">
        <f t="shared" si="22"/>
        <v>OK</v>
      </c>
      <c r="BM12" s="156" t="str">
        <f t="shared" si="23"/>
        <v>OK</v>
      </c>
      <c r="BN12" s="156" t="str">
        <f t="shared" si="24"/>
        <v>OK</v>
      </c>
      <c r="BO12" s="156" t="e">
        <f>IF(OR(AND(F12&gt;1,#REF!="L",#REF!="l"),AND(F12&gt;1,#REF!="R",#REF!="r"),AND(F12&gt;2,#REF!="LR",#REF!="lr")), "Error","OK")</f>
        <v>#REF!</v>
      </c>
      <c r="BP12" s="156" t="str">
        <f t="shared" si="3"/>
        <v>FauxwoodAINo</v>
      </c>
      <c r="BQ12" s="156" t="str">
        <f>IF(SUM(--ISNUMBER(SEARCH({"combo","Combo","COMBO"}, B29))),"Yes","No")</f>
        <v>No</v>
      </c>
      <c r="BR12" s="156" t="str">
        <f t="shared" si="25"/>
        <v>No</v>
      </c>
      <c r="BS12" s="156" t="str">
        <f>IF(SUM(--ISNUMBER( SEARCH({"c","C","b","B"},#REF!))),"Yes","No")</f>
        <v>No</v>
      </c>
      <c r="BT12" s="157">
        <f t="shared" si="4"/>
        <v>0</v>
      </c>
      <c r="BU12" s="169" t="str">
        <f>IF(N12=Data!$BI$3,Data!$DR$3,IF(N12=Data!$BI$4,Data!$DS$3,IF(N12=Data!$BI$5,Data!$DT$3,IF(N12=Data!$BI$6,Data!$DU$3,IF(N12=Data!$BI$7,Data!$DV$3, IF(N12=Data!$BI$8,Data!$DX$3, IF(N12=Data!$BI$9,Data!$DW$3, "")))))))</f>
        <v/>
      </c>
      <c r="BV12" s="169" t="str">
        <f>IF(N12=Data!$BI$3,Data!$DY$3,IF(N12=Data!$BI$4,Data!$DZ$3,IF(N12=Data!$BI$5,Data!$EA$3,IF(N12=Data!$BI$6,Data!$EB$3,IF(N12=Data!$BI$7,Data!$EC$3,IF(N12=Data!$BI$8,Data!$EE$3, IF(N12=Data!$BI$9,Data!$ED$3,"")))))))</f>
        <v/>
      </c>
      <c r="BW12" s="157">
        <f t="shared" si="5"/>
        <v>0</v>
      </c>
      <c r="BX12" s="157">
        <f t="shared" si="6"/>
        <v>0</v>
      </c>
      <c r="BY12" s="169" t="e">
        <f t="shared" si="26"/>
        <v>#DIV/0!</v>
      </c>
      <c r="BZ12" s="330" t="b">
        <f>IF(G12=Data!$EU$2,Data!$ES$2,IF(G12=Data!$EU$3,Data!$ER$2, IF(G12=Data!$EU$5,Data!$ET$2, IF(G12=Data!$EU$4,Data!$EQ$2,IF(G12=Data!$EU$6,Data!$ER$2)))))</f>
        <v>0</v>
      </c>
      <c r="CA12" s="330" t="b">
        <f>IF(G12=Data!$EU$2,Data!$EW$2,IF(G12=Data!$EU$3,Data!$EX$2,IF(G12=Data!$EU$4,Data!$EY$2, IF(G12=Data!$EU$5,Data!$EY$2,IF(G12=Data!$EU$6,Data!$EX$2)))))</f>
        <v>0</v>
      </c>
      <c r="CB12" s="169" t="e">
        <f>VLOOKUP(M12,Data!$EJ$3:$EK$14,2,FALSE)</f>
        <v>#N/A</v>
      </c>
      <c r="CC12" s="169" t="str">
        <f>IF(J12="114mm",VLOOKUP(H12,Data!$FA$2:$FB$18,2,FALSE),"OK")</f>
        <v>OK</v>
      </c>
      <c r="CD12" s="169" t="e">
        <f t="shared" si="7"/>
        <v>#DIV/0!</v>
      </c>
      <c r="CE12" s="169" t="str">
        <f>IF(OR(AND(R12="",P12&lt;&gt;"")),VLOOKUP(P12,Data!$FC$2:$FD$18,2,FALSE),"")</f>
        <v/>
      </c>
      <c r="CF12" s="169" t="str">
        <f>IF(N12=Data!$BI$3,Data!$FJ$1,IF(N12=Data!$BI$4,Data!$FK$1,IF(N12=Data!$BI$5,Data!$FL$1,IF(N12=Data!$BI$6,Data!$FM$1,IF(N12=Data!$BI$7,Data!$FN$1, IF(N12=Data!$BI$8,Data!$FO$1, IF(N12=Data!$BI$9,Data!$FI$1, "")))))))</f>
        <v/>
      </c>
      <c r="CG12" s="169" t="str">
        <f>IF(SUM(--ISNUMBER(SEARCH({"z","Z"}, P12))),"Yes","No")</f>
        <v>No</v>
      </c>
      <c r="CH12" s="169" t="str">
        <f t="shared" si="8"/>
        <v>OK</v>
      </c>
      <c r="CI12" s="169">
        <f t="shared" si="27"/>
        <v>0</v>
      </c>
      <c r="CJ12" s="169" t="e">
        <f>VLOOKUP(O12,Data!$DO$4:$DP$156,2,FALSE)</f>
        <v>#N/A</v>
      </c>
      <c r="CK12" s="169" t="e">
        <f t="shared" si="9"/>
        <v>#N/A</v>
      </c>
      <c r="CL12" s="157"/>
      <c r="CM12" s="157" t="s">
        <v>662</v>
      </c>
      <c r="CN12" s="157" t="str">
        <f>IF(COUNTIF(M9:M23,Data!EJ8)+COUNTIF(M9:M23,Data!EJ11)+COUNTIF(M9:M23,Data!EJ12),Data!EL8,"")</f>
        <v/>
      </c>
      <c r="CO12" s="344" t="str">
        <f t="shared" si="28"/>
        <v>OK</v>
      </c>
      <c r="CP12" s="169" t="b">
        <f t="shared" si="29"/>
        <v>0</v>
      </c>
      <c r="CQ12" s="169">
        <f t="shared" si="30"/>
        <v>0</v>
      </c>
      <c r="CR12" s="169">
        <f t="shared" si="31"/>
        <v>1</v>
      </c>
      <c r="CS12" s="169">
        <f t="shared" si="32"/>
        <v>0</v>
      </c>
      <c r="CT12" s="157" t="e">
        <f t="shared" si="33"/>
        <v>#DIV/0!</v>
      </c>
      <c r="CU12" s="169" t="b">
        <f>IF(H12=Data!$BD$3,Data!$HC$2,IF(H12=Data!$BD$4,Data!$HM$2,IF(H12=Data!$BD$5,Data!$HF$2,IF(H12=Data!$BD$6,Data!$HB$2,IF(H12=Data!$BD$7,Data!$HD$2,IF(H12=Data!$BD$8,Data!$HJ$2,IF(H12=Data!$BD$9,Data!$HN$2,IF(H12=Data!$BD$10,Data!$HA$2,IF(H12=Data!$BD$11,Data!$HI$2)))))))))</f>
        <v>0</v>
      </c>
      <c r="CV12" s="276" t="b">
        <f>IF(H12=Data!$BE$3,Data!$HQ$2, IF(H12=Data!$BE$4,Data!$HP$2, IF(H12=Data!$BE$5,Data!$HR$2, IF(H12=Data!$BE$6,Data!$HO$2))))</f>
        <v>0</v>
      </c>
      <c r="CW12" s="330" t="b">
        <f>IF(H12=Data!$BH$3,Data!$HU$2, IF(H12=Data!$BH$4,Data!$HT$2, IF(H12=Data!$BH$5,Data!$HS$2)))</f>
        <v>0</v>
      </c>
      <c r="CX12" s="330" t="b">
        <f>IF(H12=Data!$BF$3,Data!$HQ$16, IF(H12=Data!$BF$4,Data!$HP$16, IF(H12=Data!$BF$5,Data!$HR$16, IF(H12=Data!$BF$6,Data!$HO$16))))</f>
        <v>0</v>
      </c>
      <c r="CY12" s="330" t="b">
        <f>IF(G12=Data!$BC$3,Shutters!CU12,IF(G12=Data!$BC$4,Shutters!CV12,IF(G12=Data!$BC$6,Shutters!CW12, IF(G12=Data!$BC$5, Shutters!CX12,IF(G12=Data!$BC$7,Shutters!CV12)))))</f>
        <v>0</v>
      </c>
      <c r="CZ12" s="157" t="e">
        <f>IF(OR(AND(L12&gt;0,#REF!="")), "Error","OK")</f>
        <v>#REF!</v>
      </c>
      <c r="DA12" s="169" t="e">
        <f>IF(COUNTIF(#REF!,Data!$CX$6),"Yes","")</f>
        <v>#REF!</v>
      </c>
      <c r="DB12" s="54" t="str">
        <f t="shared" si="34"/>
        <v/>
      </c>
      <c r="DE12" s="54" t="str">
        <f>IF(N12=Data!$BI$5,"Yes",IF(N12=Data!$BI$6,"Yes","No"))</f>
        <v>No</v>
      </c>
      <c r="DF12" s="65" t="b">
        <f>IF(N12=Data!$BI$3,Data!$JB$2,IF(N12=Data!$BI$4,Data!$JC$2,IF(N12=Data!$BI$5,Data!$JD$2,IF(N12=Data!$BI$6,Data!$JE$2,IF(N12=Data!$BI$7,Data!$JF$2, IF(N12=Data!$BI$8,Data!$JA$2, IF(N12=Data!$BI$9,Data!$JG$2)))))))</f>
        <v>0</v>
      </c>
      <c r="DI12" s="65" t="e">
        <f>VLOOKUP(O12,Data!$DO$4:$DQ$156,3,FALSE)</f>
        <v>#N/A</v>
      </c>
      <c r="DJ12" s="54" t="e">
        <f t="shared" si="10"/>
        <v>#N/A</v>
      </c>
      <c r="DK12" s="54" t="e">
        <f t="shared" si="35"/>
        <v>#N/A</v>
      </c>
      <c r="DL12" s="54" t="b">
        <f>IF(P12=Data!$BK$3,Data!$JH$2,IF(P12=Data!$BK$4,Data!$JI$2,IF(P12=Data!$BK$5,Data!$JJ$2,IF(P12=Data!$BK$6,Data!$JK$2,IF(P12=Data!$BK$7,Data!$JL$2,IF(P12=Data!$BK$8,Data!$JM$2,IF(P12=Data!$BK$9,Data!$JN$2,IF(P12=Data!$BK$10,Data!$JO$2,IF(P12=Data!$BK$11,Data!$JP$2,IF(P12=Data!$BK$12,Data!$JQ$2,IF(P12=Data!$BK$13,Data!$JR$2,IF(P12=Data!$BK$14,Data!$JS$2,IF(P12=Data!$BK$15,Data!$JT$2,IF(P12=Data!$BK$16,Data!$JU$2,IF(P12=Data!$BK$17,Data!$JV$2,IF(P12=Data!$BK$18,Data!$JW$2, IF(P12=Data!$BK$19,Data!$JX$2, IF(P12=Data!$BK$20,Data!$JY$2))))))))))))))))))</f>
        <v>0</v>
      </c>
      <c r="DN12" s="169" t="str">
        <f t="shared" si="36"/>
        <v/>
      </c>
      <c r="DO12" s="169" t="e">
        <f t="shared" si="37"/>
        <v>#N/A</v>
      </c>
      <c r="DP12" s="169" t="str">
        <f t="shared" si="38"/>
        <v>OK</v>
      </c>
      <c r="DQ12" s="169" t="str">
        <f t="shared" si="39"/>
        <v>OK</v>
      </c>
      <c r="DR12" s="169" t="str">
        <f t="shared" si="40"/>
        <v>OK</v>
      </c>
      <c r="DS12" s="169" t="str">
        <f t="shared" si="41"/>
        <v>OK</v>
      </c>
      <c r="DT12" s="65" t="b">
        <f>IF(N12=Data!$LW$2,Data!$LX$1,IF(N12=Data!$LW$3,Data!$LY$1,IF(N12=Data!$LW$4,Data!$LZ$1,IF(N12=Data!$LW$5,Data!$MA$1,IF(N12=Data!$LW$6,Data!$MB$1,IF(N12=Data!$LW$7,Data!$MC$1, IF(N12=Data!$LW$8,Data!$MX$1)))))))</f>
        <v>0</v>
      </c>
      <c r="DU12" s="65" t="b">
        <f>IF(E12=Data!$MD$2,Data!$ME$2, IF(E12=Data!$MD$3,Data!$MF$2, IF(E12=Data!$MD$4,Data!$MG$2)))</f>
        <v>0</v>
      </c>
      <c r="DV12" s="54" t="str">
        <f>IF(E12="MS", Data!$AK$1, Data!$EJ$2)</f>
        <v>Special_Window</v>
      </c>
      <c r="DW12" s="65" t="str">
        <f>IF(OR(AND(S12="",P12&lt;&gt;"")),VLOOKUP(P12,Data!$FC$2:$FD$18,2,FALSE),"")</f>
        <v/>
      </c>
      <c r="DX12" s="65" t="str">
        <f>IF(OR(AND(T12="",P12&lt;&gt;"")),VLOOKUP(P12,Data!$FC$2:$FD$18,2,FALSE),"")</f>
        <v/>
      </c>
      <c r="DY12" s="65" t="str">
        <f>IF(OR(AND(U12="",P12&lt;&gt;"")),VLOOKUP(P12,Data!$FC$2:$FD$18,2,FALSE),"")</f>
        <v/>
      </c>
      <c r="DZ12" s="157" t="e">
        <f>VLOOKUP(N12,Data!$MK$2:$ML$8,2,FALSE)</f>
        <v>#N/A</v>
      </c>
      <c r="EA12" s="65" t="e">
        <f>VLOOKUP(O12,Data!$DO$4:$DO$157,1,FALSE)</f>
        <v>#N/A</v>
      </c>
      <c r="EB12" s="65" t="e">
        <f t="shared" si="42"/>
        <v>#N/A</v>
      </c>
      <c r="EC12" s="54" t="str">
        <f t="shared" si="43"/>
        <v/>
      </c>
      <c r="ED12" s="157" t="str">
        <f t="shared" si="44"/>
        <v>OK</v>
      </c>
      <c r="EE12" s="169" t="b">
        <f>IF(P12=Data!$NN$3,Data!$NO$2, IF(P12=Data!$NN$4,Data!$NP$2, IF(P12=Data!$NN$5,Data!$NQ$2, IF(P12=Data!$NN$6,Data!$NR$2, IF(P12=Data!$NN$7,Data!$NS$2, IF(P12=Data!$NN$8,Data!$NT$2, IF(P12=Data!$NN$9,Data!$NU$2, IF(P12=Data!$NN$10,Data!$NV$2, IF(P12=Data!$NN$11,Data!$NW$2, IF(P12=Data!$NN$12,Data!$NX$2, IF(P12=Data!$NN$13,Data!$NY$2, IF(P12=Data!$NN$14,Data!$NZ$2, IF(P12=Data!$NN$15,Data!$OA$2, IF(P12=Data!$NN$16,Data!$OB$2, IF(P12=Data!$NN$17,Data!$OC$2, IF(P12=Data!$NN$18,Data!$OD$2, IF(P12=Data!$NN$19,Data!$OE$2, IF(P12=Data!$NN$20,Data!$OG$2))))))))))))))))))</f>
        <v>0</v>
      </c>
      <c r="EF12" s="169" t="b">
        <f>IF(P12=Data!$NN$3,Data!$NO$15,IF(P12=Data!$NN$4,Data!$NP$15,IF(P12=Data!$NN$5,Data!$NQ$15,IF(P12=Data!$NN$6,Data!$NR$15,IF(P12=Data!$NN$7,Data!$NS$15,IF(P12=Data!$NN$8,Data!$NT$15,IF(P12=Data!$NN$9,Data!$NU$15,IF(P12=Data!$NN$10,Data!$NV$15,IF(P12=Data!$NN$11,Data!$NW$15,IF(P12=Data!$NN$12,Data!$NX$15,IF(P12=Data!$NN$13,Data!$NY$15,IF(P12=Data!$NN$14,Data!$NZ$15,IF(N12=Data!$NN$22,Data!$OA$15,IF(N12=Data!$NN$23,Data!$OB$15,IF(P12=Data!$NN$19,Data!$OC$15, IF(P12=Data!$NN$20,Data!$OG$15))))))))))))))))</f>
        <v>0</v>
      </c>
      <c r="EG12" s="330" t="e">
        <f>MATCH(G12, Data!$CW$10:$CW$14,0)</f>
        <v>#N/A</v>
      </c>
      <c r="EH12" s="169" t="e">
        <f>MATCH(J12,Data!$CX$9:$DA$9,0)</f>
        <v>#N/A</v>
      </c>
      <c r="EI12" s="334" t="e">
        <f>INDEX(Data!$CX$10:$DA$14,Shutters!EG12,Shutters!EH12)</f>
        <v>#N/A</v>
      </c>
      <c r="EJ12" s="169" t="str">
        <f>IF(SUM(--ISNUMBER(SEARCH({"combo","Combo","COMBO"}, B29))),"Yes","No")</f>
        <v>No</v>
      </c>
      <c r="EK12" s="169" t="str">
        <f>IF(SUM(--ISNUMBER(SEARCH({"combo","Combo","COMBO"}, F29))),"Yes","No")</f>
        <v>No</v>
      </c>
      <c r="EL12" s="169" t="str">
        <f t="shared" si="45"/>
        <v>No</v>
      </c>
      <c r="EM12" s="157">
        <f t="shared" si="46"/>
        <v>1</v>
      </c>
      <c r="EN12" s="157" t="e">
        <f t="shared" si="47"/>
        <v>#DIV/0!</v>
      </c>
      <c r="EO12" s="169" t="str">
        <f t="shared" si="48"/>
        <v/>
      </c>
      <c r="EP12" s="330" t="str">
        <f t="shared" si="49"/>
        <v/>
      </c>
      <c r="EQ12" s="330" t="str">
        <f t="shared" si="50"/>
        <v/>
      </c>
      <c r="ER12" s="169" t="str">
        <f t="shared" si="51"/>
        <v/>
      </c>
      <c r="ES12" s="169" t="str">
        <f t="shared" si="52"/>
        <v/>
      </c>
      <c r="ET12" s="169" t="str">
        <f t="shared" si="53"/>
        <v/>
      </c>
      <c r="EU12" s="264" t="str">
        <f t="shared" si="54"/>
        <v>No</v>
      </c>
      <c r="EV12" s="330" t="e">
        <f>MATCH(G12,Data!$FH$18:$FL$18,0)</f>
        <v>#N/A</v>
      </c>
      <c r="EW12" s="169" t="e">
        <f>MATCH(N12,Data!$FG$19:$FG$25,0)</f>
        <v>#N/A</v>
      </c>
      <c r="EX12" s="330" t="e">
        <f>INDEX(Data!$FH$19:$FL$25,Shutters!EW12,Shutters!EV12)</f>
        <v>#N/A</v>
      </c>
    </row>
    <row r="13" spans="1:154" ht="36.75" customHeight="1">
      <c r="A13" s="52">
        <v>5</v>
      </c>
      <c r="B13" s="17"/>
      <c r="C13" s="14"/>
      <c r="D13" s="14"/>
      <c r="E13" s="14"/>
      <c r="F13" s="10"/>
      <c r="G13" s="13"/>
      <c r="H13" s="699"/>
      <c r="I13" s="729"/>
      <c r="J13" s="14"/>
      <c r="K13" s="144" t="str">
        <f t="shared" si="11"/>
        <v/>
      </c>
      <c r="L13" s="15"/>
      <c r="M13" s="15"/>
      <c r="N13" s="15"/>
      <c r="O13" s="15"/>
      <c r="P13" s="565"/>
      <c r="Q13" s="565"/>
      <c r="R13" s="13"/>
      <c r="S13" s="13"/>
      <c r="T13" s="13"/>
      <c r="U13" s="13"/>
      <c r="V13" s="15"/>
      <c r="W13" s="15"/>
      <c r="X13" s="16"/>
      <c r="Y13" s="16"/>
      <c r="Z13" s="14"/>
      <c r="AA13" s="14"/>
      <c r="AB13" s="14"/>
      <c r="AC13" s="18"/>
      <c r="AD13" s="164" t="str">
        <f t="shared" si="0"/>
        <v/>
      </c>
      <c r="AE13" s="229"/>
      <c r="AF13" s="230"/>
      <c r="AU13" s="108" t="str">
        <f t="shared" si="12"/>
        <v/>
      </c>
      <c r="AV13" s="65" t="e">
        <f t="shared" si="13"/>
        <v>#N/A</v>
      </c>
      <c r="AW13" s="169" t="e">
        <f>VLOOKUP(P13,Data!$MI$2:$MJ$4,2,FALSE)</f>
        <v>#N/A</v>
      </c>
      <c r="AX13" s="169" t="e">
        <f t="shared" si="14"/>
        <v>#N/A</v>
      </c>
      <c r="AY13" s="169" t="e">
        <f>VLOOKUP(N13,Data!$BI$24:$BJ$30,2,FALSE)</f>
        <v>#N/A</v>
      </c>
      <c r="AZ13" s="155" t="b">
        <f>IF(G13=Data!$BO$2,Data!$BS$2, IF(Shutters!G13=Data!$BP$2,Data!$BT$2, IF(Shutters!G13=Data!$BQ$2,Data!$BU$2)))</f>
        <v>0</v>
      </c>
      <c r="BA13" s="340" t="str">
        <f t="shared" si="15"/>
        <v>No</v>
      </c>
      <c r="BB13" s="155" t="e">
        <f t="shared" si="16"/>
        <v>#DIV/0!</v>
      </c>
      <c r="BC13" s="340" t="e">
        <f t="shared" si="17"/>
        <v>#DIV/0!</v>
      </c>
      <c r="BD13" s="155" t="e">
        <f t="shared" si="1"/>
        <v>#DIV/0!</v>
      </c>
      <c r="BE13" s="340" t="str">
        <f t="shared" si="18"/>
        <v>No</v>
      </c>
      <c r="BF13" s="155" t="str">
        <f t="shared" si="19"/>
        <v>NotRequired</v>
      </c>
      <c r="BG13" s="155" t="b">
        <f>IF(G13=Data!$BO$2,Data!$CM$2, IF(Shutters!G13=Data!$BP$2,Data!$CN$2, IF(Shutters!G13=Data!$BQ$2,Data!$CO$2)))</f>
        <v>0</v>
      </c>
      <c r="BH13" s="155" t="e">
        <f t="shared" si="20"/>
        <v>#DIV/0!</v>
      </c>
      <c r="BI13" s="156" t="str">
        <f t="shared" si="2"/>
        <v>NoHighlight</v>
      </c>
      <c r="BJ13" s="340" t="str">
        <f t="shared" si="21"/>
        <v>FauxwoodRPNo</v>
      </c>
      <c r="BK13" s="156" t="str">
        <f>IF(SUM(--ISNUMBER( SEARCH({"t","T"},O13))),"Yes","No")</f>
        <v>No</v>
      </c>
      <c r="BL13" s="156" t="str">
        <f t="shared" si="22"/>
        <v>OK</v>
      </c>
      <c r="BM13" s="156" t="str">
        <f t="shared" si="23"/>
        <v>OK</v>
      </c>
      <c r="BN13" s="156" t="str">
        <f t="shared" si="24"/>
        <v>OK</v>
      </c>
      <c r="BO13" s="156" t="e">
        <f>IF(OR(AND(F13&gt;1,#REF!="L",#REF!="l"),AND(F13&gt;1,#REF!="R",#REF!="r"),AND(F13&gt;2,#REF!="LR",#REF!="lr")), "Error","OK")</f>
        <v>#REF!</v>
      </c>
      <c r="BP13" s="156" t="str">
        <f t="shared" si="3"/>
        <v>FauxwoodAINo</v>
      </c>
      <c r="BQ13" s="156" t="str">
        <f>IF(SUM(--ISNUMBER(SEARCH({"combo","Combo","COMBO"}, B30))),"Yes","No")</f>
        <v>No</v>
      </c>
      <c r="BR13" s="156" t="str">
        <f t="shared" si="25"/>
        <v>No</v>
      </c>
      <c r="BS13" s="156" t="str">
        <f>IF(SUM(--ISNUMBER( SEARCH({"c","C","b","B"},#REF!))),"Yes","No")</f>
        <v>No</v>
      </c>
      <c r="BT13" s="157">
        <f t="shared" si="4"/>
        <v>0</v>
      </c>
      <c r="BU13" s="169" t="str">
        <f>IF(N13=Data!$BI$3,Data!$DR$3,IF(N13=Data!$BI$4,Data!$DS$3,IF(N13=Data!$BI$5,Data!$DT$3,IF(N13=Data!$BI$6,Data!$DU$3,IF(N13=Data!$BI$7,Data!$DV$3, IF(N13=Data!$BI$8,Data!$DX$3, IF(N13=Data!$BI$9,Data!$DW$3, "")))))))</f>
        <v/>
      </c>
      <c r="BV13" s="169" t="str">
        <f>IF(N13=Data!$BI$3,Data!$DY$3,IF(N13=Data!$BI$4,Data!$DZ$3,IF(N13=Data!$BI$5,Data!$EA$3,IF(N13=Data!$BI$6,Data!$EB$3,IF(N13=Data!$BI$7,Data!$EC$3,IF(N13=Data!$BI$8,Data!$EE$3, IF(N13=Data!$BI$9,Data!$ED$3,"")))))))</f>
        <v/>
      </c>
      <c r="BW13" s="157">
        <f t="shared" si="5"/>
        <v>0</v>
      </c>
      <c r="BX13" s="157">
        <f t="shared" si="6"/>
        <v>0</v>
      </c>
      <c r="BY13" s="169" t="e">
        <f t="shared" si="26"/>
        <v>#DIV/0!</v>
      </c>
      <c r="BZ13" s="330" t="b">
        <f>IF(G13=Data!$EU$2,Data!$ES$2,IF(G13=Data!$EU$3,Data!$ER$2, IF(G13=Data!$EU$5,Data!$ET$2, IF(G13=Data!$EU$4,Data!$EQ$2,IF(G13=Data!$EU$6,Data!$ER$2)))))</f>
        <v>0</v>
      </c>
      <c r="CA13" s="330" t="b">
        <f>IF(G13=Data!$EU$2,Data!$EW$2,IF(G13=Data!$EU$3,Data!$EX$2,IF(G13=Data!$EU$4,Data!$EY$2, IF(G13=Data!$EU$5,Data!$EY$2,IF(G13=Data!$EU$6,Data!$EX$2)))))</f>
        <v>0</v>
      </c>
      <c r="CB13" s="169" t="e">
        <f>VLOOKUP(M13,Data!$EJ$3:$EK$14,2,FALSE)</f>
        <v>#N/A</v>
      </c>
      <c r="CC13" s="169" t="str">
        <f>IF(J13="114mm",VLOOKUP(H13,Data!$FA$2:$FB$18,2,FALSE),"OK")</f>
        <v>OK</v>
      </c>
      <c r="CD13" s="169" t="e">
        <f t="shared" si="7"/>
        <v>#DIV/0!</v>
      </c>
      <c r="CE13" s="169" t="str">
        <f>IF(OR(AND(R13="",P13&lt;&gt;"")),VLOOKUP(P13,Data!$FC$2:$FD$18,2,FALSE),"")</f>
        <v/>
      </c>
      <c r="CF13" s="169" t="str">
        <f>IF(N13=Data!$BI$3,Data!$FJ$1,IF(N13=Data!$BI$4,Data!$FK$1,IF(N13=Data!$BI$5,Data!$FL$1,IF(N13=Data!$BI$6,Data!$FM$1,IF(N13=Data!$BI$7,Data!$FN$1, IF(N13=Data!$BI$8,Data!$FO$1, IF(N13=Data!$BI$9,Data!$FI$1, "")))))))</f>
        <v/>
      </c>
      <c r="CG13" s="169" t="str">
        <f>IF(SUM(--ISNUMBER(SEARCH({"z","Z"}, P13))),"Yes","No")</f>
        <v>No</v>
      </c>
      <c r="CH13" s="169" t="str">
        <f t="shared" si="8"/>
        <v>OK</v>
      </c>
      <c r="CI13" s="169">
        <f t="shared" si="27"/>
        <v>0</v>
      </c>
      <c r="CJ13" s="169" t="e">
        <f>VLOOKUP(O13,Data!$DO$4:$DP$156,2,FALSE)</f>
        <v>#N/A</v>
      </c>
      <c r="CK13" s="169" t="e">
        <f t="shared" si="9"/>
        <v>#N/A</v>
      </c>
      <c r="CL13" s="157"/>
      <c r="CM13" s="157"/>
      <c r="CN13" s="157" t="str">
        <f>CN9&amp;"   "&amp;CN10&amp;"   "&amp;CN11&amp;"   "&amp;CN12</f>
        <v xml:space="preserve">         </v>
      </c>
      <c r="CO13" s="344" t="str">
        <f t="shared" si="28"/>
        <v>OK</v>
      </c>
      <c r="CP13" s="169" t="b">
        <f t="shared" si="29"/>
        <v>0</v>
      </c>
      <c r="CQ13" s="169">
        <f t="shared" si="30"/>
        <v>0</v>
      </c>
      <c r="CR13" s="169">
        <f t="shared" si="31"/>
        <v>1</v>
      </c>
      <c r="CS13" s="169">
        <f t="shared" si="32"/>
        <v>0</v>
      </c>
      <c r="CT13" s="157" t="e">
        <f t="shared" si="33"/>
        <v>#DIV/0!</v>
      </c>
      <c r="CU13" s="169" t="b">
        <f>IF(H13=Data!$BD$3,Data!$HC$2,IF(H13=Data!$BD$4,Data!$HM$2,IF(H13=Data!$BD$5,Data!$HF$2,IF(H13=Data!$BD$6,Data!$HB$2,IF(H13=Data!$BD$7,Data!$HD$2,IF(H13=Data!$BD$8,Data!$HJ$2,IF(H13=Data!$BD$9,Data!$HN$2,IF(H13=Data!$BD$10,Data!$HA$2,IF(H13=Data!$BD$11,Data!$HI$2)))))))))</f>
        <v>0</v>
      </c>
      <c r="CV13" s="276" t="b">
        <f>IF(H13=Data!$BE$3,Data!$HQ$2, IF(H13=Data!$BE$4,Data!$HP$2, IF(H13=Data!$BE$5,Data!$HR$2, IF(H13=Data!$BE$6,Data!$HO$2))))</f>
        <v>0</v>
      </c>
      <c r="CW13" s="330" t="b">
        <f>IF(H13=Data!$BH$3,Data!$HU$2, IF(H13=Data!$BH$4,Data!$HT$2, IF(H13=Data!$BH$5,Data!$HS$2)))</f>
        <v>0</v>
      </c>
      <c r="CX13" s="330" t="b">
        <f>IF(H13=Data!$BF$3,Data!$HQ$16, IF(H13=Data!$BF$4,Data!$HP$16, IF(H13=Data!$BF$5,Data!$HR$16, IF(H13=Data!$BF$6,Data!$HO$16))))</f>
        <v>0</v>
      </c>
      <c r="CY13" s="330" t="b">
        <f>IF(G13=Data!$BC$3,Shutters!CU13,IF(G13=Data!$BC$4,Shutters!CV13,IF(G13=Data!$BC$6,Shutters!CW13, IF(G13=Data!$BC$5, Shutters!CX13,IF(G13=Data!$BC$7,Shutters!CV13)))))</f>
        <v>0</v>
      </c>
      <c r="CZ13" s="157" t="e">
        <f>IF(OR(AND(L13&gt;0,#REF!="")), "Error","OK")</f>
        <v>#REF!</v>
      </c>
      <c r="DA13" s="169" t="e">
        <f>IF(COUNTIF(#REF!,Data!$CX$6),"Yes","")</f>
        <v>#REF!</v>
      </c>
      <c r="DB13" s="54" t="str">
        <f t="shared" si="34"/>
        <v/>
      </c>
      <c r="DE13" s="54" t="str">
        <f>IF(N13=Data!$BI$5,"Yes",IF(N13=Data!$BI$6,"Yes","No"))</f>
        <v>No</v>
      </c>
      <c r="DF13" s="65" t="b">
        <f>IF(N13=Data!$BI$3,Data!$JB$2,IF(N13=Data!$BI$4,Data!$JC$2,IF(N13=Data!$BI$5,Data!$JD$2,IF(N13=Data!$BI$6,Data!$JE$2,IF(N13=Data!$BI$7,Data!$JF$2, IF(N13=Data!$BI$8,Data!$JA$2, IF(N13=Data!$BI$9,Data!$JG$2)))))))</f>
        <v>0</v>
      </c>
      <c r="DI13" s="65" t="e">
        <f>VLOOKUP(O13,Data!$DO$4:$DQ$156,3,FALSE)</f>
        <v>#N/A</v>
      </c>
      <c r="DJ13" s="54" t="e">
        <f t="shared" si="10"/>
        <v>#N/A</v>
      </c>
      <c r="DK13" s="54" t="e">
        <f t="shared" si="35"/>
        <v>#N/A</v>
      </c>
      <c r="DL13" s="54" t="b">
        <f>IF(P13=Data!$BK$3,Data!$JH$2,IF(P13=Data!$BK$4,Data!$JI$2,IF(P13=Data!$BK$5,Data!$JJ$2,IF(P13=Data!$BK$6,Data!$JK$2,IF(P13=Data!$BK$7,Data!$JL$2,IF(P13=Data!$BK$8,Data!$JM$2,IF(P13=Data!$BK$9,Data!$JN$2,IF(P13=Data!$BK$10,Data!$JO$2,IF(P13=Data!$BK$11,Data!$JP$2,IF(P13=Data!$BK$12,Data!$JQ$2,IF(P13=Data!$BK$13,Data!$JR$2,IF(P13=Data!$BK$14,Data!$JS$2,IF(P13=Data!$BK$15,Data!$JT$2,IF(P13=Data!$BK$16,Data!$JU$2,IF(P13=Data!$BK$17,Data!$JV$2,IF(P13=Data!$BK$18,Data!$JW$2, IF(P13=Data!$BK$19,Data!$JX$2, IF(P13=Data!$BK$20,Data!$JY$2))))))))))))))))))</f>
        <v>0</v>
      </c>
      <c r="DN13" s="169" t="str">
        <f t="shared" si="36"/>
        <v/>
      </c>
      <c r="DO13" s="169" t="e">
        <f t="shared" si="37"/>
        <v>#N/A</v>
      </c>
      <c r="DP13" s="169" t="str">
        <f t="shared" si="38"/>
        <v>OK</v>
      </c>
      <c r="DQ13" s="169" t="str">
        <f t="shared" si="39"/>
        <v>OK</v>
      </c>
      <c r="DR13" s="169" t="str">
        <f t="shared" si="40"/>
        <v>OK</v>
      </c>
      <c r="DS13" s="169" t="str">
        <f t="shared" si="41"/>
        <v>OK</v>
      </c>
      <c r="DT13" s="65" t="b">
        <f>IF(N13=Data!$LW$2,Data!$LX$1,IF(N13=Data!$LW$3,Data!$LY$1,IF(N13=Data!$LW$4,Data!$LZ$1,IF(N13=Data!$LW$5,Data!$MA$1,IF(N13=Data!$LW$6,Data!$MB$1,IF(N13=Data!$LW$7,Data!$MC$1, IF(N13=Data!$LW$8,Data!$MX$1)))))))</f>
        <v>0</v>
      </c>
      <c r="DU13" s="65" t="b">
        <f>IF(E13=Data!$MD$2,Data!$ME$2, IF(E13=Data!$MD$3,Data!$MF$2, IF(E13=Data!$MD$4,Data!$MG$2)))</f>
        <v>0</v>
      </c>
      <c r="DV13" s="54" t="str">
        <f>IF(E13="MS", Data!$AK$1, Data!$EJ$2)</f>
        <v>Special_Window</v>
      </c>
      <c r="DW13" s="65" t="str">
        <f>IF(OR(AND(S13="",P13&lt;&gt;"")),VLOOKUP(P13,Data!$FC$2:$FD$18,2,FALSE),"")</f>
        <v/>
      </c>
      <c r="DX13" s="65" t="str">
        <f>IF(OR(AND(T13="",P13&lt;&gt;"")),VLOOKUP(P13,Data!$FC$2:$FD$18,2,FALSE),"")</f>
        <v/>
      </c>
      <c r="DY13" s="65" t="str">
        <f>IF(OR(AND(U13="",P13&lt;&gt;"")),VLOOKUP(P13,Data!$FC$2:$FD$18,2,FALSE),"")</f>
        <v/>
      </c>
      <c r="DZ13" s="157" t="e">
        <f>VLOOKUP(N13,Data!$MK$2:$ML$8,2,FALSE)</f>
        <v>#N/A</v>
      </c>
      <c r="EA13" s="65" t="e">
        <f>VLOOKUP(O13,Data!$DO$4:$DO$157,1,FALSE)</f>
        <v>#N/A</v>
      </c>
      <c r="EB13" s="65" t="e">
        <f t="shared" si="42"/>
        <v>#N/A</v>
      </c>
      <c r="EC13" s="54" t="str">
        <f t="shared" si="43"/>
        <v/>
      </c>
      <c r="ED13" s="157" t="str">
        <f t="shared" si="44"/>
        <v>OK</v>
      </c>
      <c r="EE13" s="169" t="b">
        <f>IF(P13=Data!$NN$3,Data!$NO$2, IF(P13=Data!$NN$4,Data!$NP$2, IF(P13=Data!$NN$5,Data!$NQ$2, IF(P13=Data!$NN$6,Data!$NR$2, IF(P13=Data!$NN$7,Data!$NS$2, IF(P13=Data!$NN$8,Data!$NT$2, IF(P13=Data!$NN$9,Data!$NU$2, IF(P13=Data!$NN$10,Data!$NV$2, IF(P13=Data!$NN$11,Data!$NW$2, IF(P13=Data!$NN$12,Data!$NX$2, IF(P13=Data!$NN$13,Data!$NY$2, IF(P13=Data!$NN$14,Data!$NZ$2, IF(P13=Data!$NN$15,Data!$OA$2, IF(P13=Data!$NN$16,Data!$OB$2, IF(P13=Data!$NN$17,Data!$OC$2, IF(P13=Data!$NN$18,Data!$OD$2, IF(P13=Data!$NN$19,Data!$OE$2, IF(P13=Data!$NN$20,Data!$OG$2))))))))))))))))))</f>
        <v>0</v>
      </c>
      <c r="EF13" s="169" t="b">
        <f>IF(P13=Data!$NN$3,Data!$NO$15,IF(P13=Data!$NN$4,Data!$NP$15,IF(P13=Data!$NN$5,Data!$NQ$15,IF(P13=Data!$NN$6,Data!$NR$15,IF(P13=Data!$NN$7,Data!$NS$15,IF(P13=Data!$NN$8,Data!$NT$15,IF(P13=Data!$NN$9,Data!$NU$15,IF(P13=Data!$NN$10,Data!$NV$15,IF(P13=Data!$NN$11,Data!$NW$15,IF(P13=Data!$NN$12,Data!$NX$15,IF(P13=Data!$NN$13,Data!$NY$15,IF(P13=Data!$NN$14,Data!$NZ$15,IF(N13=Data!$NN$22,Data!$OA$15,IF(N13=Data!$NN$23,Data!$OB$15,IF(P13=Data!$NN$19,Data!$OC$15, IF(P13=Data!$NN$20,Data!$OG$15))))))))))))))))</f>
        <v>0</v>
      </c>
      <c r="EG13" s="330" t="e">
        <f>MATCH(G13, Data!$CW$10:$CW$14,0)</f>
        <v>#N/A</v>
      </c>
      <c r="EH13" s="169" t="e">
        <f>MATCH(J13,Data!$CX$9:$DA$9,0)</f>
        <v>#N/A</v>
      </c>
      <c r="EI13" s="334" t="e">
        <f>INDEX(Data!$CX$10:$DA$14,Shutters!EG13,Shutters!EH13)</f>
        <v>#N/A</v>
      </c>
      <c r="EJ13" s="169" t="str">
        <f>IF(SUM(--ISNUMBER(SEARCH({"combo","Combo","COMBO"}, B30))),"Yes","No")</f>
        <v>No</v>
      </c>
      <c r="EK13" s="169" t="str">
        <f>IF(SUM(--ISNUMBER(SEARCH({"combo","Combo","COMBO"}, F30))),"Yes","No")</f>
        <v>No</v>
      </c>
      <c r="EL13" s="169" t="str">
        <f t="shared" si="45"/>
        <v>No</v>
      </c>
      <c r="EM13" s="157">
        <f t="shared" si="46"/>
        <v>1</v>
      </c>
      <c r="EN13" s="157" t="e">
        <f t="shared" si="47"/>
        <v>#DIV/0!</v>
      </c>
      <c r="EO13" s="169" t="str">
        <f t="shared" si="48"/>
        <v/>
      </c>
      <c r="EP13" s="330" t="str">
        <f t="shared" si="49"/>
        <v/>
      </c>
      <c r="EQ13" s="330" t="str">
        <f t="shared" si="50"/>
        <v/>
      </c>
      <c r="ER13" s="169" t="str">
        <f t="shared" si="51"/>
        <v/>
      </c>
      <c r="ES13" s="169" t="str">
        <f t="shared" si="52"/>
        <v/>
      </c>
      <c r="ET13" s="169" t="str">
        <f t="shared" si="53"/>
        <v/>
      </c>
      <c r="EU13" s="264" t="str">
        <f t="shared" si="54"/>
        <v>No</v>
      </c>
      <c r="EV13" s="330" t="e">
        <f>MATCH(G13,Data!$FH$18:$FL$18,0)</f>
        <v>#N/A</v>
      </c>
      <c r="EW13" s="169" t="e">
        <f>MATCH(N13,Data!$FG$19:$FG$25,0)</f>
        <v>#N/A</v>
      </c>
      <c r="EX13" s="330" t="e">
        <f>INDEX(Data!$FH$19:$FL$25,Shutters!EW13,Shutters!EV13)</f>
        <v>#N/A</v>
      </c>
    </row>
    <row r="14" spans="1:154" ht="36.75" customHeight="1">
      <c r="A14" s="52">
        <v>6</v>
      </c>
      <c r="B14" s="17"/>
      <c r="C14" s="14"/>
      <c r="D14" s="14"/>
      <c r="E14" s="14"/>
      <c r="F14" s="10"/>
      <c r="G14" s="13"/>
      <c r="H14" s="699"/>
      <c r="I14" s="729"/>
      <c r="J14" s="14"/>
      <c r="K14" s="144" t="str">
        <f t="shared" si="11"/>
        <v/>
      </c>
      <c r="L14" s="15"/>
      <c r="M14" s="15"/>
      <c r="N14" s="15"/>
      <c r="O14" s="15"/>
      <c r="P14" s="565"/>
      <c r="Q14" s="565"/>
      <c r="R14" s="13"/>
      <c r="S14" s="13"/>
      <c r="T14" s="13"/>
      <c r="U14" s="13"/>
      <c r="V14" s="15"/>
      <c r="W14" s="15"/>
      <c r="X14" s="16"/>
      <c r="Y14" s="16"/>
      <c r="Z14" s="14"/>
      <c r="AA14" s="14"/>
      <c r="AB14" s="14"/>
      <c r="AC14" s="18"/>
      <c r="AD14" s="164" t="str">
        <f t="shared" si="0"/>
        <v/>
      </c>
      <c r="AE14" s="229"/>
      <c r="AF14" s="230"/>
      <c r="AU14" s="108" t="str">
        <f t="shared" si="12"/>
        <v/>
      </c>
      <c r="AV14" s="65" t="e">
        <f t="shared" si="13"/>
        <v>#N/A</v>
      </c>
      <c r="AW14" s="169" t="e">
        <f>VLOOKUP(P14,Data!$MI$2:$MJ$4,2,FALSE)</f>
        <v>#N/A</v>
      </c>
      <c r="AX14" s="169" t="e">
        <f t="shared" si="14"/>
        <v>#N/A</v>
      </c>
      <c r="AY14" s="169" t="e">
        <f>VLOOKUP(N14,Data!$BI$24:$BJ$30,2,FALSE)</f>
        <v>#N/A</v>
      </c>
      <c r="AZ14" s="155" t="b">
        <f>IF(G14=Data!$BO$2,Data!$BS$2, IF(Shutters!G14=Data!$BP$2,Data!$BT$2, IF(Shutters!G14=Data!$BQ$2,Data!$BU$2)))</f>
        <v>0</v>
      </c>
      <c r="BA14" s="340" t="str">
        <f t="shared" si="15"/>
        <v>No</v>
      </c>
      <c r="BB14" s="155" t="e">
        <f t="shared" si="16"/>
        <v>#DIV/0!</v>
      </c>
      <c r="BC14" s="340" t="e">
        <f t="shared" si="17"/>
        <v>#DIV/0!</v>
      </c>
      <c r="BD14" s="155" t="e">
        <f t="shared" si="1"/>
        <v>#DIV/0!</v>
      </c>
      <c r="BE14" s="340" t="str">
        <f t="shared" si="18"/>
        <v>No</v>
      </c>
      <c r="BF14" s="155" t="str">
        <f t="shared" si="19"/>
        <v>NotRequired</v>
      </c>
      <c r="BG14" s="155" t="b">
        <f>IF(G14=Data!$BO$2,Data!$CM$2, IF(Shutters!G14=Data!$BP$2,Data!$CN$2, IF(Shutters!G14=Data!$BQ$2,Data!$CO$2)))</f>
        <v>0</v>
      </c>
      <c r="BH14" s="155" t="e">
        <f t="shared" si="20"/>
        <v>#DIV/0!</v>
      </c>
      <c r="BI14" s="156" t="str">
        <f t="shared" si="2"/>
        <v>NoHighlight</v>
      </c>
      <c r="BJ14" s="340" t="str">
        <f t="shared" si="21"/>
        <v>FauxwoodRPNo</v>
      </c>
      <c r="BK14" s="156" t="str">
        <f>IF(SUM(--ISNUMBER( SEARCH({"t","T"},O14))),"Yes","No")</f>
        <v>No</v>
      </c>
      <c r="BL14" s="156" t="str">
        <f t="shared" si="22"/>
        <v>OK</v>
      </c>
      <c r="BM14" s="156" t="str">
        <f t="shared" si="23"/>
        <v>OK</v>
      </c>
      <c r="BN14" s="156" t="str">
        <f t="shared" si="24"/>
        <v>OK</v>
      </c>
      <c r="BO14" s="156" t="e">
        <f>IF(OR(AND(F14&gt;1,#REF!="L",#REF!="l"),AND(F14&gt;1,#REF!="R",#REF!="r"),AND(F14&gt;2,#REF!="LR",#REF!="lr")), "Error","OK")</f>
        <v>#REF!</v>
      </c>
      <c r="BP14" s="156" t="str">
        <f t="shared" si="3"/>
        <v>FauxwoodAINo</v>
      </c>
      <c r="BQ14" s="156" t="str">
        <f>IF(SUM(--ISNUMBER(SEARCH({"combo","Combo","COMBO"}, B31))),"Yes","No")</f>
        <v>No</v>
      </c>
      <c r="BR14" s="156" t="str">
        <f t="shared" si="25"/>
        <v>No</v>
      </c>
      <c r="BS14" s="156" t="str">
        <f>IF(SUM(--ISNUMBER( SEARCH({"c","C","b","B"},#REF!))),"Yes","No")</f>
        <v>No</v>
      </c>
      <c r="BT14" s="157">
        <f t="shared" si="4"/>
        <v>0</v>
      </c>
      <c r="BU14" s="169" t="str">
        <f>IF(N14=Data!$BI$3,Data!$DR$3,IF(N14=Data!$BI$4,Data!$DS$3,IF(N14=Data!$BI$5,Data!$DT$3,IF(N14=Data!$BI$6,Data!$DU$3,IF(N14=Data!$BI$7,Data!$DV$3, IF(N14=Data!$BI$8,Data!$DX$3, IF(N14=Data!$BI$9,Data!$DW$3, "")))))))</f>
        <v/>
      </c>
      <c r="BV14" s="169" t="str">
        <f>IF(N14=Data!$BI$3,Data!$DY$3,IF(N14=Data!$BI$4,Data!$DZ$3,IF(N14=Data!$BI$5,Data!$EA$3,IF(N14=Data!$BI$6,Data!$EB$3,IF(N14=Data!$BI$7,Data!$EC$3,IF(N14=Data!$BI$8,Data!$EE$3, IF(N14=Data!$BI$9,Data!$ED$3,"")))))))</f>
        <v/>
      </c>
      <c r="BW14" s="157">
        <f t="shared" si="5"/>
        <v>0</v>
      </c>
      <c r="BX14" s="157">
        <f t="shared" si="6"/>
        <v>0</v>
      </c>
      <c r="BY14" s="169" t="e">
        <f t="shared" si="26"/>
        <v>#DIV/0!</v>
      </c>
      <c r="BZ14" s="330" t="b">
        <f>IF(G14=Data!$EU$2,Data!$ES$2,IF(G14=Data!$EU$3,Data!$ER$2, IF(G14=Data!$EU$5,Data!$ET$2, IF(G14=Data!$EU$4,Data!$EQ$2,IF(G14=Data!$EU$6,Data!$ER$2)))))</f>
        <v>0</v>
      </c>
      <c r="CA14" s="330" t="b">
        <f>IF(G14=Data!$EU$2,Data!$EW$2,IF(G14=Data!$EU$3,Data!$EX$2,IF(G14=Data!$EU$4,Data!$EY$2, IF(G14=Data!$EU$5,Data!$EY$2,IF(G14=Data!$EU$6,Data!$EX$2)))))</f>
        <v>0</v>
      </c>
      <c r="CB14" s="169" t="e">
        <f>VLOOKUP(M14,Data!$EJ$3:$EK$14,2,FALSE)</f>
        <v>#N/A</v>
      </c>
      <c r="CC14" s="169" t="str">
        <f>IF(J14="114mm",VLOOKUP(H14,Data!$FA$2:$FB$18,2,FALSE),"OK")</f>
        <v>OK</v>
      </c>
      <c r="CD14" s="169" t="e">
        <f t="shared" si="7"/>
        <v>#DIV/0!</v>
      </c>
      <c r="CE14" s="169" t="str">
        <f>IF(OR(AND(R14="",P14&lt;&gt;"")),VLOOKUP(P14,Data!$FC$2:$FD$18,2,FALSE),"")</f>
        <v/>
      </c>
      <c r="CF14" s="169" t="str">
        <f>IF(N14=Data!$BI$3,Data!$FJ$1,IF(N14=Data!$BI$4,Data!$FK$1,IF(N14=Data!$BI$5,Data!$FL$1,IF(N14=Data!$BI$6,Data!$FM$1,IF(N14=Data!$BI$7,Data!$FN$1, IF(N14=Data!$BI$8,Data!$FO$1, IF(N14=Data!$BI$9,Data!$FI$1, "")))))))</f>
        <v/>
      </c>
      <c r="CG14" s="169" t="str">
        <f>IF(SUM(--ISNUMBER(SEARCH({"z","Z"}, P14))),"Yes","No")</f>
        <v>No</v>
      </c>
      <c r="CH14" s="169" t="str">
        <f t="shared" si="8"/>
        <v>OK</v>
      </c>
      <c r="CI14" s="169">
        <f t="shared" si="27"/>
        <v>0</v>
      </c>
      <c r="CJ14" s="169" t="e">
        <f>VLOOKUP(O14,Data!$DO$4:$DP$156,2,FALSE)</f>
        <v>#N/A</v>
      </c>
      <c r="CK14" s="169" t="e">
        <f t="shared" si="9"/>
        <v>#N/A</v>
      </c>
      <c r="CL14" s="157"/>
      <c r="CM14" s="157"/>
      <c r="CN14" s="157"/>
      <c r="CO14" s="344" t="str">
        <f t="shared" si="28"/>
        <v>OK</v>
      </c>
      <c r="CP14" s="169" t="b">
        <f t="shared" si="29"/>
        <v>0</v>
      </c>
      <c r="CQ14" s="169">
        <f t="shared" si="30"/>
        <v>0</v>
      </c>
      <c r="CR14" s="169">
        <f t="shared" si="31"/>
        <v>1</v>
      </c>
      <c r="CS14" s="169">
        <f t="shared" si="32"/>
        <v>0</v>
      </c>
      <c r="CT14" s="157" t="e">
        <f t="shared" si="33"/>
        <v>#DIV/0!</v>
      </c>
      <c r="CU14" s="169" t="b">
        <f>IF(H14=Data!$BD$3,Data!$HC$2,IF(H14=Data!$BD$4,Data!$HM$2,IF(H14=Data!$BD$5,Data!$HF$2,IF(H14=Data!$BD$6,Data!$HB$2,IF(H14=Data!$BD$7,Data!$HD$2,IF(H14=Data!$BD$8,Data!$HJ$2,IF(H14=Data!$BD$9,Data!$HN$2,IF(H14=Data!$BD$10,Data!$HA$2,IF(H14=Data!$BD$11,Data!$HI$2)))))))))</f>
        <v>0</v>
      </c>
      <c r="CV14" s="276" t="b">
        <f>IF(H14=Data!$BE$3,Data!$HQ$2, IF(H14=Data!$BE$4,Data!$HP$2, IF(H14=Data!$BE$5,Data!$HR$2, IF(H14=Data!$BE$6,Data!$HO$2))))</f>
        <v>0</v>
      </c>
      <c r="CW14" s="330" t="b">
        <f>IF(H14=Data!$BH$3,Data!$HU$2, IF(H14=Data!$BH$4,Data!$HT$2, IF(H14=Data!$BH$5,Data!$HS$2)))</f>
        <v>0</v>
      </c>
      <c r="CX14" s="330" t="b">
        <f>IF(H14=Data!$BF$3,Data!$HQ$16, IF(H14=Data!$BF$4,Data!$HP$16, IF(H14=Data!$BF$5,Data!$HR$16, IF(H14=Data!$BF$6,Data!$HO$16))))</f>
        <v>0</v>
      </c>
      <c r="CY14" s="330" t="b">
        <f>IF(G14=Data!$BC$3,Shutters!CU14,IF(G14=Data!$BC$4,Shutters!CV14,IF(G14=Data!$BC$6,Shutters!CW14, IF(G14=Data!$BC$5, Shutters!CX14,IF(G14=Data!$BC$7,Shutters!CV14)))))</f>
        <v>0</v>
      </c>
      <c r="CZ14" s="157" t="e">
        <f>IF(OR(AND(L14&gt;0,#REF!="")), "Error","OK")</f>
        <v>#REF!</v>
      </c>
      <c r="DA14" s="169" t="e">
        <f>IF(COUNTIF(#REF!,Data!$CX$6),"Yes","")</f>
        <v>#REF!</v>
      </c>
      <c r="DB14" s="54" t="str">
        <f t="shared" si="34"/>
        <v/>
      </c>
      <c r="DE14" s="54" t="str">
        <f>IF(N14=Data!$BI$5,"Yes",IF(N14=Data!$BI$6,"Yes","No"))</f>
        <v>No</v>
      </c>
      <c r="DF14" s="65" t="b">
        <f>IF(N14=Data!$BI$3,Data!$JB$2,IF(N14=Data!$BI$4,Data!$JC$2,IF(N14=Data!$BI$5,Data!$JD$2,IF(N14=Data!$BI$6,Data!$JE$2,IF(N14=Data!$BI$7,Data!$JF$2, IF(N14=Data!$BI$8,Data!$JA$2, IF(N14=Data!$BI$9,Data!$JG$2)))))))</f>
        <v>0</v>
      </c>
      <c r="DI14" s="65" t="e">
        <f>VLOOKUP(O14,Data!$DO$4:$DQ$156,3,FALSE)</f>
        <v>#N/A</v>
      </c>
      <c r="DJ14" s="54" t="e">
        <f t="shared" si="10"/>
        <v>#N/A</v>
      </c>
      <c r="DK14" s="54" t="e">
        <f t="shared" si="35"/>
        <v>#N/A</v>
      </c>
      <c r="DL14" s="54" t="b">
        <f>IF(P14=Data!$BK$3,Data!$JH$2,IF(P14=Data!$BK$4,Data!$JI$2,IF(P14=Data!$BK$5,Data!$JJ$2,IF(P14=Data!$BK$6,Data!$JK$2,IF(P14=Data!$BK$7,Data!$JL$2,IF(P14=Data!$BK$8,Data!$JM$2,IF(P14=Data!$BK$9,Data!$JN$2,IF(P14=Data!$BK$10,Data!$JO$2,IF(P14=Data!$BK$11,Data!$JP$2,IF(P14=Data!$BK$12,Data!$JQ$2,IF(P14=Data!$BK$13,Data!$JR$2,IF(P14=Data!$BK$14,Data!$JS$2,IF(P14=Data!$BK$15,Data!$JT$2,IF(P14=Data!$BK$16,Data!$JU$2,IF(P14=Data!$BK$17,Data!$JV$2,IF(P14=Data!$BK$18,Data!$JW$2, IF(P14=Data!$BK$19,Data!$JX$2, IF(P14=Data!$BK$20,Data!$JY$2))))))))))))))))))</f>
        <v>0</v>
      </c>
      <c r="DN14" s="169" t="str">
        <f t="shared" si="36"/>
        <v/>
      </c>
      <c r="DO14" s="169" t="e">
        <f t="shared" si="37"/>
        <v>#N/A</v>
      </c>
      <c r="DP14" s="169" t="str">
        <f t="shared" si="38"/>
        <v>OK</v>
      </c>
      <c r="DQ14" s="169" t="str">
        <f t="shared" si="39"/>
        <v>OK</v>
      </c>
      <c r="DR14" s="169" t="str">
        <f t="shared" si="40"/>
        <v>OK</v>
      </c>
      <c r="DS14" s="169" t="str">
        <f t="shared" si="41"/>
        <v>OK</v>
      </c>
      <c r="DT14" s="65" t="b">
        <f>IF(N14=Data!$LW$2,Data!$LX$1,IF(N14=Data!$LW$3,Data!$LY$1,IF(N14=Data!$LW$4,Data!$LZ$1,IF(N14=Data!$LW$5,Data!$MA$1,IF(N14=Data!$LW$6,Data!$MB$1,IF(N14=Data!$LW$7,Data!$MC$1, IF(N14=Data!$LW$8,Data!$MX$1)))))))</f>
        <v>0</v>
      </c>
      <c r="DU14" s="65" t="b">
        <f>IF(E14=Data!$MD$2,Data!$ME$2, IF(E14=Data!$MD$3,Data!$MF$2, IF(E14=Data!$MD$4,Data!$MG$2)))</f>
        <v>0</v>
      </c>
      <c r="DV14" s="54" t="str">
        <f>IF(E14="MS", Data!$AK$1, Data!$EJ$2)</f>
        <v>Special_Window</v>
      </c>
      <c r="DW14" s="65" t="str">
        <f>IF(OR(AND(S14="",P14&lt;&gt;"")),VLOOKUP(P14,Data!$FC$2:$FD$18,2,FALSE),"")</f>
        <v/>
      </c>
      <c r="DX14" s="65" t="str">
        <f>IF(OR(AND(T14="",P14&lt;&gt;"")),VLOOKUP(P14,Data!$FC$2:$FD$18,2,FALSE),"")</f>
        <v/>
      </c>
      <c r="DY14" s="65" t="str">
        <f>IF(OR(AND(U14="",P14&lt;&gt;"")),VLOOKUP(P14,Data!$FC$2:$FD$18,2,FALSE),"")</f>
        <v/>
      </c>
      <c r="DZ14" s="157" t="e">
        <f>VLOOKUP(N14,Data!$MK$2:$ML$8,2,FALSE)</f>
        <v>#N/A</v>
      </c>
      <c r="EA14" s="65" t="e">
        <f>VLOOKUP(O14,Data!$DO$4:$DO$157,1,FALSE)</f>
        <v>#N/A</v>
      </c>
      <c r="EB14" s="65" t="e">
        <f t="shared" si="42"/>
        <v>#N/A</v>
      </c>
      <c r="EC14" s="54" t="str">
        <f t="shared" si="43"/>
        <v/>
      </c>
      <c r="ED14" s="157" t="str">
        <f t="shared" si="44"/>
        <v>OK</v>
      </c>
      <c r="EE14" s="169" t="b">
        <f>IF(P14=Data!$NN$3,Data!$NO$2, IF(P14=Data!$NN$4,Data!$NP$2, IF(P14=Data!$NN$5,Data!$NQ$2, IF(P14=Data!$NN$6,Data!$NR$2, IF(P14=Data!$NN$7,Data!$NS$2, IF(P14=Data!$NN$8,Data!$NT$2, IF(P14=Data!$NN$9,Data!$NU$2, IF(P14=Data!$NN$10,Data!$NV$2, IF(P14=Data!$NN$11,Data!$NW$2, IF(P14=Data!$NN$12,Data!$NX$2, IF(P14=Data!$NN$13,Data!$NY$2, IF(P14=Data!$NN$14,Data!$NZ$2, IF(P14=Data!$NN$15,Data!$OA$2, IF(P14=Data!$NN$16,Data!$OB$2, IF(P14=Data!$NN$17,Data!$OC$2, IF(P14=Data!$NN$18,Data!$OD$2, IF(P14=Data!$NN$19,Data!$OE$2, IF(P14=Data!$NN$20,Data!$OG$2))))))))))))))))))</f>
        <v>0</v>
      </c>
      <c r="EF14" s="169" t="b">
        <f>IF(P14=Data!$NN$3,Data!$NO$15,IF(P14=Data!$NN$4,Data!$NP$15,IF(P14=Data!$NN$5,Data!$NQ$15,IF(P14=Data!$NN$6,Data!$NR$15,IF(P14=Data!$NN$7,Data!$NS$15,IF(P14=Data!$NN$8,Data!$NT$15,IF(P14=Data!$NN$9,Data!$NU$15,IF(P14=Data!$NN$10,Data!$NV$15,IF(P14=Data!$NN$11,Data!$NW$15,IF(P14=Data!$NN$12,Data!$NX$15,IF(P14=Data!$NN$13,Data!$NY$15,IF(P14=Data!$NN$14,Data!$NZ$15,IF(N14=Data!$NN$22,Data!$OA$15,IF(N14=Data!$NN$23,Data!$OB$15,IF(P14=Data!$NN$19,Data!$OC$15, IF(P14=Data!$NN$20,Data!$OG$15))))))))))))))))</f>
        <v>0</v>
      </c>
      <c r="EG14" s="330" t="e">
        <f>MATCH(G14, Data!$CW$10:$CW$14,0)</f>
        <v>#N/A</v>
      </c>
      <c r="EH14" s="169" t="e">
        <f>MATCH(J14,Data!$CX$9:$DA$9,0)</f>
        <v>#N/A</v>
      </c>
      <c r="EI14" s="334" t="e">
        <f>INDEX(Data!$CX$10:$DA$14,Shutters!EG14,Shutters!EH14)</f>
        <v>#N/A</v>
      </c>
      <c r="EJ14" s="169" t="str">
        <f>IF(SUM(--ISNUMBER(SEARCH({"combo","Combo","COMBO"}, B31))),"Yes","No")</f>
        <v>No</v>
      </c>
      <c r="EK14" s="169" t="str">
        <f>IF(SUM(--ISNUMBER(SEARCH({"combo","Combo","COMBO"}, F31))),"Yes","No")</f>
        <v>No</v>
      </c>
      <c r="EL14" s="169" t="str">
        <f t="shared" si="45"/>
        <v>No</v>
      </c>
      <c r="EM14" s="157">
        <f t="shared" si="46"/>
        <v>1</v>
      </c>
      <c r="EN14" s="157" t="e">
        <f t="shared" si="47"/>
        <v>#DIV/0!</v>
      </c>
      <c r="EO14" s="169" t="str">
        <f t="shared" si="48"/>
        <v/>
      </c>
      <c r="EP14" s="330" t="str">
        <f t="shared" si="49"/>
        <v/>
      </c>
      <c r="EQ14" s="330" t="str">
        <f t="shared" si="50"/>
        <v/>
      </c>
      <c r="ER14" s="169" t="str">
        <f t="shared" si="51"/>
        <v/>
      </c>
      <c r="ES14" s="169" t="str">
        <f t="shared" si="52"/>
        <v/>
      </c>
      <c r="ET14" s="169" t="str">
        <f t="shared" si="53"/>
        <v/>
      </c>
      <c r="EU14" s="264" t="str">
        <f t="shared" si="54"/>
        <v>No</v>
      </c>
      <c r="EV14" s="330" t="e">
        <f>MATCH(G14,Data!$FH$18:$FL$18,0)</f>
        <v>#N/A</v>
      </c>
      <c r="EW14" s="169" t="e">
        <f>MATCH(N14,Data!$FG$19:$FG$25,0)</f>
        <v>#N/A</v>
      </c>
      <c r="EX14" s="330" t="e">
        <f>INDEX(Data!$FH$19:$FL$25,Shutters!EW14,Shutters!EV14)</f>
        <v>#N/A</v>
      </c>
    </row>
    <row r="15" spans="1:154" ht="36.75" customHeight="1">
      <c r="A15" s="52">
        <v>7</v>
      </c>
      <c r="B15" s="17"/>
      <c r="C15" s="14"/>
      <c r="D15" s="14"/>
      <c r="E15" s="14"/>
      <c r="F15" s="10"/>
      <c r="G15" s="13"/>
      <c r="H15" s="699"/>
      <c r="I15" s="729"/>
      <c r="J15" s="14"/>
      <c r="K15" s="144" t="str">
        <f t="shared" si="11"/>
        <v/>
      </c>
      <c r="L15" s="15"/>
      <c r="M15" s="15"/>
      <c r="N15" s="15"/>
      <c r="O15" s="15"/>
      <c r="P15" s="565"/>
      <c r="Q15" s="565"/>
      <c r="R15" s="13"/>
      <c r="S15" s="13"/>
      <c r="T15" s="13"/>
      <c r="U15" s="13"/>
      <c r="V15" s="15"/>
      <c r="W15" s="15"/>
      <c r="X15" s="16"/>
      <c r="Y15" s="16"/>
      <c r="Z15" s="14"/>
      <c r="AA15" s="14"/>
      <c r="AB15" s="14"/>
      <c r="AC15" s="18"/>
      <c r="AD15" s="164" t="str">
        <f t="shared" si="0"/>
        <v/>
      </c>
      <c r="AE15" s="229"/>
      <c r="AF15" s="230"/>
      <c r="AU15" s="108" t="str">
        <f t="shared" si="12"/>
        <v/>
      </c>
      <c r="AV15" s="65" t="e">
        <f t="shared" si="13"/>
        <v>#N/A</v>
      </c>
      <c r="AW15" s="169" t="e">
        <f>VLOOKUP(P15,Data!$MI$2:$MJ$4,2,FALSE)</f>
        <v>#N/A</v>
      </c>
      <c r="AX15" s="169" t="e">
        <f t="shared" si="14"/>
        <v>#N/A</v>
      </c>
      <c r="AY15" s="169" t="e">
        <f>VLOOKUP(N15,Data!$BI$24:$BJ$30,2,FALSE)</f>
        <v>#N/A</v>
      </c>
      <c r="AZ15" s="155" t="b">
        <f>IF(G15=Data!$BO$2,Data!$BS$2, IF(Shutters!G15=Data!$BP$2,Data!$BT$2, IF(Shutters!G15=Data!$BQ$2,Data!$BU$2)))</f>
        <v>0</v>
      </c>
      <c r="BA15" s="340" t="str">
        <f t="shared" si="15"/>
        <v>No</v>
      </c>
      <c r="BB15" s="155" t="e">
        <f t="shared" si="16"/>
        <v>#DIV/0!</v>
      </c>
      <c r="BC15" s="340" t="e">
        <f t="shared" si="17"/>
        <v>#DIV/0!</v>
      </c>
      <c r="BD15" s="155" t="e">
        <f t="shared" si="1"/>
        <v>#DIV/0!</v>
      </c>
      <c r="BE15" s="340" t="str">
        <f t="shared" si="18"/>
        <v>No</v>
      </c>
      <c r="BF15" s="155" t="str">
        <f t="shared" si="19"/>
        <v>NotRequired</v>
      </c>
      <c r="BG15" s="155" t="b">
        <f>IF(G15=Data!$BO$2,Data!$CM$2, IF(Shutters!G15=Data!$BP$2,Data!$CN$2, IF(Shutters!G15=Data!$BQ$2,Data!$CO$2)))</f>
        <v>0</v>
      </c>
      <c r="BH15" s="155" t="e">
        <f t="shared" si="20"/>
        <v>#DIV/0!</v>
      </c>
      <c r="BI15" s="156" t="str">
        <f t="shared" si="2"/>
        <v>NoHighlight</v>
      </c>
      <c r="BJ15" s="340" t="str">
        <f t="shared" si="21"/>
        <v>FauxwoodRPNo</v>
      </c>
      <c r="BK15" s="156" t="str">
        <f>IF(SUM(--ISNUMBER( SEARCH({"t","T"},O15))),"Yes","No")</f>
        <v>No</v>
      </c>
      <c r="BL15" s="156" t="str">
        <f t="shared" si="22"/>
        <v>OK</v>
      </c>
      <c r="BM15" s="156" t="str">
        <f t="shared" si="23"/>
        <v>OK</v>
      </c>
      <c r="BN15" s="156" t="str">
        <f t="shared" si="24"/>
        <v>OK</v>
      </c>
      <c r="BO15" s="156" t="e">
        <f>IF(OR(AND(F15&gt;1,#REF!="L",#REF!="l"),AND(F15&gt;1,#REF!="R",#REF!="r"),AND(F15&gt;2,#REF!="LR",#REF!="lr")), "Error","OK")</f>
        <v>#REF!</v>
      </c>
      <c r="BP15" s="156" t="str">
        <f t="shared" si="3"/>
        <v>FauxwoodAINo</v>
      </c>
      <c r="BQ15" s="156" t="str">
        <f>IF(SUM(--ISNUMBER(SEARCH({"combo","Combo","COMBO"}, B32))),"Yes","No")</f>
        <v>No</v>
      </c>
      <c r="BR15" s="156" t="str">
        <f t="shared" si="25"/>
        <v>No</v>
      </c>
      <c r="BS15" s="156" t="str">
        <f>IF(SUM(--ISNUMBER( SEARCH({"c","C","b","B"},#REF!))),"Yes","No")</f>
        <v>No</v>
      </c>
      <c r="BT15" s="157">
        <f t="shared" si="4"/>
        <v>0</v>
      </c>
      <c r="BU15" s="169" t="str">
        <f>IF(N15=Data!$BI$3,Data!$DR$3,IF(N15=Data!$BI$4,Data!$DS$3,IF(N15=Data!$BI$5,Data!$DT$3,IF(N15=Data!$BI$6,Data!$DU$3,IF(N15=Data!$BI$7,Data!$DV$3, IF(N15=Data!$BI$8,Data!$DX$3, IF(N15=Data!$BI$9,Data!$DW$3, "")))))))</f>
        <v/>
      </c>
      <c r="BV15" s="169" t="str">
        <f>IF(N15=Data!$BI$3,Data!$DY$3,IF(N15=Data!$BI$4,Data!$DZ$3,IF(N15=Data!$BI$5,Data!$EA$3,IF(N15=Data!$BI$6,Data!$EB$3,IF(N15=Data!$BI$7,Data!$EC$3,IF(N15=Data!$BI$8,Data!$EE$3, IF(N15=Data!$BI$9,Data!$ED$3,"")))))))</f>
        <v/>
      </c>
      <c r="BW15" s="157">
        <f t="shared" si="5"/>
        <v>0</v>
      </c>
      <c r="BX15" s="157">
        <f t="shared" si="6"/>
        <v>0</v>
      </c>
      <c r="BY15" s="169" t="e">
        <f t="shared" si="26"/>
        <v>#DIV/0!</v>
      </c>
      <c r="BZ15" s="330" t="b">
        <f>IF(G15=Data!$EU$2,Data!$ES$2,IF(G15=Data!$EU$3,Data!$ER$2, IF(G15=Data!$EU$5,Data!$ET$2, IF(G15=Data!$EU$4,Data!$EQ$2,IF(G15=Data!$EU$6,Data!$ER$2)))))</f>
        <v>0</v>
      </c>
      <c r="CA15" s="330" t="b">
        <f>IF(G15=Data!$EU$2,Data!$EW$2,IF(G15=Data!$EU$3,Data!$EX$2,IF(G15=Data!$EU$4,Data!$EY$2, IF(G15=Data!$EU$5,Data!$EY$2,IF(G15=Data!$EU$6,Data!$EX$2)))))</f>
        <v>0</v>
      </c>
      <c r="CB15" s="169" t="e">
        <f>VLOOKUP(M15,Data!$EJ$3:$EK$14,2,FALSE)</f>
        <v>#N/A</v>
      </c>
      <c r="CC15" s="169" t="str">
        <f>IF(J15="114mm",VLOOKUP(H15,Data!$FA$2:$FB$18,2,FALSE),"OK")</f>
        <v>OK</v>
      </c>
      <c r="CD15" s="169" t="e">
        <f t="shared" si="7"/>
        <v>#DIV/0!</v>
      </c>
      <c r="CE15" s="169" t="str">
        <f>IF(OR(AND(R15="",P15&lt;&gt;"")),VLOOKUP(P15,Data!$FC$2:$FD$18,2,FALSE),"")</f>
        <v/>
      </c>
      <c r="CF15" s="169" t="str">
        <f>IF(N15=Data!$BI$3,Data!$FJ$1,IF(N15=Data!$BI$4,Data!$FK$1,IF(N15=Data!$BI$5,Data!$FL$1,IF(N15=Data!$BI$6,Data!$FM$1,IF(N15=Data!$BI$7,Data!$FN$1, IF(N15=Data!$BI$8,Data!$FO$1, IF(N15=Data!$BI$9,Data!$FI$1, "")))))))</f>
        <v/>
      </c>
      <c r="CG15" s="169" t="str">
        <f>IF(SUM(--ISNUMBER(SEARCH({"z","Z"}, P15))),"Yes","No")</f>
        <v>No</v>
      </c>
      <c r="CH15" s="169" t="str">
        <f t="shared" si="8"/>
        <v>OK</v>
      </c>
      <c r="CI15" s="169">
        <f t="shared" si="27"/>
        <v>0</v>
      </c>
      <c r="CJ15" s="169" t="e">
        <f>VLOOKUP(O15,Data!$DO$4:$DP$156,2,FALSE)</f>
        <v>#N/A</v>
      </c>
      <c r="CK15" s="169" t="e">
        <f t="shared" si="9"/>
        <v>#N/A</v>
      </c>
      <c r="CL15" s="157"/>
      <c r="CM15" s="157"/>
      <c r="CN15" s="157"/>
      <c r="CO15" s="344" t="str">
        <f t="shared" si="28"/>
        <v>OK</v>
      </c>
      <c r="CP15" s="169" t="b">
        <f t="shared" si="29"/>
        <v>0</v>
      </c>
      <c r="CQ15" s="169">
        <f t="shared" si="30"/>
        <v>0</v>
      </c>
      <c r="CR15" s="169">
        <f t="shared" si="31"/>
        <v>1</v>
      </c>
      <c r="CS15" s="169">
        <f t="shared" si="32"/>
        <v>0</v>
      </c>
      <c r="CT15" s="157" t="e">
        <f t="shared" si="33"/>
        <v>#DIV/0!</v>
      </c>
      <c r="CU15" s="169" t="b">
        <f>IF(H15=Data!$BD$3,Data!$HC$2,IF(H15=Data!$BD$4,Data!$HM$2,IF(H15=Data!$BD$5,Data!$HF$2,IF(H15=Data!$BD$6,Data!$HB$2,IF(H15=Data!$BD$7,Data!$HD$2,IF(H15=Data!$BD$8,Data!$HJ$2,IF(H15=Data!$BD$9,Data!$HN$2,IF(H15=Data!$BD$10,Data!$HA$2,IF(H15=Data!$BD$11,Data!$HI$2)))))))))</f>
        <v>0</v>
      </c>
      <c r="CV15" s="276" t="b">
        <f>IF(H15=Data!$BE$3,Data!$HQ$2, IF(H15=Data!$BE$4,Data!$HP$2, IF(H15=Data!$BE$5,Data!$HR$2, IF(H15=Data!$BE$6,Data!$HO$2))))</f>
        <v>0</v>
      </c>
      <c r="CW15" s="330" t="b">
        <f>IF(H15=Data!$BH$3,Data!$HU$2, IF(H15=Data!$BH$4,Data!$HT$2, IF(H15=Data!$BH$5,Data!$HS$2)))</f>
        <v>0</v>
      </c>
      <c r="CX15" s="330" t="b">
        <f>IF(H15=Data!$BF$3,Data!$HQ$16, IF(H15=Data!$BF$4,Data!$HP$16, IF(H15=Data!$BF$5,Data!$HR$16, IF(H15=Data!$BF$6,Data!$HO$16))))</f>
        <v>0</v>
      </c>
      <c r="CY15" s="330" t="b">
        <f>IF(G15=Data!$BC$3,Shutters!CU15,IF(G15=Data!$BC$4,Shutters!CV15,IF(G15=Data!$BC$6,Shutters!CW15, IF(G15=Data!$BC$5, Shutters!CX15,IF(G15=Data!$BC$7,Shutters!CV15)))))</f>
        <v>0</v>
      </c>
      <c r="CZ15" s="157" t="e">
        <f>IF(OR(AND(L15&gt;0,#REF!="")), "Error","OK")</f>
        <v>#REF!</v>
      </c>
      <c r="DA15" s="169" t="e">
        <f>IF(COUNTIF(#REF!,Data!$CX$6),"Yes","")</f>
        <v>#REF!</v>
      </c>
      <c r="DB15" s="54" t="str">
        <f t="shared" si="34"/>
        <v/>
      </c>
      <c r="DE15" s="54" t="str">
        <f>IF(N15=Data!$BI$5,"Yes",IF(N15=Data!$BI$6,"Yes","No"))</f>
        <v>No</v>
      </c>
      <c r="DF15" s="65" t="b">
        <f>IF(N15=Data!$BI$3,Data!$JB$2,IF(N15=Data!$BI$4,Data!$JC$2,IF(N15=Data!$BI$5,Data!$JD$2,IF(N15=Data!$BI$6,Data!$JE$2,IF(N15=Data!$BI$7,Data!$JF$2, IF(N15=Data!$BI$8,Data!$JA$2, IF(N15=Data!$BI$9,Data!$JG$2)))))))</f>
        <v>0</v>
      </c>
      <c r="DI15" s="65" t="e">
        <f>VLOOKUP(O15,Data!$DO$4:$DQ$156,3,FALSE)</f>
        <v>#N/A</v>
      </c>
      <c r="DJ15" s="54" t="e">
        <f t="shared" si="10"/>
        <v>#N/A</v>
      </c>
      <c r="DK15" s="54" t="e">
        <f t="shared" si="35"/>
        <v>#N/A</v>
      </c>
      <c r="DL15" s="54" t="b">
        <f>IF(P15=Data!$BK$3,Data!$JH$2,IF(P15=Data!$BK$4,Data!$JI$2,IF(P15=Data!$BK$5,Data!$JJ$2,IF(P15=Data!$BK$6,Data!$JK$2,IF(P15=Data!$BK$7,Data!$JL$2,IF(P15=Data!$BK$8,Data!$JM$2,IF(P15=Data!$BK$9,Data!$JN$2,IF(P15=Data!$BK$10,Data!$JO$2,IF(P15=Data!$BK$11,Data!$JP$2,IF(P15=Data!$BK$12,Data!$JQ$2,IF(P15=Data!$BK$13,Data!$JR$2,IF(P15=Data!$BK$14,Data!$JS$2,IF(P15=Data!$BK$15,Data!$JT$2,IF(P15=Data!$BK$16,Data!$JU$2,IF(P15=Data!$BK$17,Data!$JV$2,IF(P15=Data!$BK$18,Data!$JW$2, IF(P15=Data!$BK$19,Data!$JX$2, IF(P15=Data!$BK$20,Data!$JY$2))))))))))))))))))</f>
        <v>0</v>
      </c>
      <c r="DN15" s="169" t="str">
        <f t="shared" si="36"/>
        <v/>
      </c>
      <c r="DO15" s="169" t="e">
        <f t="shared" si="37"/>
        <v>#N/A</v>
      </c>
      <c r="DP15" s="169" t="str">
        <f t="shared" si="38"/>
        <v>OK</v>
      </c>
      <c r="DQ15" s="169" t="str">
        <f t="shared" si="39"/>
        <v>OK</v>
      </c>
      <c r="DR15" s="169" t="str">
        <f t="shared" si="40"/>
        <v>OK</v>
      </c>
      <c r="DS15" s="169" t="str">
        <f t="shared" si="41"/>
        <v>OK</v>
      </c>
      <c r="DT15" s="65" t="b">
        <f>IF(N15=Data!$LW$2,Data!$LX$1,IF(N15=Data!$LW$3,Data!$LY$1,IF(N15=Data!$LW$4,Data!$LZ$1,IF(N15=Data!$LW$5,Data!$MA$1,IF(N15=Data!$LW$6,Data!$MB$1,IF(N15=Data!$LW$7,Data!$MC$1, IF(N15=Data!$LW$8,Data!$MX$1)))))))</f>
        <v>0</v>
      </c>
      <c r="DU15" s="65" t="b">
        <f>IF(E15=Data!$MD$2,Data!$ME$2, IF(E15=Data!$MD$3,Data!$MF$2, IF(E15=Data!$MD$4,Data!$MG$2)))</f>
        <v>0</v>
      </c>
      <c r="DV15" s="54" t="str">
        <f>IF(E15="MS", Data!$AK$1, Data!$EJ$2)</f>
        <v>Special_Window</v>
      </c>
      <c r="DW15" s="65" t="str">
        <f>IF(OR(AND(S15="",P15&lt;&gt;"")),VLOOKUP(P15,Data!$FC$2:$FD$18,2,FALSE),"")</f>
        <v/>
      </c>
      <c r="DX15" s="65" t="str">
        <f>IF(OR(AND(T15="",P15&lt;&gt;"")),VLOOKUP(P15,Data!$FC$2:$FD$18,2,FALSE),"")</f>
        <v/>
      </c>
      <c r="DY15" s="65" t="str">
        <f>IF(OR(AND(U15="",P15&lt;&gt;"")),VLOOKUP(P15,Data!$FC$2:$FD$18,2,FALSE),"")</f>
        <v/>
      </c>
      <c r="DZ15" s="157" t="e">
        <f>VLOOKUP(N15,Data!$MK$2:$ML$8,2,FALSE)</f>
        <v>#N/A</v>
      </c>
      <c r="EA15" s="65" t="e">
        <f>VLOOKUP(O15,Data!$DO$4:$DO$157,1,FALSE)</f>
        <v>#N/A</v>
      </c>
      <c r="EB15" s="65" t="e">
        <f t="shared" si="42"/>
        <v>#N/A</v>
      </c>
      <c r="EC15" s="54" t="str">
        <f t="shared" si="43"/>
        <v/>
      </c>
      <c r="ED15" s="157" t="str">
        <f t="shared" si="44"/>
        <v>OK</v>
      </c>
      <c r="EE15" s="169" t="b">
        <f>IF(P15=Data!$NN$3,Data!$NO$2, IF(P15=Data!$NN$4,Data!$NP$2, IF(P15=Data!$NN$5,Data!$NQ$2, IF(P15=Data!$NN$6,Data!$NR$2, IF(P15=Data!$NN$7,Data!$NS$2, IF(P15=Data!$NN$8,Data!$NT$2, IF(P15=Data!$NN$9,Data!$NU$2, IF(P15=Data!$NN$10,Data!$NV$2, IF(P15=Data!$NN$11,Data!$NW$2, IF(P15=Data!$NN$12,Data!$NX$2, IF(P15=Data!$NN$13,Data!$NY$2, IF(P15=Data!$NN$14,Data!$NZ$2, IF(P15=Data!$NN$15,Data!$OA$2, IF(P15=Data!$NN$16,Data!$OB$2, IF(P15=Data!$NN$17,Data!$OC$2, IF(P15=Data!$NN$18,Data!$OD$2, IF(P15=Data!$NN$19,Data!$OE$2, IF(P15=Data!$NN$20,Data!$OG$2))))))))))))))))))</f>
        <v>0</v>
      </c>
      <c r="EF15" s="169" t="b">
        <f>IF(P15=Data!$NN$3,Data!$NO$15,IF(P15=Data!$NN$4,Data!$NP$15,IF(P15=Data!$NN$5,Data!$NQ$15,IF(P15=Data!$NN$6,Data!$NR$15,IF(P15=Data!$NN$7,Data!$NS$15,IF(P15=Data!$NN$8,Data!$NT$15,IF(P15=Data!$NN$9,Data!$NU$15,IF(P15=Data!$NN$10,Data!$NV$15,IF(P15=Data!$NN$11,Data!$NW$15,IF(P15=Data!$NN$12,Data!$NX$15,IF(P15=Data!$NN$13,Data!$NY$15,IF(P15=Data!$NN$14,Data!$NZ$15,IF(N15=Data!$NN$22,Data!$OA$15,IF(N15=Data!$NN$23,Data!$OB$15,IF(P15=Data!$NN$19,Data!$OC$15, IF(P15=Data!$NN$20,Data!$OG$15))))))))))))))))</f>
        <v>0</v>
      </c>
      <c r="EG15" s="330" t="e">
        <f>MATCH(G15, Data!$CW$10:$CW$14,0)</f>
        <v>#N/A</v>
      </c>
      <c r="EH15" s="169" t="e">
        <f>MATCH(J15,Data!$CX$9:$DA$9,0)</f>
        <v>#N/A</v>
      </c>
      <c r="EI15" s="334" t="e">
        <f>INDEX(Data!$CX$10:$DA$14,Shutters!EG15,Shutters!EH15)</f>
        <v>#N/A</v>
      </c>
      <c r="EJ15" s="169" t="str">
        <f>IF(SUM(--ISNUMBER(SEARCH({"combo","Combo","COMBO"}, B32))),"Yes","No")</f>
        <v>No</v>
      </c>
      <c r="EK15" s="169" t="str">
        <f>IF(SUM(--ISNUMBER(SEARCH({"combo","Combo","COMBO"}, F32))),"Yes","No")</f>
        <v>No</v>
      </c>
      <c r="EL15" s="169" t="str">
        <f t="shared" si="45"/>
        <v>No</v>
      </c>
      <c r="EM15" s="157">
        <f t="shared" si="46"/>
        <v>1</v>
      </c>
      <c r="EN15" s="157" t="e">
        <f t="shared" si="47"/>
        <v>#DIV/0!</v>
      </c>
      <c r="EO15" s="169" t="str">
        <f t="shared" si="48"/>
        <v/>
      </c>
      <c r="EP15" s="330" t="str">
        <f t="shared" si="49"/>
        <v/>
      </c>
      <c r="EQ15" s="330" t="str">
        <f t="shared" si="50"/>
        <v/>
      </c>
      <c r="ER15" s="169" t="str">
        <f t="shared" si="51"/>
        <v/>
      </c>
      <c r="ES15" s="169" t="str">
        <f t="shared" si="52"/>
        <v/>
      </c>
      <c r="ET15" s="169" t="str">
        <f t="shared" si="53"/>
        <v/>
      </c>
      <c r="EU15" s="264" t="str">
        <f t="shared" si="54"/>
        <v>No</v>
      </c>
      <c r="EV15" s="330" t="e">
        <f>MATCH(G15,Data!$FH$18:$FL$18,0)</f>
        <v>#N/A</v>
      </c>
      <c r="EW15" s="169" t="e">
        <f>MATCH(N15,Data!$FG$19:$FG$25,0)</f>
        <v>#N/A</v>
      </c>
      <c r="EX15" s="330" t="e">
        <f>INDEX(Data!$FH$19:$FL$25,Shutters!EW15,Shutters!EV15)</f>
        <v>#N/A</v>
      </c>
    </row>
    <row r="16" spans="1:154" ht="36.75" customHeight="1">
      <c r="A16" s="52">
        <v>8</v>
      </c>
      <c r="B16" s="17"/>
      <c r="C16" s="14"/>
      <c r="D16" s="14"/>
      <c r="E16" s="14"/>
      <c r="F16" s="10"/>
      <c r="G16" s="13"/>
      <c r="H16" s="699"/>
      <c r="I16" s="729"/>
      <c r="J16" s="14"/>
      <c r="K16" s="144" t="str">
        <f t="shared" si="11"/>
        <v/>
      </c>
      <c r="L16" s="15"/>
      <c r="M16" s="15"/>
      <c r="N16" s="15"/>
      <c r="O16" s="15"/>
      <c r="P16" s="565"/>
      <c r="Q16" s="565"/>
      <c r="R16" s="13"/>
      <c r="S16" s="13"/>
      <c r="T16" s="13"/>
      <c r="U16" s="13"/>
      <c r="V16" s="15"/>
      <c r="W16" s="15"/>
      <c r="X16" s="16"/>
      <c r="Y16" s="16"/>
      <c r="Z16" s="14"/>
      <c r="AA16" s="14"/>
      <c r="AB16" s="14"/>
      <c r="AC16" s="18"/>
      <c r="AD16" s="164" t="str">
        <f t="shared" si="0"/>
        <v/>
      </c>
      <c r="AE16" s="229"/>
      <c r="AF16" s="230"/>
      <c r="AU16" s="108" t="str">
        <f t="shared" si="12"/>
        <v/>
      </c>
      <c r="AV16" s="65" t="e">
        <f t="shared" si="13"/>
        <v>#N/A</v>
      </c>
      <c r="AW16" s="169" t="e">
        <f>VLOOKUP(P16,Data!$MI$2:$MJ$4,2,FALSE)</f>
        <v>#N/A</v>
      </c>
      <c r="AX16" s="169" t="e">
        <f t="shared" si="14"/>
        <v>#N/A</v>
      </c>
      <c r="AY16" s="169" t="e">
        <f>VLOOKUP(N16,Data!$BI$24:$BJ$30,2,FALSE)</f>
        <v>#N/A</v>
      </c>
      <c r="AZ16" s="155" t="b">
        <f>IF(G16=Data!$BO$2,Data!$BS$2, IF(Shutters!G16=Data!$BP$2,Data!$BT$2, IF(Shutters!G16=Data!$BQ$2,Data!$BU$2)))</f>
        <v>0</v>
      </c>
      <c r="BA16" s="340" t="str">
        <f t="shared" si="15"/>
        <v>No</v>
      </c>
      <c r="BB16" s="155" t="e">
        <f t="shared" si="16"/>
        <v>#DIV/0!</v>
      </c>
      <c r="BC16" s="340" t="e">
        <f t="shared" si="17"/>
        <v>#DIV/0!</v>
      </c>
      <c r="BD16" s="155" t="e">
        <f t="shared" si="1"/>
        <v>#DIV/0!</v>
      </c>
      <c r="BE16" s="340" t="str">
        <f t="shared" si="18"/>
        <v>No</v>
      </c>
      <c r="BF16" s="155" t="str">
        <f t="shared" si="19"/>
        <v>NotRequired</v>
      </c>
      <c r="BG16" s="155" t="b">
        <f>IF(G16=Data!$BO$2,Data!$CM$2, IF(Shutters!G16=Data!$BP$2,Data!$CN$2, IF(Shutters!G16=Data!$BQ$2,Data!$CO$2)))</f>
        <v>0</v>
      </c>
      <c r="BH16" s="155" t="e">
        <f t="shared" si="20"/>
        <v>#DIV/0!</v>
      </c>
      <c r="BI16" s="156" t="str">
        <f t="shared" si="2"/>
        <v>NoHighlight</v>
      </c>
      <c r="BJ16" s="340" t="str">
        <f t="shared" si="21"/>
        <v>FauxwoodRPNo</v>
      </c>
      <c r="BK16" s="156" t="str">
        <f>IF(SUM(--ISNUMBER( SEARCH({"t","T"},O16))),"Yes","No")</f>
        <v>No</v>
      </c>
      <c r="BL16" s="156" t="str">
        <f t="shared" si="22"/>
        <v>OK</v>
      </c>
      <c r="BM16" s="156" t="str">
        <f t="shared" si="23"/>
        <v>OK</v>
      </c>
      <c r="BN16" s="156" t="str">
        <f t="shared" si="24"/>
        <v>OK</v>
      </c>
      <c r="BO16" s="156" t="e">
        <f>IF(OR(AND(F16&gt;1,#REF!="L",#REF!="l"),AND(F16&gt;1,#REF!="R",#REF!="r"),AND(F16&gt;2,#REF!="LR",#REF!="lr")), "Error","OK")</f>
        <v>#REF!</v>
      </c>
      <c r="BP16" s="156" t="str">
        <f t="shared" si="3"/>
        <v>FauxwoodAINo</v>
      </c>
      <c r="BQ16" s="156" t="str">
        <f>IF(SUM(--ISNUMBER(SEARCH({"combo","Combo","COMBO"}, B33))),"Yes","No")</f>
        <v>No</v>
      </c>
      <c r="BR16" s="156" t="str">
        <f t="shared" si="25"/>
        <v>No</v>
      </c>
      <c r="BS16" s="156" t="str">
        <f>IF(SUM(--ISNUMBER( SEARCH({"c","C","b","B"},#REF!))),"Yes","No")</f>
        <v>No</v>
      </c>
      <c r="BT16" s="157">
        <f t="shared" si="4"/>
        <v>0</v>
      </c>
      <c r="BU16" s="169" t="str">
        <f>IF(N16=Data!$BI$3,Data!$DR$3,IF(N16=Data!$BI$4,Data!$DS$3,IF(N16=Data!$BI$5,Data!$DT$3,IF(N16=Data!$BI$6,Data!$DU$3,IF(N16=Data!$BI$7,Data!$DV$3, IF(N16=Data!$BI$8,Data!$DX$3, IF(N16=Data!$BI$9,Data!$DW$3, "")))))))</f>
        <v/>
      </c>
      <c r="BV16" s="169" t="str">
        <f>IF(N16=Data!$BI$3,Data!$DY$3,IF(N16=Data!$BI$4,Data!$DZ$3,IF(N16=Data!$BI$5,Data!$EA$3,IF(N16=Data!$BI$6,Data!$EB$3,IF(N16=Data!$BI$7,Data!$EC$3,IF(N16=Data!$BI$8,Data!$EE$3, IF(N16=Data!$BI$9,Data!$ED$3,"")))))))</f>
        <v/>
      </c>
      <c r="BW16" s="157">
        <f t="shared" si="5"/>
        <v>0</v>
      </c>
      <c r="BX16" s="157">
        <f t="shared" si="6"/>
        <v>0</v>
      </c>
      <c r="BY16" s="169" t="e">
        <f t="shared" si="26"/>
        <v>#DIV/0!</v>
      </c>
      <c r="BZ16" s="330" t="b">
        <f>IF(G16=Data!$EU$2,Data!$ES$2,IF(G16=Data!$EU$3,Data!$ER$2, IF(G16=Data!$EU$5,Data!$ET$2, IF(G16=Data!$EU$4,Data!$EQ$2,IF(G16=Data!$EU$6,Data!$ER$2)))))</f>
        <v>0</v>
      </c>
      <c r="CA16" s="330" t="b">
        <f>IF(G16=Data!$EU$2,Data!$EW$2,IF(G16=Data!$EU$3,Data!$EX$2,IF(G16=Data!$EU$4,Data!$EY$2, IF(G16=Data!$EU$5,Data!$EY$2,IF(G16=Data!$EU$6,Data!$EX$2)))))</f>
        <v>0</v>
      </c>
      <c r="CB16" s="169" t="e">
        <f>VLOOKUP(M16,Data!$EJ$3:$EK$14,2,FALSE)</f>
        <v>#N/A</v>
      </c>
      <c r="CC16" s="169" t="str">
        <f>IF(J16="114mm",VLOOKUP(H16,Data!$FA$2:$FB$18,2,FALSE),"OK")</f>
        <v>OK</v>
      </c>
      <c r="CD16" s="169" t="e">
        <f t="shared" si="7"/>
        <v>#DIV/0!</v>
      </c>
      <c r="CE16" s="169" t="str">
        <f>IF(OR(AND(R16="",P16&lt;&gt;"")),VLOOKUP(P16,Data!$FC$2:$FD$18,2,FALSE),"")</f>
        <v/>
      </c>
      <c r="CF16" s="169" t="str">
        <f>IF(N16=Data!$BI$3,Data!$FJ$1,IF(N16=Data!$BI$4,Data!$FK$1,IF(N16=Data!$BI$5,Data!$FL$1,IF(N16=Data!$BI$6,Data!$FM$1,IF(N16=Data!$BI$7,Data!$FN$1, IF(N16=Data!$BI$8,Data!$FO$1, IF(N16=Data!$BI$9,Data!$FI$1, "")))))))</f>
        <v/>
      </c>
      <c r="CG16" s="169" t="str">
        <f>IF(SUM(--ISNUMBER(SEARCH({"z","Z"}, P16))),"Yes","No")</f>
        <v>No</v>
      </c>
      <c r="CH16" s="169" t="str">
        <f t="shared" si="8"/>
        <v>OK</v>
      </c>
      <c r="CI16" s="169">
        <f t="shared" si="27"/>
        <v>0</v>
      </c>
      <c r="CJ16" s="169" t="e">
        <f>VLOOKUP(O16,Data!$DO$4:$DP$156,2,FALSE)</f>
        <v>#N/A</v>
      </c>
      <c r="CK16" s="169" t="e">
        <f t="shared" si="9"/>
        <v>#N/A</v>
      </c>
      <c r="CL16" s="157"/>
      <c r="CM16" s="157"/>
      <c r="CN16" s="157"/>
      <c r="CO16" s="344" t="str">
        <f t="shared" si="28"/>
        <v>OK</v>
      </c>
      <c r="CP16" s="169" t="b">
        <f t="shared" si="29"/>
        <v>0</v>
      </c>
      <c r="CQ16" s="169">
        <f t="shared" si="30"/>
        <v>0</v>
      </c>
      <c r="CR16" s="169">
        <f t="shared" si="31"/>
        <v>1</v>
      </c>
      <c r="CS16" s="169">
        <f t="shared" si="32"/>
        <v>0</v>
      </c>
      <c r="CT16" s="157" t="e">
        <f t="shared" si="33"/>
        <v>#DIV/0!</v>
      </c>
      <c r="CU16" s="169" t="b">
        <f>IF(H16=Data!$BD$3,Data!$HC$2,IF(H16=Data!$BD$4,Data!$HM$2,IF(H16=Data!$BD$5,Data!$HF$2,IF(H16=Data!$BD$6,Data!$HB$2,IF(H16=Data!$BD$7,Data!$HD$2,IF(H16=Data!$BD$8,Data!$HJ$2,IF(H16=Data!$BD$9,Data!$HN$2,IF(H16=Data!$BD$10,Data!$HA$2,IF(H16=Data!$BD$11,Data!$HI$2)))))))))</f>
        <v>0</v>
      </c>
      <c r="CV16" s="276" t="b">
        <f>IF(H16=Data!$BE$3,Data!$HQ$2, IF(H16=Data!$BE$4,Data!$HP$2, IF(H16=Data!$BE$5,Data!$HR$2, IF(H16=Data!$BE$6,Data!$HO$2))))</f>
        <v>0</v>
      </c>
      <c r="CW16" s="330" t="b">
        <f>IF(H16=Data!$BH$3,Data!$HU$2, IF(H16=Data!$BH$4,Data!$HT$2, IF(H16=Data!$BH$5,Data!$HS$2)))</f>
        <v>0</v>
      </c>
      <c r="CX16" s="330" t="b">
        <f>IF(H16=Data!$BF$3,Data!$HQ$16, IF(H16=Data!$BF$4,Data!$HP$16, IF(H16=Data!$BF$5,Data!$HR$16, IF(H16=Data!$BF$6,Data!$HO$16))))</f>
        <v>0</v>
      </c>
      <c r="CY16" s="330" t="b">
        <f>IF(G16=Data!$BC$3,Shutters!CU16,IF(G16=Data!$BC$4,Shutters!CV16,IF(G16=Data!$BC$6,Shutters!CW16, IF(G16=Data!$BC$5, Shutters!CX16,IF(G16=Data!$BC$7,Shutters!CV16)))))</f>
        <v>0</v>
      </c>
      <c r="CZ16" s="157" t="e">
        <f>IF(OR(AND(L16&gt;0,#REF!="")), "Error","OK")</f>
        <v>#REF!</v>
      </c>
      <c r="DA16" s="169" t="e">
        <f>IF(COUNTIF(#REF!,Data!$CX$6),"Yes","")</f>
        <v>#REF!</v>
      </c>
      <c r="DB16" s="54" t="str">
        <f t="shared" si="34"/>
        <v/>
      </c>
      <c r="DE16" s="54" t="str">
        <f>IF(N16=Data!$BI$5,"Yes",IF(N16=Data!$BI$6,"Yes","No"))</f>
        <v>No</v>
      </c>
      <c r="DF16" s="65" t="b">
        <f>IF(N16=Data!$BI$3,Data!$JB$2,IF(N16=Data!$BI$4,Data!$JC$2,IF(N16=Data!$BI$5,Data!$JD$2,IF(N16=Data!$BI$6,Data!$JE$2,IF(N16=Data!$BI$7,Data!$JF$2, IF(N16=Data!$BI$8,Data!$JA$2, IF(N16=Data!$BI$9,Data!$JG$2)))))))</f>
        <v>0</v>
      </c>
      <c r="DI16" s="65" t="e">
        <f>VLOOKUP(O16,Data!$DO$4:$DQ$156,3,FALSE)</f>
        <v>#N/A</v>
      </c>
      <c r="DJ16" s="54" t="e">
        <f t="shared" si="10"/>
        <v>#N/A</v>
      </c>
      <c r="DK16" s="54" t="e">
        <f t="shared" si="35"/>
        <v>#N/A</v>
      </c>
      <c r="DL16" s="54" t="b">
        <f>IF(P16=Data!$BK$3,Data!$JH$2,IF(P16=Data!$BK$4,Data!$JI$2,IF(P16=Data!$BK$5,Data!$JJ$2,IF(P16=Data!$BK$6,Data!$JK$2,IF(P16=Data!$BK$7,Data!$JL$2,IF(P16=Data!$BK$8,Data!$JM$2,IF(P16=Data!$BK$9,Data!$JN$2,IF(P16=Data!$BK$10,Data!$JO$2,IF(P16=Data!$BK$11,Data!$JP$2,IF(P16=Data!$BK$12,Data!$JQ$2,IF(P16=Data!$BK$13,Data!$JR$2,IF(P16=Data!$BK$14,Data!$JS$2,IF(P16=Data!$BK$15,Data!$JT$2,IF(P16=Data!$BK$16,Data!$JU$2,IF(P16=Data!$BK$17,Data!$JV$2,IF(P16=Data!$BK$18,Data!$JW$2, IF(P16=Data!$BK$19,Data!$JX$2, IF(P16=Data!$BK$20,Data!$JY$2))))))))))))))))))</f>
        <v>0</v>
      </c>
      <c r="DN16" s="169" t="str">
        <f t="shared" si="36"/>
        <v/>
      </c>
      <c r="DO16" s="169" t="e">
        <f t="shared" si="37"/>
        <v>#N/A</v>
      </c>
      <c r="DP16" s="169" t="str">
        <f t="shared" si="38"/>
        <v>OK</v>
      </c>
      <c r="DQ16" s="169" t="str">
        <f t="shared" si="39"/>
        <v>OK</v>
      </c>
      <c r="DR16" s="169" t="str">
        <f t="shared" si="40"/>
        <v>OK</v>
      </c>
      <c r="DS16" s="169" t="str">
        <f t="shared" si="41"/>
        <v>OK</v>
      </c>
      <c r="DT16" s="65" t="b">
        <f>IF(N16=Data!$LW$2,Data!$LX$1,IF(N16=Data!$LW$3,Data!$LY$1,IF(N16=Data!$LW$4,Data!$LZ$1,IF(N16=Data!$LW$5,Data!$MA$1,IF(N16=Data!$LW$6,Data!$MB$1,IF(N16=Data!$LW$7,Data!$MC$1, IF(N16=Data!$LW$8,Data!$MX$1)))))))</f>
        <v>0</v>
      </c>
      <c r="DU16" s="65" t="b">
        <f>IF(E16=Data!$MD$2,Data!$ME$2, IF(E16=Data!$MD$3,Data!$MF$2, IF(E16=Data!$MD$4,Data!$MG$2)))</f>
        <v>0</v>
      </c>
      <c r="DV16" s="54" t="str">
        <f>IF(E16="MS", Data!$AK$1, Data!$EJ$2)</f>
        <v>Special_Window</v>
      </c>
      <c r="DW16" s="65" t="str">
        <f>IF(OR(AND(S16="",P16&lt;&gt;"")),VLOOKUP(P16,Data!$FC$2:$FD$18,2,FALSE),"")</f>
        <v/>
      </c>
      <c r="DX16" s="65" t="str">
        <f>IF(OR(AND(T16="",P16&lt;&gt;"")),VLOOKUP(P16,Data!$FC$2:$FD$18,2,FALSE),"")</f>
        <v/>
      </c>
      <c r="DY16" s="65" t="str">
        <f>IF(OR(AND(U16="",P16&lt;&gt;"")),VLOOKUP(P16,Data!$FC$2:$FD$18,2,FALSE),"")</f>
        <v/>
      </c>
      <c r="DZ16" s="157" t="e">
        <f>VLOOKUP(N16,Data!$MK$2:$ML$8,2,FALSE)</f>
        <v>#N/A</v>
      </c>
      <c r="EA16" s="65" t="e">
        <f>VLOOKUP(O16,Data!$DO$4:$DO$157,1,FALSE)</f>
        <v>#N/A</v>
      </c>
      <c r="EB16" s="65" t="e">
        <f t="shared" si="42"/>
        <v>#N/A</v>
      </c>
      <c r="EC16" s="54" t="str">
        <f t="shared" si="43"/>
        <v/>
      </c>
      <c r="ED16" s="157" t="str">
        <f t="shared" si="44"/>
        <v>OK</v>
      </c>
      <c r="EE16" s="169" t="b">
        <f>IF(P16=Data!$NN$3,Data!$NO$2, IF(P16=Data!$NN$4,Data!$NP$2, IF(P16=Data!$NN$5,Data!$NQ$2, IF(P16=Data!$NN$6,Data!$NR$2, IF(P16=Data!$NN$7,Data!$NS$2, IF(P16=Data!$NN$8,Data!$NT$2, IF(P16=Data!$NN$9,Data!$NU$2, IF(P16=Data!$NN$10,Data!$NV$2, IF(P16=Data!$NN$11,Data!$NW$2, IF(P16=Data!$NN$12,Data!$NX$2, IF(P16=Data!$NN$13,Data!$NY$2, IF(P16=Data!$NN$14,Data!$NZ$2, IF(P16=Data!$NN$15,Data!$OA$2, IF(P16=Data!$NN$16,Data!$OB$2, IF(P16=Data!$NN$17,Data!$OC$2, IF(P16=Data!$NN$18,Data!$OD$2, IF(P16=Data!$NN$19,Data!$OE$2, IF(P16=Data!$NN$20,Data!$OG$2))))))))))))))))))</f>
        <v>0</v>
      </c>
      <c r="EF16" s="169" t="b">
        <f>IF(P16=Data!$NN$3,Data!$NO$15,IF(P16=Data!$NN$4,Data!$NP$15,IF(P16=Data!$NN$5,Data!$NQ$15,IF(P16=Data!$NN$6,Data!$NR$15,IF(P16=Data!$NN$7,Data!$NS$15,IF(P16=Data!$NN$8,Data!$NT$15,IF(P16=Data!$NN$9,Data!$NU$15,IF(P16=Data!$NN$10,Data!$NV$15,IF(P16=Data!$NN$11,Data!$NW$15,IF(P16=Data!$NN$12,Data!$NX$15,IF(P16=Data!$NN$13,Data!$NY$15,IF(P16=Data!$NN$14,Data!$NZ$15,IF(N16=Data!$NN$22,Data!$OA$15,IF(N16=Data!$NN$23,Data!$OB$15,IF(P16=Data!$NN$19,Data!$OC$15, IF(P16=Data!$NN$20,Data!$OG$15))))))))))))))))</f>
        <v>0</v>
      </c>
      <c r="EG16" s="330" t="e">
        <f>MATCH(G16, Data!$CW$10:$CW$14,0)</f>
        <v>#N/A</v>
      </c>
      <c r="EH16" s="169" t="e">
        <f>MATCH(J16,Data!$CX$9:$DA$9,0)</f>
        <v>#N/A</v>
      </c>
      <c r="EI16" s="334" t="e">
        <f>INDEX(Data!$CX$10:$DA$14,Shutters!EG16,Shutters!EH16)</f>
        <v>#N/A</v>
      </c>
      <c r="EJ16" s="169" t="str">
        <f>IF(SUM(--ISNUMBER(SEARCH({"combo","Combo","COMBO"}, B33))),"Yes","No")</f>
        <v>No</v>
      </c>
      <c r="EK16" s="169" t="str">
        <f>IF(SUM(--ISNUMBER(SEARCH({"combo","Combo","COMBO"}, F33))),"Yes","No")</f>
        <v>No</v>
      </c>
      <c r="EL16" s="169" t="str">
        <f t="shared" si="45"/>
        <v>No</v>
      </c>
      <c r="EM16" s="157">
        <f t="shared" si="46"/>
        <v>1</v>
      </c>
      <c r="EN16" s="157" t="e">
        <f t="shared" si="47"/>
        <v>#DIV/0!</v>
      </c>
      <c r="EO16" s="169" t="str">
        <f t="shared" si="48"/>
        <v/>
      </c>
      <c r="EP16" s="330" t="str">
        <f t="shared" si="49"/>
        <v/>
      </c>
      <c r="EQ16" s="330" t="str">
        <f t="shared" si="50"/>
        <v/>
      </c>
      <c r="ER16" s="169" t="str">
        <f t="shared" si="51"/>
        <v/>
      </c>
      <c r="ES16" s="169" t="str">
        <f t="shared" si="52"/>
        <v/>
      </c>
      <c r="ET16" s="169" t="str">
        <f t="shared" si="53"/>
        <v/>
      </c>
      <c r="EU16" s="264" t="str">
        <f t="shared" si="54"/>
        <v>No</v>
      </c>
      <c r="EV16" s="330" t="e">
        <f>MATCH(G16,Data!$FH$18:$FL$18,0)</f>
        <v>#N/A</v>
      </c>
      <c r="EW16" s="169" t="e">
        <f>MATCH(N16,Data!$FG$19:$FG$25,0)</f>
        <v>#N/A</v>
      </c>
      <c r="EX16" s="330" t="e">
        <f>INDEX(Data!$FH$19:$FL$25,Shutters!EW16,Shutters!EV16)</f>
        <v>#N/A</v>
      </c>
    </row>
    <row r="17" spans="1:154" ht="36.75" customHeight="1">
      <c r="A17" s="52">
        <v>9</v>
      </c>
      <c r="B17" s="17"/>
      <c r="C17" s="14"/>
      <c r="D17" s="14"/>
      <c r="E17" s="14"/>
      <c r="F17" s="10"/>
      <c r="G17" s="13"/>
      <c r="H17" s="699"/>
      <c r="I17" s="729"/>
      <c r="J17" s="14"/>
      <c r="K17" s="144" t="str">
        <f t="shared" si="11"/>
        <v/>
      </c>
      <c r="L17" s="15"/>
      <c r="M17" s="15"/>
      <c r="N17" s="15"/>
      <c r="O17" s="15"/>
      <c r="P17" s="565"/>
      <c r="Q17" s="565"/>
      <c r="R17" s="13"/>
      <c r="S17" s="13"/>
      <c r="T17" s="13"/>
      <c r="U17" s="13"/>
      <c r="V17" s="15"/>
      <c r="W17" s="15"/>
      <c r="X17" s="16"/>
      <c r="Y17" s="16"/>
      <c r="Z17" s="14"/>
      <c r="AA17" s="14"/>
      <c r="AB17" s="14"/>
      <c r="AC17" s="18"/>
      <c r="AD17" s="164" t="str">
        <f t="shared" si="0"/>
        <v/>
      </c>
      <c r="AE17" s="229"/>
      <c r="AF17" s="230"/>
      <c r="AU17" s="108" t="str">
        <f t="shared" si="12"/>
        <v/>
      </c>
      <c r="AV17" s="65" t="e">
        <f t="shared" si="13"/>
        <v>#N/A</v>
      </c>
      <c r="AW17" s="169" t="e">
        <f>VLOOKUP(P17,Data!$MI$2:$MJ$4,2,FALSE)</f>
        <v>#N/A</v>
      </c>
      <c r="AX17" s="169" t="e">
        <f t="shared" si="14"/>
        <v>#N/A</v>
      </c>
      <c r="AY17" s="169" t="e">
        <f>VLOOKUP(N17,Data!$BI$24:$BJ$30,2,FALSE)</f>
        <v>#N/A</v>
      </c>
      <c r="AZ17" s="155" t="b">
        <f>IF(G17=Data!$BO$2,Data!$BS$2, IF(Shutters!G17=Data!$BP$2,Data!$BT$2, IF(Shutters!G17=Data!$BQ$2,Data!$BU$2)))</f>
        <v>0</v>
      </c>
      <c r="BA17" s="340" t="str">
        <f t="shared" si="15"/>
        <v>No</v>
      </c>
      <c r="BB17" s="155" t="e">
        <f t="shared" si="16"/>
        <v>#DIV/0!</v>
      </c>
      <c r="BC17" s="340" t="e">
        <f t="shared" si="17"/>
        <v>#DIV/0!</v>
      </c>
      <c r="BD17" s="155" t="e">
        <f t="shared" si="1"/>
        <v>#DIV/0!</v>
      </c>
      <c r="BE17" s="340" t="str">
        <f t="shared" si="18"/>
        <v>No</v>
      </c>
      <c r="BF17" s="155" t="str">
        <f t="shared" si="19"/>
        <v>NotRequired</v>
      </c>
      <c r="BG17" s="155" t="b">
        <f>IF(G17=Data!$BO$2,Data!$CM$2, IF(Shutters!G17=Data!$BP$2,Data!$CN$2, IF(Shutters!G17=Data!$BQ$2,Data!$CO$2)))</f>
        <v>0</v>
      </c>
      <c r="BH17" s="155" t="e">
        <f t="shared" si="20"/>
        <v>#DIV/0!</v>
      </c>
      <c r="BI17" s="156" t="str">
        <f t="shared" si="2"/>
        <v>NoHighlight</v>
      </c>
      <c r="BJ17" s="340" t="str">
        <f t="shared" si="21"/>
        <v>FauxwoodRPNo</v>
      </c>
      <c r="BK17" s="156" t="str">
        <f>IF(SUM(--ISNUMBER( SEARCH({"t","T"},O17))),"Yes","No")</f>
        <v>No</v>
      </c>
      <c r="BL17" s="156" t="str">
        <f t="shared" si="22"/>
        <v>OK</v>
      </c>
      <c r="BM17" s="156" t="str">
        <f t="shared" si="23"/>
        <v>OK</v>
      </c>
      <c r="BN17" s="156" t="str">
        <f t="shared" si="24"/>
        <v>OK</v>
      </c>
      <c r="BO17" s="156" t="e">
        <f>IF(OR(AND(F17&gt;1,#REF!="L",#REF!="l"),AND(F17&gt;1,#REF!="R",#REF!="r"),AND(F17&gt;2,#REF!="LR",#REF!="lr")), "Error","OK")</f>
        <v>#REF!</v>
      </c>
      <c r="BP17" s="156" t="str">
        <f t="shared" si="3"/>
        <v>FauxwoodAINo</v>
      </c>
      <c r="BQ17" s="156" t="str">
        <f>IF(SUM(--ISNUMBER(SEARCH({"combo","Combo","COMBO"}, B34))),"Yes","No")</f>
        <v>No</v>
      </c>
      <c r="BR17" s="156" t="str">
        <f t="shared" si="25"/>
        <v>No</v>
      </c>
      <c r="BS17" s="156" t="str">
        <f>IF(SUM(--ISNUMBER( SEARCH({"c","C","b","B"},#REF!))),"Yes","No")</f>
        <v>No</v>
      </c>
      <c r="BT17" s="157">
        <f t="shared" si="4"/>
        <v>0</v>
      </c>
      <c r="BU17" s="169" t="str">
        <f>IF(N17=Data!$BI$3,Data!$DR$3,IF(N17=Data!$BI$4,Data!$DS$3,IF(N17=Data!$BI$5,Data!$DT$3,IF(N17=Data!$BI$6,Data!$DU$3,IF(N17=Data!$BI$7,Data!$DV$3, IF(N17=Data!$BI$8,Data!$DX$3, IF(N17=Data!$BI$9,Data!$DW$3, "")))))))</f>
        <v/>
      </c>
      <c r="BV17" s="169" t="str">
        <f>IF(N17=Data!$BI$3,Data!$DY$3,IF(N17=Data!$BI$4,Data!$DZ$3,IF(N17=Data!$BI$5,Data!$EA$3,IF(N17=Data!$BI$6,Data!$EB$3,IF(N17=Data!$BI$7,Data!$EC$3,IF(N17=Data!$BI$8,Data!$EE$3, IF(N17=Data!$BI$9,Data!$ED$3,"")))))))</f>
        <v/>
      </c>
      <c r="BW17" s="157">
        <f t="shared" si="5"/>
        <v>0</v>
      </c>
      <c r="BX17" s="157">
        <f t="shared" si="6"/>
        <v>0</v>
      </c>
      <c r="BY17" s="169" t="e">
        <f t="shared" si="26"/>
        <v>#DIV/0!</v>
      </c>
      <c r="BZ17" s="330" t="b">
        <f>IF(G17=Data!$EU$2,Data!$ES$2,IF(G17=Data!$EU$3,Data!$ER$2, IF(G17=Data!$EU$5,Data!$ET$2, IF(G17=Data!$EU$4,Data!$EQ$2,IF(G17=Data!$EU$6,Data!$ER$2)))))</f>
        <v>0</v>
      </c>
      <c r="CA17" s="330" t="b">
        <f>IF(G17=Data!$EU$2,Data!$EW$2,IF(G17=Data!$EU$3,Data!$EX$2,IF(G17=Data!$EU$4,Data!$EY$2, IF(G17=Data!$EU$5,Data!$EY$2,IF(G17=Data!$EU$6,Data!$EX$2)))))</f>
        <v>0</v>
      </c>
      <c r="CB17" s="169" t="e">
        <f>VLOOKUP(M17,Data!$EJ$3:$EK$14,2,FALSE)</f>
        <v>#N/A</v>
      </c>
      <c r="CC17" s="169" t="str">
        <f>IF(J17="114mm",VLOOKUP(H17,Data!$FA$2:$FB$18,2,FALSE),"OK")</f>
        <v>OK</v>
      </c>
      <c r="CD17" s="169" t="e">
        <f t="shared" si="7"/>
        <v>#DIV/0!</v>
      </c>
      <c r="CE17" s="169" t="str">
        <f>IF(OR(AND(R17="",P17&lt;&gt;"")),VLOOKUP(P17,Data!$FC$2:$FD$18,2,FALSE),"")</f>
        <v/>
      </c>
      <c r="CF17" s="169" t="str">
        <f>IF(N17=Data!$BI$3,Data!$FJ$1,IF(N17=Data!$BI$4,Data!$FK$1,IF(N17=Data!$BI$5,Data!$FL$1,IF(N17=Data!$BI$6,Data!$FM$1,IF(N17=Data!$BI$7,Data!$FN$1, IF(N17=Data!$BI$8,Data!$FO$1, IF(N17=Data!$BI$9,Data!$FI$1, "")))))))</f>
        <v/>
      </c>
      <c r="CG17" s="169" t="str">
        <f>IF(SUM(--ISNUMBER(SEARCH({"z","Z"}, P17))),"Yes","No")</f>
        <v>No</v>
      </c>
      <c r="CH17" s="169" t="str">
        <f t="shared" si="8"/>
        <v>OK</v>
      </c>
      <c r="CI17" s="169">
        <f t="shared" si="27"/>
        <v>0</v>
      </c>
      <c r="CJ17" s="169" t="e">
        <f>VLOOKUP(O17,Data!$DO$4:$DP$156,2,FALSE)</f>
        <v>#N/A</v>
      </c>
      <c r="CK17" s="169" t="e">
        <f t="shared" si="9"/>
        <v>#N/A</v>
      </c>
      <c r="CL17" s="157"/>
      <c r="CM17" s="157"/>
      <c r="CN17" s="157"/>
      <c r="CO17" s="344" t="str">
        <f t="shared" si="28"/>
        <v>OK</v>
      </c>
      <c r="CP17" s="169" t="b">
        <f t="shared" si="29"/>
        <v>0</v>
      </c>
      <c r="CQ17" s="169">
        <f t="shared" si="30"/>
        <v>0</v>
      </c>
      <c r="CR17" s="169">
        <f t="shared" si="31"/>
        <v>1</v>
      </c>
      <c r="CS17" s="169">
        <f t="shared" si="32"/>
        <v>0</v>
      </c>
      <c r="CT17" s="157" t="e">
        <f t="shared" si="33"/>
        <v>#DIV/0!</v>
      </c>
      <c r="CU17" s="169" t="b">
        <f>IF(H17=Data!$BD$3,Data!$HC$2,IF(H17=Data!$BD$4,Data!$HM$2,IF(H17=Data!$BD$5,Data!$HF$2,IF(H17=Data!$BD$6,Data!$HB$2,IF(H17=Data!$BD$7,Data!$HD$2,IF(H17=Data!$BD$8,Data!$HJ$2,IF(H17=Data!$BD$9,Data!$HN$2,IF(H17=Data!$BD$10,Data!$HA$2,IF(H17=Data!$BD$11,Data!$HI$2)))))))))</f>
        <v>0</v>
      </c>
      <c r="CV17" s="276" t="b">
        <f>IF(H17=Data!$BE$3,Data!$HQ$2, IF(H17=Data!$BE$4,Data!$HP$2, IF(H17=Data!$BE$5,Data!$HR$2, IF(H17=Data!$BE$6,Data!$HO$2))))</f>
        <v>0</v>
      </c>
      <c r="CW17" s="330" t="b">
        <f>IF(H17=Data!$BH$3,Data!$HU$2, IF(H17=Data!$BH$4,Data!$HT$2, IF(H17=Data!$BH$5,Data!$HS$2)))</f>
        <v>0</v>
      </c>
      <c r="CX17" s="330" t="b">
        <f>IF(H17=Data!$BF$3,Data!$HQ$16, IF(H17=Data!$BF$4,Data!$HP$16, IF(H17=Data!$BF$5,Data!$HR$16, IF(H17=Data!$BF$6,Data!$HO$16))))</f>
        <v>0</v>
      </c>
      <c r="CY17" s="330" t="b">
        <f>IF(G17=Data!$BC$3,Shutters!CU17,IF(G17=Data!$BC$4,Shutters!CV17,IF(G17=Data!$BC$6,Shutters!CW17, IF(G17=Data!$BC$5, Shutters!CX17,IF(G17=Data!$BC$7,Shutters!CV17)))))</f>
        <v>0</v>
      </c>
      <c r="CZ17" s="157" t="e">
        <f>IF(OR(AND(L17&gt;0,#REF!="")), "Error","OK")</f>
        <v>#REF!</v>
      </c>
      <c r="DA17" s="169" t="e">
        <f>IF(COUNTIF(#REF!,Data!$CX$6),"Yes","")</f>
        <v>#REF!</v>
      </c>
      <c r="DB17" s="54" t="str">
        <f t="shared" si="34"/>
        <v/>
      </c>
      <c r="DE17" s="54" t="str">
        <f>IF(N17=Data!$BI$5,"Yes",IF(N17=Data!$BI$6,"Yes","No"))</f>
        <v>No</v>
      </c>
      <c r="DF17" s="65" t="b">
        <f>IF(N17=Data!$BI$3,Data!$JB$2,IF(N17=Data!$BI$4,Data!$JC$2,IF(N17=Data!$BI$5,Data!$JD$2,IF(N17=Data!$BI$6,Data!$JE$2,IF(N17=Data!$BI$7,Data!$JF$2, IF(N17=Data!$BI$8,Data!$JA$2, IF(N17=Data!$BI$9,Data!$JG$2)))))))</f>
        <v>0</v>
      </c>
      <c r="DI17" s="65" t="e">
        <f>VLOOKUP(O17,Data!$DO$4:$DQ$156,3,FALSE)</f>
        <v>#N/A</v>
      </c>
      <c r="DJ17" s="54" t="e">
        <f t="shared" si="10"/>
        <v>#N/A</v>
      </c>
      <c r="DK17" s="54" t="e">
        <f t="shared" si="35"/>
        <v>#N/A</v>
      </c>
      <c r="DL17" s="54" t="b">
        <f>IF(P17=Data!$BK$3,Data!$JH$2,IF(P17=Data!$BK$4,Data!$JI$2,IF(P17=Data!$BK$5,Data!$JJ$2,IF(P17=Data!$BK$6,Data!$JK$2,IF(P17=Data!$BK$7,Data!$JL$2,IF(P17=Data!$BK$8,Data!$JM$2,IF(P17=Data!$BK$9,Data!$JN$2,IF(P17=Data!$BK$10,Data!$JO$2,IF(P17=Data!$BK$11,Data!$JP$2,IF(P17=Data!$BK$12,Data!$JQ$2,IF(P17=Data!$BK$13,Data!$JR$2,IF(P17=Data!$BK$14,Data!$JS$2,IF(P17=Data!$BK$15,Data!$JT$2,IF(P17=Data!$BK$16,Data!$JU$2,IF(P17=Data!$BK$17,Data!$JV$2,IF(P17=Data!$BK$18,Data!$JW$2, IF(P17=Data!$BK$19,Data!$JX$2, IF(P17=Data!$BK$20,Data!$JY$2))))))))))))))))))</f>
        <v>0</v>
      </c>
      <c r="DN17" s="169" t="str">
        <f t="shared" si="36"/>
        <v/>
      </c>
      <c r="DO17" s="169" t="e">
        <f t="shared" si="37"/>
        <v>#N/A</v>
      </c>
      <c r="DP17" s="169" t="str">
        <f t="shared" si="38"/>
        <v>OK</v>
      </c>
      <c r="DQ17" s="169" t="str">
        <f t="shared" si="39"/>
        <v>OK</v>
      </c>
      <c r="DR17" s="169" t="str">
        <f t="shared" si="40"/>
        <v>OK</v>
      </c>
      <c r="DS17" s="169" t="str">
        <f t="shared" si="41"/>
        <v>OK</v>
      </c>
      <c r="DT17" s="65" t="b">
        <f>IF(N17=Data!$LW$2,Data!$LX$1,IF(N17=Data!$LW$3,Data!$LY$1,IF(N17=Data!$LW$4,Data!$LZ$1,IF(N17=Data!$LW$5,Data!$MA$1,IF(N17=Data!$LW$6,Data!$MB$1,IF(N17=Data!$LW$7,Data!$MC$1, IF(N17=Data!$LW$8,Data!$MX$1)))))))</f>
        <v>0</v>
      </c>
      <c r="DU17" s="65" t="b">
        <f>IF(E17=Data!$MD$2,Data!$ME$2, IF(E17=Data!$MD$3,Data!$MF$2, IF(E17=Data!$MD$4,Data!$MG$2)))</f>
        <v>0</v>
      </c>
      <c r="DV17" s="54" t="str">
        <f>IF(E17="MS", Data!$AK$1, Data!$EJ$2)</f>
        <v>Special_Window</v>
      </c>
      <c r="DW17" s="65" t="str">
        <f>IF(OR(AND(S17="",P17&lt;&gt;"")),VLOOKUP(P17,Data!$FC$2:$FD$18,2,FALSE),"")</f>
        <v/>
      </c>
      <c r="DX17" s="65" t="str">
        <f>IF(OR(AND(T17="",P17&lt;&gt;"")),VLOOKUP(P17,Data!$FC$2:$FD$18,2,FALSE),"")</f>
        <v/>
      </c>
      <c r="DY17" s="65" t="str">
        <f>IF(OR(AND(U17="",P17&lt;&gt;"")),VLOOKUP(P17,Data!$FC$2:$FD$18,2,FALSE),"")</f>
        <v/>
      </c>
      <c r="DZ17" s="157" t="e">
        <f>VLOOKUP(N17,Data!$MK$2:$ML$8,2,FALSE)</f>
        <v>#N/A</v>
      </c>
      <c r="EA17" s="65" t="e">
        <f>VLOOKUP(O17,Data!$DO$4:$DO$157,1,FALSE)</f>
        <v>#N/A</v>
      </c>
      <c r="EB17" s="65" t="e">
        <f t="shared" si="42"/>
        <v>#N/A</v>
      </c>
      <c r="EC17" s="54" t="str">
        <f t="shared" si="43"/>
        <v/>
      </c>
      <c r="ED17" s="157" t="str">
        <f t="shared" si="44"/>
        <v>OK</v>
      </c>
      <c r="EE17" s="169" t="b">
        <f>IF(P17=Data!$NN$3,Data!$NO$2, IF(P17=Data!$NN$4,Data!$NP$2, IF(P17=Data!$NN$5,Data!$NQ$2, IF(P17=Data!$NN$6,Data!$NR$2, IF(P17=Data!$NN$7,Data!$NS$2, IF(P17=Data!$NN$8,Data!$NT$2, IF(P17=Data!$NN$9,Data!$NU$2, IF(P17=Data!$NN$10,Data!$NV$2, IF(P17=Data!$NN$11,Data!$NW$2, IF(P17=Data!$NN$12,Data!$NX$2, IF(P17=Data!$NN$13,Data!$NY$2, IF(P17=Data!$NN$14,Data!$NZ$2, IF(P17=Data!$NN$15,Data!$OA$2, IF(P17=Data!$NN$16,Data!$OB$2, IF(P17=Data!$NN$17,Data!$OC$2, IF(P17=Data!$NN$18,Data!$OD$2, IF(P17=Data!$NN$19,Data!$OE$2, IF(P17=Data!$NN$20,Data!$OG$2))))))))))))))))))</f>
        <v>0</v>
      </c>
      <c r="EF17" s="169" t="b">
        <f>IF(P17=Data!$NN$3,Data!$NO$15,IF(P17=Data!$NN$4,Data!$NP$15,IF(P17=Data!$NN$5,Data!$NQ$15,IF(P17=Data!$NN$6,Data!$NR$15,IF(P17=Data!$NN$7,Data!$NS$15,IF(P17=Data!$NN$8,Data!$NT$15,IF(P17=Data!$NN$9,Data!$NU$15,IF(P17=Data!$NN$10,Data!$NV$15,IF(P17=Data!$NN$11,Data!$NW$15,IF(P17=Data!$NN$12,Data!$NX$15,IF(P17=Data!$NN$13,Data!$NY$15,IF(P17=Data!$NN$14,Data!$NZ$15,IF(N17=Data!$NN$22,Data!$OA$15,IF(N17=Data!$NN$23,Data!$OB$15,IF(P17=Data!$NN$19,Data!$OC$15, IF(P17=Data!$NN$20,Data!$OG$15))))))))))))))))</f>
        <v>0</v>
      </c>
      <c r="EG17" s="330" t="e">
        <f>MATCH(G17, Data!$CW$10:$CW$14,0)</f>
        <v>#N/A</v>
      </c>
      <c r="EH17" s="169" t="e">
        <f>MATCH(J17,Data!$CX$9:$DA$9,0)</f>
        <v>#N/A</v>
      </c>
      <c r="EI17" s="334" t="e">
        <f>INDEX(Data!$CX$10:$DA$14,Shutters!EG17,Shutters!EH17)</f>
        <v>#N/A</v>
      </c>
      <c r="EJ17" s="169" t="str">
        <f>IF(SUM(--ISNUMBER(SEARCH({"combo","Combo","COMBO"}, B34))),"Yes","No")</f>
        <v>No</v>
      </c>
      <c r="EK17" s="169" t="str">
        <f>IF(SUM(--ISNUMBER(SEARCH({"combo","Combo","COMBO"}, F34))),"Yes","No")</f>
        <v>No</v>
      </c>
      <c r="EL17" s="169" t="str">
        <f t="shared" si="45"/>
        <v>No</v>
      </c>
      <c r="EM17" s="157">
        <f t="shared" si="46"/>
        <v>1</v>
      </c>
      <c r="EN17" s="157" t="e">
        <f t="shared" si="47"/>
        <v>#DIV/0!</v>
      </c>
      <c r="EO17" s="169" t="str">
        <f t="shared" si="48"/>
        <v/>
      </c>
      <c r="EP17" s="330" t="str">
        <f t="shared" si="49"/>
        <v/>
      </c>
      <c r="EQ17" s="330" t="str">
        <f t="shared" si="50"/>
        <v/>
      </c>
      <c r="ER17" s="169" t="str">
        <f t="shared" si="51"/>
        <v/>
      </c>
      <c r="ES17" s="169" t="str">
        <f t="shared" si="52"/>
        <v/>
      </c>
      <c r="ET17" s="169" t="str">
        <f t="shared" si="53"/>
        <v/>
      </c>
      <c r="EU17" s="264" t="str">
        <f t="shared" si="54"/>
        <v>No</v>
      </c>
      <c r="EV17" s="330" t="e">
        <f>MATCH(G17,Data!$FH$18:$FL$18,0)</f>
        <v>#N/A</v>
      </c>
      <c r="EW17" s="169" t="e">
        <f>MATCH(N17,Data!$FG$19:$FG$25,0)</f>
        <v>#N/A</v>
      </c>
      <c r="EX17" s="330" t="e">
        <f>INDEX(Data!$FH$19:$FL$25,Shutters!EW17,Shutters!EV17)</f>
        <v>#N/A</v>
      </c>
    </row>
    <row r="18" spans="1:154" ht="36.75" customHeight="1">
      <c r="A18" s="52">
        <v>10</v>
      </c>
      <c r="B18" s="17"/>
      <c r="C18" s="14"/>
      <c r="D18" s="14"/>
      <c r="E18" s="14"/>
      <c r="F18" s="10"/>
      <c r="G18" s="13"/>
      <c r="H18" s="699"/>
      <c r="I18" s="729"/>
      <c r="J18" s="14"/>
      <c r="K18" s="144" t="str">
        <f t="shared" si="11"/>
        <v/>
      </c>
      <c r="L18" s="15"/>
      <c r="M18" s="15"/>
      <c r="N18" s="15"/>
      <c r="O18" s="15"/>
      <c r="P18" s="565"/>
      <c r="Q18" s="565"/>
      <c r="R18" s="13"/>
      <c r="S18" s="13"/>
      <c r="T18" s="13"/>
      <c r="U18" s="13"/>
      <c r="V18" s="15"/>
      <c r="W18" s="15"/>
      <c r="X18" s="16"/>
      <c r="Y18" s="16"/>
      <c r="Z18" s="14"/>
      <c r="AA18" s="14"/>
      <c r="AB18" s="14"/>
      <c r="AC18" s="18"/>
      <c r="AD18" s="164" t="str">
        <f t="shared" si="0"/>
        <v/>
      </c>
      <c r="AE18" s="229"/>
      <c r="AF18" s="230"/>
      <c r="AU18" s="108" t="str">
        <f t="shared" si="12"/>
        <v/>
      </c>
      <c r="AV18" s="65" t="e">
        <f t="shared" si="13"/>
        <v>#N/A</v>
      </c>
      <c r="AW18" s="169" t="e">
        <f>VLOOKUP(P18,Data!$MI$2:$MJ$4,2,FALSE)</f>
        <v>#N/A</v>
      </c>
      <c r="AX18" s="169" t="e">
        <f t="shared" si="14"/>
        <v>#N/A</v>
      </c>
      <c r="AY18" s="169" t="e">
        <f>VLOOKUP(N18,Data!$BI$24:$BJ$30,2,FALSE)</f>
        <v>#N/A</v>
      </c>
      <c r="AZ18" s="155" t="b">
        <f>IF(G18=Data!$BO$2,Data!$BS$2, IF(Shutters!G18=Data!$BP$2,Data!$BT$2, IF(Shutters!G18=Data!$BQ$2,Data!$BU$2)))</f>
        <v>0</v>
      </c>
      <c r="BA18" s="340" t="str">
        <f t="shared" si="15"/>
        <v>No</v>
      </c>
      <c r="BB18" s="155" t="e">
        <f t="shared" si="16"/>
        <v>#DIV/0!</v>
      </c>
      <c r="BC18" s="340" t="e">
        <f t="shared" si="17"/>
        <v>#DIV/0!</v>
      </c>
      <c r="BD18" s="155" t="e">
        <f t="shared" si="1"/>
        <v>#DIV/0!</v>
      </c>
      <c r="BE18" s="340" t="str">
        <f t="shared" si="18"/>
        <v>No</v>
      </c>
      <c r="BF18" s="155" t="str">
        <f t="shared" si="19"/>
        <v>NotRequired</v>
      </c>
      <c r="BG18" s="155" t="b">
        <f>IF(G18=Data!$BO$2,Data!$CM$2, IF(Shutters!G18=Data!$BP$2,Data!$CN$2, IF(Shutters!G18=Data!$BQ$2,Data!$CO$2)))</f>
        <v>0</v>
      </c>
      <c r="BH18" s="155" t="e">
        <f t="shared" si="20"/>
        <v>#DIV/0!</v>
      </c>
      <c r="BI18" s="156" t="str">
        <f t="shared" si="2"/>
        <v>NoHighlight</v>
      </c>
      <c r="BJ18" s="340" t="str">
        <f t="shared" si="21"/>
        <v>FauxwoodRPNo</v>
      </c>
      <c r="BK18" s="156" t="str">
        <f>IF(SUM(--ISNUMBER( SEARCH({"t","T"},O18))),"Yes","No")</f>
        <v>No</v>
      </c>
      <c r="BL18" s="156" t="str">
        <f t="shared" si="22"/>
        <v>OK</v>
      </c>
      <c r="BM18" s="156" t="str">
        <f t="shared" si="23"/>
        <v>OK</v>
      </c>
      <c r="BN18" s="156" t="str">
        <f t="shared" si="24"/>
        <v>OK</v>
      </c>
      <c r="BO18" s="156" t="e">
        <f>IF(OR(AND(F18&gt;1,#REF!="L",#REF!="l"),AND(F18&gt;1,#REF!="R",#REF!="r"),AND(F18&gt;2,#REF!="LR",#REF!="lr")), "Error","OK")</f>
        <v>#REF!</v>
      </c>
      <c r="BP18" s="156" t="str">
        <f t="shared" si="3"/>
        <v>FauxwoodAINo</v>
      </c>
      <c r="BQ18" s="156" t="str">
        <f>IF(SUM(--ISNUMBER(SEARCH({"combo","Combo","COMBO"}, B35))),"Yes","No")</f>
        <v>No</v>
      </c>
      <c r="BR18" s="156" t="str">
        <f t="shared" si="25"/>
        <v>No</v>
      </c>
      <c r="BS18" s="156" t="str">
        <f>IF(SUM(--ISNUMBER( SEARCH({"c","C","b","B"},#REF!))),"Yes","No")</f>
        <v>No</v>
      </c>
      <c r="BT18" s="157">
        <f t="shared" si="4"/>
        <v>0</v>
      </c>
      <c r="BU18" s="169" t="str">
        <f>IF(N18=Data!$BI$3,Data!$DR$3,IF(N18=Data!$BI$4,Data!$DS$3,IF(N18=Data!$BI$5,Data!$DT$3,IF(N18=Data!$BI$6,Data!$DU$3,IF(N18=Data!$BI$7,Data!$DV$3, IF(N18=Data!$BI$8,Data!$DX$3, IF(N18=Data!$BI$9,Data!$DW$3, "")))))))</f>
        <v/>
      </c>
      <c r="BV18" s="169" t="str">
        <f>IF(N18=Data!$BI$3,Data!$DY$3,IF(N18=Data!$BI$4,Data!$DZ$3,IF(N18=Data!$BI$5,Data!$EA$3,IF(N18=Data!$BI$6,Data!$EB$3,IF(N18=Data!$BI$7,Data!$EC$3,IF(N18=Data!$BI$8,Data!$EE$3, IF(N18=Data!$BI$9,Data!$ED$3,"")))))))</f>
        <v/>
      </c>
      <c r="BW18" s="157">
        <f t="shared" si="5"/>
        <v>0</v>
      </c>
      <c r="BX18" s="157">
        <f t="shared" si="6"/>
        <v>0</v>
      </c>
      <c r="BY18" s="169" t="e">
        <f t="shared" si="26"/>
        <v>#DIV/0!</v>
      </c>
      <c r="BZ18" s="330" t="b">
        <f>IF(G18=Data!$EU$2,Data!$ES$2,IF(G18=Data!$EU$3,Data!$ER$2, IF(G18=Data!$EU$5,Data!$ET$2, IF(G18=Data!$EU$4,Data!$EQ$2,IF(G18=Data!$EU$6,Data!$ER$2)))))</f>
        <v>0</v>
      </c>
      <c r="CA18" s="330" t="b">
        <f>IF(G18=Data!$EU$2,Data!$EW$2,IF(G18=Data!$EU$3,Data!$EX$2,IF(G18=Data!$EU$4,Data!$EY$2, IF(G18=Data!$EU$5,Data!$EY$2,IF(G18=Data!$EU$6,Data!$EX$2)))))</f>
        <v>0</v>
      </c>
      <c r="CB18" s="169" t="e">
        <f>VLOOKUP(M18,Data!$EJ$3:$EK$14,2,FALSE)</f>
        <v>#N/A</v>
      </c>
      <c r="CC18" s="169" t="str">
        <f>IF(J18="114mm",VLOOKUP(H18,Data!$FA$2:$FB$18,2,FALSE),"OK")</f>
        <v>OK</v>
      </c>
      <c r="CD18" s="169" t="e">
        <f t="shared" si="7"/>
        <v>#DIV/0!</v>
      </c>
      <c r="CE18" s="169" t="str">
        <f>IF(OR(AND(R18="",P18&lt;&gt;"")),VLOOKUP(P18,Data!$FC$2:$FD$18,2,FALSE),"")</f>
        <v/>
      </c>
      <c r="CF18" s="169" t="str">
        <f>IF(N18=Data!$BI$3,Data!$FJ$1,IF(N18=Data!$BI$4,Data!$FK$1,IF(N18=Data!$BI$5,Data!$FL$1,IF(N18=Data!$BI$6,Data!$FM$1,IF(N18=Data!$BI$7,Data!$FN$1, IF(N18=Data!$BI$8,Data!$FO$1, IF(N18=Data!$BI$9,Data!$FI$1, "")))))))</f>
        <v/>
      </c>
      <c r="CG18" s="169" t="str">
        <f>IF(SUM(--ISNUMBER(SEARCH({"z","Z"}, P18))),"Yes","No")</f>
        <v>No</v>
      </c>
      <c r="CH18" s="169" t="str">
        <f t="shared" si="8"/>
        <v>OK</v>
      </c>
      <c r="CI18" s="169">
        <f t="shared" si="27"/>
        <v>0</v>
      </c>
      <c r="CJ18" s="169" t="e">
        <f>VLOOKUP(O18,Data!$DO$4:$DP$156,2,FALSE)</f>
        <v>#N/A</v>
      </c>
      <c r="CK18" s="169" t="e">
        <f t="shared" si="9"/>
        <v>#N/A</v>
      </c>
      <c r="CL18" s="157"/>
      <c r="CM18" s="157"/>
      <c r="CN18" s="157"/>
      <c r="CO18" s="344" t="str">
        <f t="shared" si="28"/>
        <v>OK</v>
      </c>
      <c r="CP18" s="169" t="b">
        <f t="shared" si="29"/>
        <v>0</v>
      </c>
      <c r="CQ18" s="169">
        <f t="shared" si="30"/>
        <v>0</v>
      </c>
      <c r="CR18" s="169">
        <f t="shared" si="31"/>
        <v>1</v>
      </c>
      <c r="CS18" s="169">
        <f t="shared" si="32"/>
        <v>0</v>
      </c>
      <c r="CT18" s="157" t="e">
        <f t="shared" si="33"/>
        <v>#DIV/0!</v>
      </c>
      <c r="CU18" s="169" t="b">
        <f>IF(H18=Data!$BD$3,Data!$HC$2,IF(H18=Data!$BD$4,Data!$HM$2,IF(H18=Data!$BD$5,Data!$HF$2,IF(H18=Data!$BD$6,Data!$HB$2,IF(H18=Data!$BD$7,Data!$HD$2,IF(H18=Data!$BD$8,Data!$HJ$2,IF(H18=Data!$BD$9,Data!$HN$2,IF(H18=Data!$BD$10,Data!$HA$2,IF(H18=Data!$BD$11,Data!$HI$2)))))))))</f>
        <v>0</v>
      </c>
      <c r="CV18" s="276" t="b">
        <f>IF(H18=Data!$BE$3,Data!$HQ$2, IF(H18=Data!$BE$4,Data!$HP$2, IF(H18=Data!$BE$5,Data!$HR$2, IF(H18=Data!$BE$6,Data!$HO$2))))</f>
        <v>0</v>
      </c>
      <c r="CW18" s="330" t="b">
        <f>IF(H18=Data!$BH$3,Data!$HU$2, IF(H18=Data!$BH$4,Data!$HT$2, IF(H18=Data!$BH$5,Data!$HS$2)))</f>
        <v>0</v>
      </c>
      <c r="CX18" s="330" t="b">
        <f>IF(H18=Data!$BF$3,Data!$HQ$16, IF(H18=Data!$BF$4,Data!$HP$16, IF(H18=Data!$BF$5,Data!$HR$16, IF(H18=Data!$BF$6,Data!$HO$16))))</f>
        <v>0</v>
      </c>
      <c r="CY18" s="330" t="b">
        <f>IF(G18=Data!$BC$3,Shutters!CU18,IF(G18=Data!$BC$4,Shutters!CV18,IF(G18=Data!$BC$6,Shutters!CW18, IF(G18=Data!$BC$5, Shutters!CX18,IF(G18=Data!$BC$7,Shutters!CV18)))))</f>
        <v>0</v>
      </c>
      <c r="CZ18" s="157" t="e">
        <f>IF(OR(AND(L18&gt;0,#REF!="")), "Error","OK")</f>
        <v>#REF!</v>
      </c>
      <c r="DA18" s="169" t="e">
        <f>IF(COUNTIF(#REF!,Data!$CX$6),"Yes","")</f>
        <v>#REF!</v>
      </c>
      <c r="DB18" s="54" t="str">
        <f t="shared" si="34"/>
        <v/>
      </c>
      <c r="DE18" s="54" t="str">
        <f>IF(N18=Data!$BI$5,"Yes",IF(N18=Data!$BI$6,"Yes","No"))</f>
        <v>No</v>
      </c>
      <c r="DF18" s="65" t="b">
        <f>IF(N18=Data!$BI$3,Data!$JB$2,IF(N18=Data!$BI$4,Data!$JC$2,IF(N18=Data!$BI$5,Data!$JD$2,IF(N18=Data!$BI$6,Data!$JE$2,IF(N18=Data!$BI$7,Data!$JF$2, IF(N18=Data!$BI$8,Data!$JA$2, IF(N18=Data!$BI$9,Data!$JG$2)))))))</f>
        <v>0</v>
      </c>
      <c r="DI18" s="65" t="e">
        <f>VLOOKUP(O18,Data!$DO$4:$DQ$156,3,FALSE)</f>
        <v>#N/A</v>
      </c>
      <c r="DJ18" s="54" t="e">
        <f t="shared" si="10"/>
        <v>#N/A</v>
      </c>
      <c r="DK18" s="54" t="e">
        <f t="shared" si="35"/>
        <v>#N/A</v>
      </c>
      <c r="DL18" s="54" t="b">
        <f>IF(P18=Data!$BK$3,Data!$JH$2,IF(P18=Data!$BK$4,Data!$JI$2,IF(P18=Data!$BK$5,Data!$JJ$2,IF(P18=Data!$BK$6,Data!$JK$2,IF(P18=Data!$BK$7,Data!$JL$2,IF(P18=Data!$BK$8,Data!$JM$2,IF(P18=Data!$BK$9,Data!$JN$2,IF(P18=Data!$BK$10,Data!$JO$2,IF(P18=Data!$BK$11,Data!$JP$2,IF(P18=Data!$BK$12,Data!$JQ$2,IF(P18=Data!$BK$13,Data!$JR$2,IF(P18=Data!$BK$14,Data!$JS$2,IF(P18=Data!$BK$15,Data!$JT$2,IF(P18=Data!$BK$16,Data!$JU$2,IF(P18=Data!$BK$17,Data!$JV$2,IF(P18=Data!$BK$18,Data!$JW$2, IF(P18=Data!$BK$19,Data!$JX$2, IF(P18=Data!$BK$20,Data!$JY$2))))))))))))))))))</f>
        <v>0</v>
      </c>
      <c r="DN18" s="169" t="str">
        <f t="shared" si="36"/>
        <v/>
      </c>
      <c r="DO18" s="169" t="e">
        <f t="shared" si="37"/>
        <v>#N/A</v>
      </c>
      <c r="DP18" s="169" t="str">
        <f t="shared" si="38"/>
        <v>OK</v>
      </c>
      <c r="DQ18" s="169" t="str">
        <f t="shared" si="39"/>
        <v>OK</v>
      </c>
      <c r="DR18" s="169" t="str">
        <f t="shared" si="40"/>
        <v>OK</v>
      </c>
      <c r="DS18" s="169" t="str">
        <f t="shared" si="41"/>
        <v>OK</v>
      </c>
      <c r="DT18" s="65" t="b">
        <f>IF(N18=Data!$LW$2,Data!$LX$1,IF(N18=Data!$LW$3,Data!$LY$1,IF(N18=Data!$LW$4,Data!$LZ$1,IF(N18=Data!$LW$5,Data!$MA$1,IF(N18=Data!$LW$6,Data!$MB$1,IF(N18=Data!$LW$7,Data!$MC$1, IF(N18=Data!$LW$8,Data!$MX$1)))))))</f>
        <v>0</v>
      </c>
      <c r="DU18" s="65" t="b">
        <f>IF(E18=Data!$MD$2,Data!$ME$2, IF(E18=Data!$MD$3,Data!$MF$2, IF(E18=Data!$MD$4,Data!$MG$2)))</f>
        <v>0</v>
      </c>
      <c r="DV18" s="54" t="str">
        <f>IF(E18="MS", Data!$AK$1, Data!$EJ$2)</f>
        <v>Special_Window</v>
      </c>
      <c r="DW18" s="65" t="str">
        <f>IF(OR(AND(S18="",P18&lt;&gt;"")),VLOOKUP(P18,Data!$FC$2:$FD$18,2,FALSE),"")</f>
        <v/>
      </c>
      <c r="DX18" s="65" t="str">
        <f>IF(OR(AND(T18="",P18&lt;&gt;"")),VLOOKUP(P18,Data!$FC$2:$FD$18,2,FALSE),"")</f>
        <v/>
      </c>
      <c r="DY18" s="65" t="str">
        <f>IF(OR(AND(U18="",P18&lt;&gt;"")),VLOOKUP(P18,Data!$FC$2:$FD$18,2,FALSE),"")</f>
        <v/>
      </c>
      <c r="DZ18" s="157" t="e">
        <f>VLOOKUP(N18,Data!$MK$2:$ML$8,2,FALSE)</f>
        <v>#N/A</v>
      </c>
      <c r="EA18" s="65" t="e">
        <f>VLOOKUP(O18,Data!$DO$4:$DO$157,1,FALSE)</f>
        <v>#N/A</v>
      </c>
      <c r="EB18" s="65" t="e">
        <f t="shared" si="42"/>
        <v>#N/A</v>
      </c>
      <c r="EC18" s="54" t="str">
        <f t="shared" si="43"/>
        <v/>
      </c>
      <c r="ED18" s="157" t="str">
        <f t="shared" si="44"/>
        <v>OK</v>
      </c>
      <c r="EE18" s="169" t="b">
        <f>IF(P18=Data!$NN$3,Data!$NO$2, IF(P18=Data!$NN$4,Data!$NP$2, IF(P18=Data!$NN$5,Data!$NQ$2, IF(P18=Data!$NN$6,Data!$NR$2, IF(P18=Data!$NN$7,Data!$NS$2, IF(P18=Data!$NN$8,Data!$NT$2, IF(P18=Data!$NN$9,Data!$NU$2, IF(P18=Data!$NN$10,Data!$NV$2, IF(P18=Data!$NN$11,Data!$NW$2, IF(P18=Data!$NN$12,Data!$NX$2, IF(P18=Data!$NN$13,Data!$NY$2, IF(P18=Data!$NN$14,Data!$NZ$2, IF(P18=Data!$NN$15,Data!$OA$2, IF(P18=Data!$NN$16,Data!$OB$2, IF(P18=Data!$NN$17,Data!$OC$2, IF(P18=Data!$NN$18,Data!$OD$2, IF(P18=Data!$NN$19,Data!$OE$2, IF(P18=Data!$NN$20,Data!$OG$2))))))))))))))))))</f>
        <v>0</v>
      </c>
      <c r="EF18" s="169" t="b">
        <f>IF(P18=Data!$NN$3,Data!$NO$15,IF(P18=Data!$NN$4,Data!$NP$15,IF(P18=Data!$NN$5,Data!$NQ$15,IF(P18=Data!$NN$6,Data!$NR$15,IF(P18=Data!$NN$7,Data!$NS$15,IF(P18=Data!$NN$8,Data!$NT$15,IF(P18=Data!$NN$9,Data!$NU$15,IF(P18=Data!$NN$10,Data!$NV$15,IF(P18=Data!$NN$11,Data!$NW$15,IF(P18=Data!$NN$12,Data!$NX$15,IF(P18=Data!$NN$13,Data!$NY$15,IF(P18=Data!$NN$14,Data!$NZ$15,IF(N18=Data!$NN$22,Data!$OA$15,IF(N18=Data!$NN$23,Data!$OB$15,IF(P18=Data!$NN$19,Data!$OC$15, IF(P18=Data!$NN$20,Data!$OG$15))))))))))))))))</f>
        <v>0</v>
      </c>
      <c r="EG18" s="330" t="e">
        <f>MATCH(G18, Data!$CW$10:$CW$14,0)</f>
        <v>#N/A</v>
      </c>
      <c r="EH18" s="169" t="e">
        <f>MATCH(J18,Data!$CX$9:$DA$9,0)</f>
        <v>#N/A</v>
      </c>
      <c r="EI18" s="334" t="e">
        <f>INDEX(Data!$CX$10:$DA$14,Shutters!EG18,Shutters!EH18)</f>
        <v>#N/A</v>
      </c>
      <c r="EJ18" s="169" t="str">
        <f>IF(SUM(--ISNUMBER(SEARCH({"combo","Combo","COMBO"}, B35))),"Yes","No")</f>
        <v>No</v>
      </c>
      <c r="EK18" s="169" t="str">
        <f>IF(SUM(--ISNUMBER(SEARCH({"combo","Combo","COMBO"}, F35))),"Yes","No")</f>
        <v>No</v>
      </c>
      <c r="EL18" s="169" t="str">
        <f t="shared" si="45"/>
        <v>No</v>
      </c>
      <c r="EM18" s="157">
        <f t="shared" si="46"/>
        <v>1</v>
      </c>
      <c r="EN18" s="157" t="e">
        <f t="shared" si="47"/>
        <v>#DIV/0!</v>
      </c>
      <c r="EO18" s="169" t="str">
        <f t="shared" si="48"/>
        <v/>
      </c>
      <c r="EP18" s="330" t="str">
        <f t="shared" si="49"/>
        <v/>
      </c>
      <c r="EQ18" s="330" t="str">
        <f t="shared" si="50"/>
        <v/>
      </c>
      <c r="ER18" s="169" t="str">
        <f t="shared" si="51"/>
        <v/>
      </c>
      <c r="ES18" s="169" t="str">
        <f t="shared" si="52"/>
        <v/>
      </c>
      <c r="ET18" s="169" t="str">
        <f t="shared" si="53"/>
        <v/>
      </c>
      <c r="EU18" s="264" t="str">
        <f t="shared" si="54"/>
        <v>No</v>
      </c>
      <c r="EV18" s="330" t="e">
        <f>MATCH(G18,Data!$FH$18:$FL$18,0)</f>
        <v>#N/A</v>
      </c>
      <c r="EW18" s="169" t="e">
        <f>MATCH(N18,Data!$FG$19:$FG$25,0)</f>
        <v>#N/A</v>
      </c>
      <c r="EX18" s="330" t="e">
        <f>INDEX(Data!$FH$19:$FL$25,Shutters!EW18,Shutters!EV18)</f>
        <v>#N/A</v>
      </c>
    </row>
    <row r="19" spans="1:154" ht="36.75" customHeight="1">
      <c r="A19" s="52">
        <v>11</v>
      </c>
      <c r="B19" s="17"/>
      <c r="C19" s="14"/>
      <c r="D19" s="14"/>
      <c r="E19" s="14"/>
      <c r="F19" s="10"/>
      <c r="G19" s="13"/>
      <c r="H19" s="699"/>
      <c r="I19" s="729"/>
      <c r="J19" s="14"/>
      <c r="K19" s="144" t="str">
        <f t="shared" si="11"/>
        <v/>
      </c>
      <c r="L19" s="15"/>
      <c r="M19" s="15"/>
      <c r="N19" s="15"/>
      <c r="O19" s="15"/>
      <c r="P19" s="565"/>
      <c r="Q19" s="565"/>
      <c r="R19" s="13"/>
      <c r="S19" s="13"/>
      <c r="T19" s="13"/>
      <c r="U19" s="13"/>
      <c r="V19" s="15"/>
      <c r="W19" s="15"/>
      <c r="X19" s="16"/>
      <c r="Y19" s="16"/>
      <c r="Z19" s="14"/>
      <c r="AA19" s="14"/>
      <c r="AB19" s="14"/>
      <c r="AC19" s="18"/>
      <c r="AD19" s="164" t="str">
        <f t="shared" si="0"/>
        <v/>
      </c>
      <c r="AE19" s="229"/>
      <c r="AF19" s="230"/>
      <c r="AU19" s="108" t="str">
        <f t="shared" si="12"/>
        <v/>
      </c>
      <c r="AV19" s="65" t="e">
        <f t="shared" si="13"/>
        <v>#N/A</v>
      </c>
      <c r="AW19" s="169" t="e">
        <f>VLOOKUP(P19,Data!$MI$2:$MJ$4,2,FALSE)</f>
        <v>#N/A</v>
      </c>
      <c r="AX19" s="169" t="e">
        <f t="shared" si="14"/>
        <v>#N/A</v>
      </c>
      <c r="AY19" s="169" t="e">
        <f>VLOOKUP(N19,Data!$BI$24:$BJ$30,2,FALSE)</f>
        <v>#N/A</v>
      </c>
      <c r="AZ19" s="155" t="b">
        <f>IF(G19=Data!$BO$2,Data!$BS$2, IF(Shutters!G19=Data!$BP$2,Data!$BT$2, IF(Shutters!G19=Data!$BQ$2,Data!$BU$2)))</f>
        <v>0</v>
      </c>
      <c r="BA19" s="340" t="str">
        <f t="shared" si="15"/>
        <v>No</v>
      </c>
      <c r="BB19" s="155" t="e">
        <f t="shared" si="16"/>
        <v>#DIV/0!</v>
      </c>
      <c r="BC19" s="340" t="e">
        <f t="shared" si="17"/>
        <v>#DIV/0!</v>
      </c>
      <c r="BD19" s="155" t="e">
        <f t="shared" si="1"/>
        <v>#DIV/0!</v>
      </c>
      <c r="BE19" s="340" t="str">
        <f t="shared" si="18"/>
        <v>No</v>
      </c>
      <c r="BF19" s="155" t="str">
        <f t="shared" si="19"/>
        <v>NotRequired</v>
      </c>
      <c r="BG19" s="155" t="b">
        <f>IF(G19=Data!$BO$2,Data!$CM$2, IF(Shutters!G19=Data!$BP$2,Data!$CN$2, IF(Shutters!G19=Data!$BQ$2,Data!$CO$2)))</f>
        <v>0</v>
      </c>
      <c r="BH19" s="155" t="e">
        <f t="shared" si="20"/>
        <v>#DIV/0!</v>
      </c>
      <c r="BI19" s="156" t="str">
        <f t="shared" si="2"/>
        <v>NoHighlight</v>
      </c>
      <c r="BJ19" s="340" t="str">
        <f t="shared" si="21"/>
        <v>FauxwoodRPNo</v>
      </c>
      <c r="BK19" s="156" t="str">
        <f>IF(SUM(--ISNUMBER( SEARCH({"t","T"},O19))),"Yes","No")</f>
        <v>No</v>
      </c>
      <c r="BL19" s="156" t="str">
        <f t="shared" si="22"/>
        <v>OK</v>
      </c>
      <c r="BM19" s="156" t="str">
        <f t="shared" si="23"/>
        <v>OK</v>
      </c>
      <c r="BN19" s="156" t="str">
        <f t="shared" si="24"/>
        <v>OK</v>
      </c>
      <c r="BO19" s="156" t="e">
        <f>IF(OR(AND(F19&gt;1,#REF!="L",#REF!="l"),AND(F19&gt;1,#REF!="R",#REF!="r"),AND(F19&gt;2,#REF!="LR",#REF!="lr")), "Error","OK")</f>
        <v>#REF!</v>
      </c>
      <c r="BP19" s="156" t="str">
        <f t="shared" si="3"/>
        <v>FauxwoodAINo</v>
      </c>
      <c r="BQ19" s="156" t="str">
        <f>IF(SUM(--ISNUMBER(SEARCH({"combo","Combo","COMBO"}, B36))),"Yes","No")</f>
        <v>No</v>
      </c>
      <c r="BR19" s="156" t="str">
        <f t="shared" si="25"/>
        <v>No</v>
      </c>
      <c r="BS19" s="156" t="str">
        <f>IF(SUM(--ISNUMBER( SEARCH({"c","C","b","B"},#REF!))),"Yes","No")</f>
        <v>No</v>
      </c>
      <c r="BT19" s="157">
        <f t="shared" si="4"/>
        <v>0</v>
      </c>
      <c r="BU19" s="169" t="str">
        <f>IF(N19=Data!$BI$3,Data!$DR$3,IF(N19=Data!$BI$4,Data!$DS$3,IF(N19=Data!$BI$5,Data!$DT$3,IF(N19=Data!$BI$6,Data!$DU$3,IF(N19=Data!$BI$7,Data!$DV$3, IF(N19=Data!$BI$8,Data!$DX$3, IF(N19=Data!$BI$9,Data!$DW$3, "")))))))</f>
        <v/>
      </c>
      <c r="BV19" s="169" t="str">
        <f>IF(N19=Data!$BI$3,Data!$DY$3,IF(N19=Data!$BI$4,Data!$DZ$3,IF(N19=Data!$BI$5,Data!$EA$3,IF(N19=Data!$BI$6,Data!$EB$3,IF(N19=Data!$BI$7,Data!$EC$3,IF(N19=Data!$BI$8,Data!$EE$3, IF(N19=Data!$BI$9,Data!$ED$3,"")))))))</f>
        <v/>
      </c>
      <c r="BW19" s="157">
        <f t="shared" si="5"/>
        <v>0</v>
      </c>
      <c r="BX19" s="157">
        <f t="shared" si="6"/>
        <v>0</v>
      </c>
      <c r="BY19" s="169" t="e">
        <f t="shared" si="26"/>
        <v>#DIV/0!</v>
      </c>
      <c r="BZ19" s="330" t="b">
        <f>IF(G19=Data!$EU$2,Data!$ES$2,IF(G19=Data!$EU$3,Data!$ER$2, IF(G19=Data!$EU$5,Data!$ET$2, IF(G19=Data!$EU$4,Data!$EQ$2,IF(G19=Data!$EU$6,Data!$ER$2)))))</f>
        <v>0</v>
      </c>
      <c r="CA19" s="330" t="b">
        <f>IF(G19=Data!$EU$2,Data!$EW$2,IF(G19=Data!$EU$3,Data!$EX$2,IF(G19=Data!$EU$4,Data!$EY$2, IF(G19=Data!$EU$5,Data!$EY$2,IF(G19=Data!$EU$6,Data!$EX$2)))))</f>
        <v>0</v>
      </c>
      <c r="CB19" s="169" t="e">
        <f>VLOOKUP(M19,Data!$EJ$3:$EK$14,2,FALSE)</f>
        <v>#N/A</v>
      </c>
      <c r="CC19" s="169" t="str">
        <f>IF(J19="114mm",VLOOKUP(H19,Data!$FA$2:$FB$18,2,FALSE),"OK")</f>
        <v>OK</v>
      </c>
      <c r="CD19" s="169" t="e">
        <f t="shared" si="7"/>
        <v>#DIV/0!</v>
      </c>
      <c r="CE19" s="169" t="str">
        <f>IF(OR(AND(R19="",P19&lt;&gt;"")),VLOOKUP(P19,Data!$FC$2:$FD$18,2,FALSE),"")</f>
        <v/>
      </c>
      <c r="CF19" s="169" t="str">
        <f>IF(N19=Data!$BI$3,Data!$FJ$1,IF(N19=Data!$BI$4,Data!$FK$1,IF(N19=Data!$BI$5,Data!$FL$1,IF(N19=Data!$BI$6,Data!$FM$1,IF(N19=Data!$BI$7,Data!$FN$1, IF(N19=Data!$BI$8,Data!$FO$1, IF(N19=Data!$BI$9,Data!$FI$1, "")))))))</f>
        <v/>
      </c>
      <c r="CG19" s="169" t="str">
        <f>IF(SUM(--ISNUMBER(SEARCH({"z","Z"}, P19))),"Yes","No")</f>
        <v>No</v>
      </c>
      <c r="CH19" s="169" t="str">
        <f t="shared" si="8"/>
        <v>OK</v>
      </c>
      <c r="CI19" s="169">
        <f t="shared" si="27"/>
        <v>0</v>
      </c>
      <c r="CJ19" s="169" t="e">
        <f>VLOOKUP(O19,Data!$DO$4:$DP$156,2,FALSE)</f>
        <v>#N/A</v>
      </c>
      <c r="CK19" s="169" t="e">
        <f t="shared" si="9"/>
        <v>#N/A</v>
      </c>
      <c r="CL19" s="157"/>
      <c r="CM19" s="157"/>
      <c r="CN19" s="157"/>
      <c r="CO19" s="344" t="str">
        <f t="shared" si="28"/>
        <v>OK</v>
      </c>
      <c r="CP19" s="169" t="b">
        <f t="shared" si="29"/>
        <v>0</v>
      </c>
      <c r="CQ19" s="169">
        <f t="shared" si="30"/>
        <v>0</v>
      </c>
      <c r="CR19" s="169">
        <f t="shared" si="31"/>
        <v>1</v>
      </c>
      <c r="CS19" s="169">
        <f t="shared" si="32"/>
        <v>0</v>
      </c>
      <c r="CT19" s="157" t="e">
        <f t="shared" si="33"/>
        <v>#DIV/0!</v>
      </c>
      <c r="CU19" s="169" t="b">
        <f>IF(H19=Data!$BD$3,Data!$HC$2,IF(H19=Data!$BD$4,Data!$HM$2,IF(H19=Data!$BD$5,Data!$HF$2,IF(H19=Data!$BD$6,Data!$HB$2,IF(H19=Data!$BD$7,Data!$HD$2,IF(H19=Data!$BD$8,Data!$HJ$2,IF(H19=Data!$BD$9,Data!$HN$2,IF(H19=Data!$BD$10,Data!$HA$2,IF(H19=Data!$BD$11,Data!$HI$2)))))))))</f>
        <v>0</v>
      </c>
      <c r="CV19" s="276" t="b">
        <f>IF(H19=Data!$BE$3,Data!$HQ$2, IF(H19=Data!$BE$4,Data!$HP$2, IF(H19=Data!$BE$5,Data!$HR$2, IF(H19=Data!$BE$6,Data!$HO$2))))</f>
        <v>0</v>
      </c>
      <c r="CW19" s="330" t="b">
        <f>IF(H19=Data!$BH$3,Data!$HU$2, IF(H19=Data!$BH$4,Data!$HT$2, IF(H19=Data!$BH$5,Data!$HS$2)))</f>
        <v>0</v>
      </c>
      <c r="CX19" s="330" t="b">
        <f>IF(H19=Data!$BF$3,Data!$HQ$16, IF(H19=Data!$BF$4,Data!$HP$16, IF(H19=Data!$BF$5,Data!$HR$16, IF(H19=Data!$BF$6,Data!$HO$16))))</f>
        <v>0</v>
      </c>
      <c r="CY19" s="330" t="b">
        <f>IF(G19=Data!$BC$3,Shutters!CU19,IF(G19=Data!$BC$4,Shutters!CV19,IF(G19=Data!$BC$6,Shutters!CW19, IF(G19=Data!$BC$5, Shutters!CX19,IF(G19=Data!$BC$7,Shutters!CV19)))))</f>
        <v>0</v>
      </c>
      <c r="CZ19" s="157" t="e">
        <f>IF(OR(AND(L19&gt;0,#REF!="")), "Error","OK")</f>
        <v>#REF!</v>
      </c>
      <c r="DA19" s="169" t="e">
        <f>IF(COUNTIF(#REF!,Data!$CX$6),"Yes","")</f>
        <v>#REF!</v>
      </c>
      <c r="DB19" s="54" t="str">
        <f t="shared" si="34"/>
        <v/>
      </c>
      <c r="DE19" s="54" t="str">
        <f>IF(N19=Data!$BI$5,"Yes",IF(N19=Data!$BI$6,"Yes","No"))</f>
        <v>No</v>
      </c>
      <c r="DF19" s="65" t="b">
        <f>IF(N19=Data!$BI$3,Data!$JB$2,IF(N19=Data!$BI$4,Data!$JC$2,IF(N19=Data!$BI$5,Data!$JD$2,IF(N19=Data!$BI$6,Data!$JE$2,IF(N19=Data!$BI$7,Data!$JF$2, IF(N19=Data!$BI$8,Data!$JA$2, IF(N19=Data!$BI$9,Data!$JG$2)))))))</f>
        <v>0</v>
      </c>
      <c r="DI19" s="65" t="e">
        <f>VLOOKUP(O19,Data!$DO$4:$DQ$156,3,FALSE)</f>
        <v>#N/A</v>
      </c>
      <c r="DJ19" s="54" t="e">
        <f t="shared" si="10"/>
        <v>#N/A</v>
      </c>
      <c r="DK19" s="54" t="e">
        <f t="shared" si="35"/>
        <v>#N/A</v>
      </c>
      <c r="DL19" s="54" t="b">
        <f>IF(P19=Data!$BK$3,Data!$JH$2,IF(P19=Data!$BK$4,Data!$JI$2,IF(P19=Data!$BK$5,Data!$JJ$2,IF(P19=Data!$BK$6,Data!$JK$2,IF(P19=Data!$BK$7,Data!$JL$2,IF(P19=Data!$BK$8,Data!$JM$2,IF(P19=Data!$BK$9,Data!$JN$2,IF(P19=Data!$BK$10,Data!$JO$2,IF(P19=Data!$BK$11,Data!$JP$2,IF(P19=Data!$BK$12,Data!$JQ$2,IF(P19=Data!$BK$13,Data!$JR$2,IF(P19=Data!$BK$14,Data!$JS$2,IF(P19=Data!$BK$15,Data!$JT$2,IF(P19=Data!$BK$16,Data!$JU$2,IF(P19=Data!$BK$17,Data!$JV$2,IF(P19=Data!$BK$18,Data!$JW$2, IF(P19=Data!$BK$19,Data!$JX$2, IF(P19=Data!$BK$20,Data!$JY$2))))))))))))))))))</f>
        <v>0</v>
      </c>
      <c r="DN19" s="169" t="str">
        <f t="shared" si="36"/>
        <v/>
      </c>
      <c r="DO19" s="169" t="e">
        <f t="shared" si="37"/>
        <v>#N/A</v>
      </c>
      <c r="DP19" s="169" t="str">
        <f t="shared" si="38"/>
        <v>OK</v>
      </c>
      <c r="DQ19" s="169" t="str">
        <f t="shared" si="39"/>
        <v>OK</v>
      </c>
      <c r="DR19" s="169" t="str">
        <f t="shared" si="40"/>
        <v>OK</v>
      </c>
      <c r="DS19" s="169" t="str">
        <f t="shared" si="41"/>
        <v>OK</v>
      </c>
      <c r="DT19" s="65" t="b">
        <f>IF(N19=Data!$LW$2,Data!$LX$1,IF(N19=Data!$LW$3,Data!$LY$1,IF(N19=Data!$LW$4,Data!$LZ$1,IF(N19=Data!$LW$5,Data!$MA$1,IF(N19=Data!$LW$6,Data!$MB$1,IF(N19=Data!$LW$7,Data!$MC$1, IF(N19=Data!$LW$8,Data!$MX$1)))))))</f>
        <v>0</v>
      </c>
      <c r="DU19" s="65" t="b">
        <f>IF(E19=Data!$MD$2,Data!$ME$2, IF(E19=Data!$MD$3,Data!$MF$2, IF(E19=Data!$MD$4,Data!$MG$2)))</f>
        <v>0</v>
      </c>
      <c r="DV19" s="54" t="str">
        <f>IF(E19="MS", Data!$AK$1, Data!$EJ$2)</f>
        <v>Special_Window</v>
      </c>
      <c r="DW19" s="65" t="str">
        <f>IF(OR(AND(S19="",P19&lt;&gt;"")),VLOOKUP(P19,Data!$FC$2:$FD$18,2,FALSE),"")</f>
        <v/>
      </c>
      <c r="DX19" s="65" t="str">
        <f>IF(OR(AND(T19="",P19&lt;&gt;"")),VLOOKUP(P19,Data!$FC$2:$FD$18,2,FALSE),"")</f>
        <v/>
      </c>
      <c r="DY19" s="65" t="str">
        <f>IF(OR(AND(U19="",P19&lt;&gt;"")),VLOOKUP(P19,Data!$FC$2:$FD$18,2,FALSE),"")</f>
        <v/>
      </c>
      <c r="DZ19" s="157" t="e">
        <f>VLOOKUP(N19,Data!$MK$2:$ML$8,2,FALSE)</f>
        <v>#N/A</v>
      </c>
      <c r="EA19" s="65" t="e">
        <f>VLOOKUP(O19,Data!$DO$4:$DO$157,1,FALSE)</f>
        <v>#N/A</v>
      </c>
      <c r="EB19" s="65" t="e">
        <f t="shared" si="42"/>
        <v>#N/A</v>
      </c>
      <c r="EC19" s="54" t="str">
        <f t="shared" si="43"/>
        <v/>
      </c>
      <c r="ED19" s="157" t="str">
        <f t="shared" si="44"/>
        <v>OK</v>
      </c>
      <c r="EE19" s="169" t="b">
        <f>IF(P19=Data!$NN$3,Data!$NO$2, IF(P19=Data!$NN$4,Data!$NP$2, IF(P19=Data!$NN$5,Data!$NQ$2, IF(P19=Data!$NN$6,Data!$NR$2, IF(P19=Data!$NN$7,Data!$NS$2, IF(P19=Data!$NN$8,Data!$NT$2, IF(P19=Data!$NN$9,Data!$NU$2, IF(P19=Data!$NN$10,Data!$NV$2, IF(P19=Data!$NN$11,Data!$NW$2, IF(P19=Data!$NN$12,Data!$NX$2, IF(P19=Data!$NN$13,Data!$NY$2, IF(P19=Data!$NN$14,Data!$NZ$2, IF(P19=Data!$NN$15,Data!$OA$2, IF(P19=Data!$NN$16,Data!$OB$2, IF(P19=Data!$NN$17,Data!$OC$2, IF(P19=Data!$NN$18,Data!$OD$2, IF(P19=Data!$NN$19,Data!$OE$2, IF(P19=Data!$NN$20,Data!$OG$2))))))))))))))))))</f>
        <v>0</v>
      </c>
      <c r="EF19" s="169" t="b">
        <f>IF(P19=Data!$NN$3,Data!$NO$15,IF(P19=Data!$NN$4,Data!$NP$15,IF(P19=Data!$NN$5,Data!$NQ$15,IF(P19=Data!$NN$6,Data!$NR$15,IF(P19=Data!$NN$7,Data!$NS$15,IF(P19=Data!$NN$8,Data!$NT$15,IF(P19=Data!$NN$9,Data!$NU$15,IF(P19=Data!$NN$10,Data!$NV$15,IF(P19=Data!$NN$11,Data!$NW$15,IF(P19=Data!$NN$12,Data!$NX$15,IF(P19=Data!$NN$13,Data!$NY$15,IF(P19=Data!$NN$14,Data!$NZ$15,IF(N19=Data!$NN$22,Data!$OA$15,IF(N19=Data!$NN$23,Data!$OB$15,IF(P19=Data!$NN$19,Data!$OC$15, IF(P19=Data!$NN$20,Data!$OG$15))))))))))))))))</f>
        <v>0</v>
      </c>
      <c r="EG19" s="330" t="e">
        <f>MATCH(G19, Data!$CW$10:$CW$14,0)</f>
        <v>#N/A</v>
      </c>
      <c r="EH19" s="169" t="e">
        <f>MATCH(J19,Data!$CX$9:$DA$9,0)</f>
        <v>#N/A</v>
      </c>
      <c r="EI19" s="334" t="e">
        <f>INDEX(Data!$CX$10:$DA$14,Shutters!EG19,Shutters!EH19)</f>
        <v>#N/A</v>
      </c>
      <c r="EJ19" s="169" t="str">
        <f>IF(SUM(--ISNUMBER(SEARCH({"combo","Combo","COMBO"}, B36))),"Yes","No")</f>
        <v>No</v>
      </c>
      <c r="EK19" s="169" t="str">
        <f>IF(SUM(--ISNUMBER(SEARCH({"combo","Combo","COMBO"}, F36))),"Yes","No")</f>
        <v>No</v>
      </c>
      <c r="EL19" s="169" t="str">
        <f t="shared" si="45"/>
        <v>No</v>
      </c>
      <c r="EM19" s="157">
        <f t="shared" si="46"/>
        <v>1</v>
      </c>
      <c r="EN19" s="157" t="e">
        <f t="shared" si="47"/>
        <v>#DIV/0!</v>
      </c>
      <c r="EO19" s="169" t="str">
        <f t="shared" si="48"/>
        <v/>
      </c>
      <c r="EP19" s="330" t="str">
        <f t="shared" si="49"/>
        <v/>
      </c>
      <c r="EQ19" s="330" t="str">
        <f t="shared" si="50"/>
        <v/>
      </c>
      <c r="ER19" s="169" t="str">
        <f t="shared" si="51"/>
        <v/>
      </c>
      <c r="ES19" s="169" t="str">
        <f t="shared" si="52"/>
        <v/>
      </c>
      <c r="ET19" s="169" t="str">
        <f t="shared" si="53"/>
        <v/>
      </c>
      <c r="EU19" s="264" t="str">
        <f t="shared" si="54"/>
        <v>No</v>
      </c>
      <c r="EV19" s="330" t="e">
        <f>MATCH(G19,Data!$FH$18:$FL$18,0)</f>
        <v>#N/A</v>
      </c>
      <c r="EW19" s="169" t="e">
        <f>MATCH(N19,Data!$FG$19:$FG$25,0)</f>
        <v>#N/A</v>
      </c>
      <c r="EX19" s="330" t="e">
        <f>INDEX(Data!$FH$19:$FL$25,Shutters!EW19,Shutters!EV19)</f>
        <v>#N/A</v>
      </c>
    </row>
    <row r="20" spans="1:154" ht="36.75" customHeight="1">
      <c r="A20" s="52">
        <v>12</v>
      </c>
      <c r="B20" s="17"/>
      <c r="C20" s="14"/>
      <c r="D20" s="14"/>
      <c r="E20" s="14"/>
      <c r="F20" s="10"/>
      <c r="G20" s="13"/>
      <c r="H20" s="699"/>
      <c r="I20" s="729"/>
      <c r="J20" s="14"/>
      <c r="K20" s="144" t="str">
        <f t="shared" si="11"/>
        <v/>
      </c>
      <c r="L20" s="15"/>
      <c r="M20" s="15"/>
      <c r="N20" s="15"/>
      <c r="O20" s="15"/>
      <c r="P20" s="565"/>
      <c r="Q20" s="565"/>
      <c r="R20" s="13"/>
      <c r="S20" s="13"/>
      <c r="T20" s="13"/>
      <c r="U20" s="13"/>
      <c r="V20" s="15"/>
      <c r="W20" s="15"/>
      <c r="X20" s="16"/>
      <c r="Y20" s="16"/>
      <c r="Z20" s="14"/>
      <c r="AA20" s="14"/>
      <c r="AB20" s="14"/>
      <c r="AC20" s="18"/>
      <c r="AD20" s="164" t="str">
        <f>IF(SUM(D20)=0,"",IF(E20="MS",SUM(((C20*D20)/1000000)*F20),SUM(((C20*D20)/1000000))))</f>
        <v/>
      </c>
      <c r="AE20" s="229"/>
      <c r="AF20" s="230"/>
      <c r="AU20" s="108" t="str">
        <f t="shared" si="12"/>
        <v/>
      </c>
      <c r="AV20" s="65" t="e">
        <f t="shared" si="13"/>
        <v>#N/A</v>
      </c>
      <c r="AW20" s="169" t="e">
        <f>VLOOKUP(P20,Data!$MI$2:$MJ$4,2,FALSE)</f>
        <v>#N/A</v>
      </c>
      <c r="AX20" s="169" t="e">
        <f t="shared" si="14"/>
        <v>#N/A</v>
      </c>
      <c r="AY20" s="169" t="e">
        <f>VLOOKUP(N20,Data!$BI$24:$BJ$30,2,FALSE)</f>
        <v>#N/A</v>
      </c>
      <c r="AZ20" s="155" t="b">
        <f>IF(G20=Data!$BO$2,Data!$BS$2, IF(Shutters!G20=Data!$BP$2,Data!$BT$2, IF(Shutters!G20=Data!$BQ$2,Data!$BU$2)))</f>
        <v>0</v>
      </c>
      <c r="BA20" s="340" t="str">
        <f t="shared" si="15"/>
        <v>No</v>
      </c>
      <c r="BB20" s="155" t="e">
        <f t="shared" si="16"/>
        <v>#DIV/0!</v>
      </c>
      <c r="BC20" s="340" t="e">
        <f t="shared" si="17"/>
        <v>#DIV/0!</v>
      </c>
      <c r="BD20" s="155" t="e">
        <f t="shared" si="1"/>
        <v>#DIV/0!</v>
      </c>
      <c r="BE20" s="340" t="str">
        <f t="shared" si="18"/>
        <v>No</v>
      </c>
      <c r="BF20" s="155" t="str">
        <f t="shared" si="19"/>
        <v>NotRequired</v>
      </c>
      <c r="BG20" s="155" t="b">
        <f>IF(G20=Data!$BO$2,Data!$CM$2, IF(Shutters!G20=Data!$BP$2,Data!$CN$2, IF(Shutters!G20=Data!$BQ$2,Data!$CO$2)))</f>
        <v>0</v>
      </c>
      <c r="BH20" s="155" t="e">
        <f t="shared" si="20"/>
        <v>#DIV/0!</v>
      </c>
      <c r="BI20" s="156" t="str">
        <f t="shared" si="2"/>
        <v>NoHighlight</v>
      </c>
      <c r="BJ20" s="340" t="str">
        <f t="shared" si="21"/>
        <v>FauxwoodRPNo</v>
      </c>
      <c r="BK20" s="156" t="str">
        <f>IF(SUM(--ISNUMBER( SEARCH({"t","T"},O20))),"Yes","No")</f>
        <v>No</v>
      </c>
      <c r="BL20" s="156" t="str">
        <f t="shared" si="22"/>
        <v>OK</v>
      </c>
      <c r="BM20" s="156" t="str">
        <f t="shared" si="23"/>
        <v>OK</v>
      </c>
      <c r="BN20" s="156" t="str">
        <f t="shared" si="24"/>
        <v>OK</v>
      </c>
      <c r="BO20" s="156" t="e">
        <f>IF(OR(AND(F20&gt;1,#REF!="L",#REF!="l"),AND(F20&gt;1,#REF!="R",#REF!="r"),AND(F20&gt;2,#REF!="LR",#REF!="lr")), "Error","OK")</f>
        <v>#REF!</v>
      </c>
      <c r="BP20" s="156" t="str">
        <f t="shared" si="3"/>
        <v>FauxwoodAINo</v>
      </c>
      <c r="BQ20" s="156" t="str">
        <f>IF(SUM(--ISNUMBER(SEARCH({"combo","Combo","COMBO"}, B37))),"Yes","No")</f>
        <v>No</v>
      </c>
      <c r="BR20" s="156" t="str">
        <f t="shared" si="25"/>
        <v>No</v>
      </c>
      <c r="BS20" s="156" t="str">
        <f>IF(SUM(--ISNUMBER( SEARCH({"c","C","b","B"},#REF!))),"Yes","No")</f>
        <v>No</v>
      </c>
      <c r="BT20" s="157">
        <f t="shared" si="4"/>
        <v>0</v>
      </c>
      <c r="BU20" s="169" t="str">
        <f>IF(N20=Data!$BI$3,Data!$DR$3,IF(N20=Data!$BI$4,Data!$DS$3,IF(N20=Data!$BI$5,Data!$DT$3,IF(N20=Data!$BI$6,Data!$DU$3,IF(N20=Data!$BI$7,Data!$DV$3, IF(N20=Data!$BI$8,Data!$DX$3, IF(N20=Data!$BI$9,Data!$DW$3, "")))))))</f>
        <v/>
      </c>
      <c r="BV20" s="169" t="str">
        <f>IF(N20=Data!$BI$3,Data!$DY$3,IF(N20=Data!$BI$4,Data!$DZ$3,IF(N20=Data!$BI$5,Data!$EA$3,IF(N20=Data!$BI$6,Data!$EB$3,IF(N20=Data!$BI$7,Data!$EC$3,IF(N20=Data!$BI$8,Data!$EE$3, IF(N20=Data!$BI$9,Data!$ED$3,"")))))))</f>
        <v/>
      </c>
      <c r="BW20" s="157">
        <f t="shared" si="5"/>
        <v>0</v>
      </c>
      <c r="BX20" s="157">
        <f t="shared" si="6"/>
        <v>0</v>
      </c>
      <c r="BY20" s="169" t="e">
        <f t="shared" si="26"/>
        <v>#DIV/0!</v>
      </c>
      <c r="BZ20" s="330" t="b">
        <f>IF(G20=Data!$EU$2,Data!$ES$2,IF(G20=Data!$EU$3,Data!$ER$2, IF(G20=Data!$EU$5,Data!$ET$2, IF(G20=Data!$EU$4,Data!$EQ$2,IF(G20=Data!$EU$6,Data!$ER$2)))))</f>
        <v>0</v>
      </c>
      <c r="CA20" s="330" t="b">
        <f>IF(G20=Data!$EU$2,Data!$EW$2,IF(G20=Data!$EU$3,Data!$EX$2,IF(G20=Data!$EU$4,Data!$EY$2, IF(G20=Data!$EU$5,Data!$EY$2,IF(G20=Data!$EU$6,Data!$EX$2)))))</f>
        <v>0</v>
      </c>
      <c r="CB20" s="169" t="e">
        <f>VLOOKUP(M20,Data!$EJ$3:$EK$14,2,FALSE)</f>
        <v>#N/A</v>
      </c>
      <c r="CC20" s="169" t="str">
        <f>IF(J20="114mm",VLOOKUP(H20,Data!$FA$2:$FB$18,2,FALSE),"OK")</f>
        <v>OK</v>
      </c>
      <c r="CD20" s="169" t="e">
        <f t="shared" si="7"/>
        <v>#DIV/0!</v>
      </c>
      <c r="CE20" s="169" t="str">
        <f>IF(OR(AND(R20="",P20&lt;&gt;"")),VLOOKUP(P20,Data!$FC$2:$FD$18,2,FALSE),"")</f>
        <v/>
      </c>
      <c r="CF20" s="169" t="str">
        <f>IF(N20=Data!$BI$3,Data!$FJ$1,IF(N20=Data!$BI$4,Data!$FK$1,IF(N20=Data!$BI$5,Data!$FL$1,IF(N20=Data!$BI$6,Data!$FM$1,IF(N20=Data!$BI$7,Data!$FN$1, IF(N20=Data!$BI$8,Data!$FO$1, IF(N20=Data!$BI$9,Data!$FI$1, "")))))))</f>
        <v/>
      </c>
      <c r="CG20" s="169" t="str">
        <f>IF(SUM(--ISNUMBER(SEARCH({"z","Z"}, P20))),"Yes","No")</f>
        <v>No</v>
      </c>
      <c r="CH20" s="169" t="str">
        <f t="shared" si="8"/>
        <v>OK</v>
      </c>
      <c r="CI20" s="169">
        <f t="shared" si="27"/>
        <v>0</v>
      </c>
      <c r="CJ20" s="169" t="e">
        <f>VLOOKUP(O20,Data!$DO$4:$DP$156,2,FALSE)</f>
        <v>#N/A</v>
      </c>
      <c r="CK20" s="169" t="e">
        <f t="shared" si="9"/>
        <v>#N/A</v>
      </c>
      <c r="CL20" s="157"/>
      <c r="CM20" s="157"/>
      <c r="CN20" s="157"/>
      <c r="CO20" s="344" t="str">
        <f t="shared" si="28"/>
        <v>OK</v>
      </c>
      <c r="CP20" s="169" t="b">
        <f t="shared" si="29"/>
        <v>0</v>
      </c>
      <c r="CQ20" s="169">
        <f>IF(E20="IN",1,IF(E20="OUT",1,0))</f>
        <v>0</v>
      </c>
      <c r="CR20" s="169">
        <f>IF(P20="No Frame",0,IF(P20="Hanging Strip",0,1))</f>
        <v>1</v>
      </c>
      <c r="CS20" s="169">
        <f>CP20*CQ20*CR20</f>
        <v>0</v>
      </c>
      <c r="CT20" s="157" t="e">
        <f t="shared" si="33"/>
        <v>#DIV/0!</v>
      </c>
      <c r="CU20" s="169" t="b">
        <f>IF(H20=Data!$BD$3,Data!$HC$2,IF(H20=Data!$BD$4,Data!$HM$2,IF(H20=Data!$BD$5,Data!$HF$2,IF(H20=Data!$BD$6,Data!$HB$2,IF(H20=Data!$BD$7,Data!$HD$2,IF(H20=Data!$BD$8,Data!$HJ$2,IF(H20=Data!$BD$9,Data!$HN$2,IF(H20=Data!$BD$10,Data!$HA$2,IF(H20=Data!$BD$11,Data!$HI$2)))))))))</f>
        <v>0</v>
      </c>
      <c r="CV20" s="276" t="b">
        <f>IF(H20=Data!$BE$3,Data!$HQ$2, IF(H20=Data!$BE$4,Data!$HP$2, IF(H20=Data!$BE$5,Data!$HR$2, IF(H20=Data!$BE$6,Data!$HO$2))))</f>
        <v>0</v>
      </c>
      <c r="CW20" s="330" t="b">
        <f>IF(H20=Data!$BH$3,Data!$HU$2, IF(H20=Data!$BH$4,Data!$HT$2, IF(H20=Data!$BH$5,Data!$HS$2)))</f>
        <v>0</v>
      </c>
      <c r="CX20" s="330" t="b">
        <f>IF(H20=Data!$BF$3,Data!$HQ$16, IF(H20=Data!$BF$4,Data!$HP$16, IF(H20=Data!$BF$5,Data!$HR$16, IF(H20=Data!$BF$6,Data!$HO$16))))</f>
        <v>0</v>
      </c>
      <c r="CY20" s="330" t="b">
        <f>IF(G20=Data!$BC$3,Shutters!CU20,IF(G20=Data!$BC$4,Shutters!CV20,IF(G20=Data!$BC$6,Shutters!CW20, IF(G20=Data!$BC$5, Shutters!CX20,IF(G20=Data!$BC$7,Shutters!CV20)))))</f>
        <v>0</v>
      </c>
      <c r="CZ20" s="157" t="e">
        <f>IF(OR(AND(L20&gt;0,#REF!="")), "Error","OK")</f>
        <v>#REF!</v>
      </c>
      <c r="DA20" s="169" t="e">
        <f>IF(COUNTIF(#REF!,Data!$CX$6),"Yes","")</f>
        <v>#REF!</v>
      </c>
      <c r="DB20" s="54" t="str">
        <f t="shared" si="34"/>
        <v/>
      </c>
      <c r="DE20" s="54" t="str">
        <f>IF(N20=Data!$BI$5,"Yes",IF(N20=Data!$BI$6,"Yes","No"))</f>
        <v>No</v>
      </c>
      <c r="DF20" s="65" t="b">
        <f>IF(N20=Data!$BI$3,Data!$JB$2,IF(N20=Data!$BI$4,Data!$JC$2,IF(N20=Data!$BI$5,Data!$JD$2,IF(N20=Data!$BI$6,Data!$JE$2,IF(N20=Data!$BI$7,Data!$JF$2, IF(N20=Data!$BI$8,Data!$JA$2, IF(N20=Data!$BI$9,Data!$JG$2)))))))</f>
        <v>0</v>
      </c>
      <c r="DI20" s="65" t="e">
        <f>VLOOKUP(O20,Data!$DO$4:$DQ$156,3,FALSE)</f>
        <v>#N/A</v>
      </c>
      <c r="DJ20" s="54" t="e">
        <f t="shared" si="10"/>
        <v>#N/A</v>
      </c>
      <c r="DK20" s="54" t="e">
        <f t="shared" si="35"/>
        <v>#N/A</v>
      </c>
      <c r="DL20" s="54" t="b">
        <f>IF(P20=Data!$BK$3,Data!$JH$2,IF(P20=Data!$BK$4,Data!$JI$2,IF(P20=Data!$BK$5,Data!$JJ$2,IF(P20=Data!$BK$6,Data!$JK$2,IF(P20=Data!$BK$7,Data!$JL$2,IF(P20=Data!$BK$8,Data!$JM$2,IF(P20=Data!$BK$9,Data!$JN$2,IF(P20=Data!$BK$10,Data!$JO$2,IF(P20=Data!$BK$11,Data!$JP$2,IF(P20=Data!$BK$12,Data!$JQ$2,IF(P20=Data!$BK$13,Data!$JR$2,IF(P20=Data!$BK$14,Data!$JS$2,IF(P20=Data!$BK$15,Data!$JT$2,IF(P20=Data!$BK$16,Data!$JU$2,IF(P20=Data!$BK$17,Data!$JV$2,IF(P20=Data!$BK$18,Data!$JW$2, IF(P20=Data!$BK$19,Data!$JX$2, IF(P20=Data!$BK$20,Data!$JY$2))))))))))))))))))</f>
        <v>0</v>
      </c>
      <c r="DN20" s="169" t="str">
        <f t="shared" si="36"/>
        <v/>
      </c>
      <c r="DO20" s="169" t="e">
        <f t="shared" si="37"/>
        <v>#N/A</v>
      </c>
      <c r="DP20" s="169" t="str">
        <f t="shared" si="38"/>
        <v>OK</v>
      </c>
      <c r="DQ20" s="169" t="str">
        <f t="shared" si="39"/>
        <v>OK</v>
      </c>
      <c r="DR20" s="169" t="str">
        <f t="shared" si="40"/>
        <v>OK</v>
      </c>
      <c r="DS20" s="169" t="str">
        <f t="shared" si="41"/>
        <v>OK</v>
      </c>
      <c r="DT20" s="65" t="b">
        <f>IF(N20=Data!$LW$2,Data!$LX$1,IF(N20=Data!$LW$3,Data!$LY$1,IF(N20=Data!$LW$4,Data!$LZ$1,IF(N20=Data!$LW$5,Data!$MA$1,IF(N20=Data!$LW$6,Data!$MB$1,IF(N20=Data!$LW$7,Data!$MC$1, IF(N20=Data!$LW$8,Data!$MX$1)))))))</f>
        <v>0</v>
      </c>
      <c r="DU20" s="65" t="b">
        <f>IF(E20=Data!$MD$2,Data!$ME$2, IF(E20=Data!$MD$3,Data!$MF$2, IF(E20=Data!$MD$4,Data!$MG$2)))</f>
        <v>0</v>
      </c>
      <c r="DV20" s="54" t="str">
        <f>IF(E20="MS", Data!$AK$1, Data!$EJ$2)</f>
        <v>Special_Window</v>
      </c>
      <c r="DW20" s="65" t="str">
        <f>IF(OR(AND(S20="",P20&lt;&gt;"")),VLOOKUP(P20,Data!$FC$2:$FD$18,2,FALSE),"")</f>
        <v/>
      </c>
      <c r="DX20" s="65" t="str">
        <f>IF(OR(AND(T20="",P20&lt;&gt;"")),VLOOKUP(P20,Data!$FC$2:$FD$18,2,FALSE),"")</f>
        <v/>
      </c>
      <c r="DY20" s="65" t="str">
        <f>IF(OR(AND(U20="",P20&lt;&gt;"")),VLOOKUP(P20,Data!$FC$2:$FD$18,2,FALSE),"")</f>
        <v/>
      </c>
      <c r="DZ20" s="157" t="e">
        <f>VLOOKUP(N20,Data!$MK$2:$ML$8,2,FALSE)</f>
        <v>#N/A</v>
      </c>
      <c r="EA20" s="65" t="e">
        <f>VLOOKUP(O20,Data!$DO$4:$DO$157,1,FALSE)</f>
        <v>#N/A</v>
      </c>
      <c r="EB20" s="65" t="e">
        <f t="shared" si="42"/>
        <v>#N/A</v>
      </c>
      <c r="EC20" s="54" t="str">
        <f t="shared" si="43"/>
        <v/>
      </c>
      <c r="ED20" s="157" t="str">
        <f t="shared" si="44"/>
        <v>OK</v>
      </c>
      <c r="EE20" s="169" t="b">
        <f>IF(P20=Data!$NN$3,Data!$NO$2, IF(P20=Data!$NN$4,Data!$NP$2, IF(P20=Data!$NN$5,Data!$NQ$2, IF(P20=Data!$NN$6,Data!$NR$2, IF(P20=Data!$NN$7,Data!$NS$2, IF(P20=Data!$NN$8,Data!$NT$2, IF(P20=Data!$NN$9,Data!$NU$2, IF(P20=Data!$NN$10,Data!$NV$2, IF(P20=Data!$NN$11,Data!$NW$2, IF(P20=Data!$NN$12,Data!$NX$2, IF(P20=Data!$NN$13,Data!$NY$2, IF(P20=Data!$NN$14,Data!$NZ$2, IF(P20=Data!$NN$15,Data!$OA$2, IF(P20=Data!$NN$16,Data!$OB$2, IF(P20=Data!$NN$17,Data!$OC$2, IF(P20=Data!$NN$18,Data!$OD$2, IF(P20=Data!$NN$19,Data!$OE$2, IF(P20=Data!$NN$20,Data!$OG$2))))))))))))))))))</f>
        <v>0</v>
      </c>
      <c r="EF20" s="169" t="b">
        <f>IF(P20=Data!$NN$3,Data!$NO$15,IF(P20=Data!$NN$4,Data!$NP$15,IF(P20=Data!$NN$5,Data!$NQ$15,IF(P20=Data!$NN$6,Data!$NR$15,IF(P20=Data!$NN$7,Data!$NS$15,IF(P20=Data!$NN$8,Data!$NT$15,IF(P20=Data!$NN$9,Data!$NU$15,IF(P20=Data!$NN$10,Data!$NV$15,IF(P20=Data!$NN$11,Data!$NW$15,IF(P20=Data!$NN$12,Data!$NX$15,IF(P20=Data!$NN$13,Data!$NY$15,IF(P20=Data!$NN$14,Data!$NZ$15,IF(N20=Data!$NN$22,Data!$OA$15,IF(N20=Data!$NN$23,Data!$OB$15,IF(P20=Data!$NN$19,Data!$OC$15, IF(P20=Data!$NN$20,Data!$OG$15))))))))))))))))</f>
        <v>0</v>
      </c>
      <c r="EG20" s="330" t="e">
        <f>MATCH(G20, Data!$CW$10:$CW$14,0)</f>
        <v>#N/A</v>
      </c>
      <c r="EH20" s="169" t="e">
        <f>MATCH(J20,Data!$CX$9:$DA$9,0)</f>
        <v>#N/A</v>
      </c>
      <c r="EI20" s="334" t="e">
        <f>INDEX(Data!$CX$10:$DA$14,Shutters!EG20,Shutters!EH20)</f>
        <v>#N/A</v>
      </c>
      <c r="EJ20" s="169" t="str">
        <f>IF(SUM(--ISNUMBER(SEARCH({"combo","Combo","COMBO"}, B37))),"Yes","No")</f>
        <v>No</v>
      </c>
      <c r="EK20" s="169" t="str">
        <f>IF(SUM(--ISNUMBER(SEARCH({"combo","Combo","COMBO"}, F37))),"Yes","No")</f>
        <v>No</v>
      </c>
      <c r="EL20" s="169" t="str">
        <f t="shared" si="45"/>
        <v>No</v>
      </c>
      <c r="EM20" s="157">
        <f t="shared" si="46"/>
        <v>1</v>
      </c>
      <c r="EN20" s="157" t="e">
        <f t="shared" si="47"/>
        <v>#DIV/0!</v>
      </c>
      <c r="EO20" s="169" t="str">
        <f t="shared" si="48"/>
        <v/>
      </c>
      <c r="EP20" s="330" t="str">
        <f t="shared" si="49"/>
        <v/>
      </c>
      <c r="EQ20" s="330" t="str">
        <f t="shared" si="50"/>
        <v/>
      </c>
      <c r="ER20" s="169" t="str">
        <f t="shared" si="51"/>
        <v/>
      </c>
      <c r="ES20" s="169" t="str">
        <f t="shared" si="52"/>
        <v/>
      </c>
      <c r="ET20" s="169" t="str">
        <f t="shared" si="53"/>
        <v/>
      </c>
      <c r="EU20" s="264" t="str">
        <f t="shared" si="54"/>
        <v>No</v>
      </c>
      <c r="EV20" s="330" t="e">
        <f>MATCH(G20,Data!$FH$18:$FL$18,0)</f>
        <v>#N/A</v>
      </c>
      <c r="EW20" s="169" t="e">
        <f>MATCH(N20,Data!$FG$19:$FG$25,0)</f>
        <v>#N/A</v>
      </c>
      <c r="EX20" s="330" t="e">
        <f>INDEX(Data!$FH$19:$FL$25,Shutters!EW20,Shutters!EV20)</f>
        <v>#N/A</v>
      </c>
    </row>
    <row r="21" spans="1:154" ht="36.75" customHeight="1">
      <c r="A21" s="52">
        <v>13</v>
      </c>
      <c r="B21" s="17"/>
      <c r="C21" s="14"/>
      <c r="D21" s="14"/>
      <c r="E21" s="14"/>
      <c r="F21" s="10"/>
      <c r="G21" s="13"/>
      <c r="H21" s="699"/>
      <c r="I21" s="729"/>
      <c r="J21" s="14"/>
      <c r="K21" s="144" t="str">
        <f t="shared" si="11"/>
        <v/>
      </c>
      <c r="L21" s="15"/>
      <c r="M21" s="15"/>
      <c r="N21" s="15"/>
      <c r="O21" s="15"/>
      <c r="P21" s="565"/>
      <c r="Q21" s="565"/>
      <c r="R21" s="13"/>
      <c r="S21" s="13"/>
      <c r="T21" s="13"/>
      <c r="U21" s="13"/>
      <c r="V21" s="15"/>
      <c r="W21" s="15"/>
      <c r="X21" s="16"/>
      <c r="Y21" s="16"/>
      <c r="Z21" s="14"/>
      <c r="AA21" s="14"/>
      <c r="AB21" s="14"/>
      <c r="AC21" s="18"/>
      <c r="AD21" s="164" t="str">
        <f>IF(SUM(D21)=0,"",IF(E21="MS",SUM(((C21*D21)/1000000)*F21),SUM(((C21*D21)/1000000))))</f>
        <v/>
      </c>
      <c r="AE21" s="229"/>
      <c r="AF21" s="230"/>
      <c r="AU21" s="108" t="str">
        <f t="shared" si="12"/>
        <v/>
      </c>
      <c r="AV21" s="65" t="e">
        <f t="shared" si="13"/>
        <v>#N/A</v>
      </c>
      <c r="AW21" s="169" t="e">
        <f>VLOOKUP(P21,Data!$MI$2:$MJ$4,2,FALSE)</f>
        <v>#N/A</v>
      </c>
      <c r="AX21" s="169" t="e">
        <f>IF(OR(AND(E21="IN",AW21="Yes")), "Yes","No")</f>
        <v>#N/A</v>
      </c>
      <c r="AY21" s="169" t="e">
        <f>VLOOKUP(N21,Data!$BI$24:$BJ$30,2,FALSE)</f>
        <v>#N/A</v>
      </c>
      <c r="AZ21" s="155" t="b">
        <f>IF(G21=Data!$BO$2,Data!$BS$2, IF(Shutters!G21=Data!$BP$2,Data!$BT$2, IF(Shutters!G21=Data!$BQ$2,Data!$BU$2)))</f>
        <v>0</v>
      </c>
      <c r="BA21" s="340" t="str">
        <f t="shared" si="15"/>
        <v>No</v>
      </c>
      <c r="BB21" s="155" t="e">
        <f>IF(E21="MS",C21*1,C21/F21)</f>
        <v>#DIV/0!</v>
      </c>
      <c r="BC21" s="340" t="e">
        <f t="shared" si="17"/>
        <v>#DIV/0!</v>
      </c>
      <c r="BD21" s="155" t="e">
        <f>IF(OR(AND(BB21&gt;650,G21="Fauxwood",E21="MS"),AND(BB21&gt;700,G21="Fauxwood",E21="IN"),AND(BB21&gt;700,G21="Fauxwood",E21="OUT")), "Yes","No")</f>
        <v>#DIV/0!</v>
      </c>
      <c r="BE21" s="340" t="str">
        <f t="shared" si="18"/>
        <v>No</v>
      </c>
      <c r="BF21" s="155" t="str">
        <f t="shared" si="19"/>
        <v>NotRequired</v>
      </c>
      <c r="BG21" s="155" t="b">
        <f>IF(G21=Data!$BO$2,Data!$CM$2, IF(Shutters!G21=Data!$BP$2,Data!$CN$2, IF(Shutters!G21=Data!$BQ$2,Data!$CO$2)))</f>
        <v>0</v>
      </c>
      <c r="BH21" s="155" t="e">
        <f t="shared" si="20"/>
        <v>#DIV/0!</v>
      </c>
      <c r="BI21" s="156" t="str">
        <f t="shared" si="2"/>
        <v>NoHighlight</v>
      </c>
      <c r="BJ21" s="340" t="str">
        <f t="shared" si="21"/>
        <v>FauxwoodRPNo</v>
      </c>
      <c r="BK21" s="156" t="str">
        <f>IF(SUM(--ISNUMBER( SEARCH({"t","T"},O21))),"Yes","No")</f>
        <v>No</v>
      </c>
      <c r="BL21" s="156" t="str">
        <f t="shared" si="22"/>
        <v>OK</v>
      </c>
      <c r="BM21" s="156" t="str">
        <f t="shared" si="23"/>
        <v>OK</v>
      </c>
      <c r="BN21" s="156" t="str">
        <f t="shared" si="24"/>
        <v>OK</v>
      </c>
      <c r="BO21" s="156" t="e">
        <f>IF(OR(AND(F21&gt;1,#REF!="L",#REF!="l"),AND(F21&gt;1,#REF!="R",#REF!="r"),AND(F21&gt;2,#REF!="LR",#REF!="lr")), "Error","OK")</f>
        <v>#REF!</v>
      </c>
      <c r="BP21" s="156" t="str">
        <f t="shared" si="3"/>
        <v>FauxwoodAINo</v>
      </c>
      <c r="BQ21" s="156" t="str">
        <f>IF(SUM(--ISNUMBER(SEARCH({"combo","Combo","COMBO"}, B38))),"Yes","No")</f>
        <v>No</v>
      </c>
      <c r="BR21" s="156" t="str">
        <f t="shared" si="25"/>
        <v>No</v>
      </c>
      <c r="BS21" s="156" t="str">
        <f>IF(SUM(--ISNUMBER( SEARCH({"c","C","b","B"},#REF!))),"Yes","No")</f>
        <v>No</v>
      </c>
      <c r="BT21" s="157">
        <f>IF(D21="",0,IF(N21="Fixed","N/A",IF(N21="Sliding","N/A",IF(N21="Track Bi Fold","N/A",IF(N21="Pivot Hinged","N/A",IF(D21&lt;741,2,IF(D21&lt;1321,3,IF(D21&lt;1906,4,5)))*IF(F21&gt;0,F21,1))))))</f>
        <v>0</v>
      </c>
      <c r="BU21" s="169" t="str">
        <f>IF(N21=Data!$BI$3,Data!$DR$3,IF(N21=Data!$BI$4,Data!$DS$3,IF(N21=Data!$BI$5,Data!$DT$3,IF(N21=Data!$BI$6,Data!$DU$3,IF(N21=Data!$BI$7,Data!$DV$3, IF(N21=Data!$BI$8,Data!$DX$3, IF(N21=Data!$BI$9,Data!$DW$3, "")))))))</f>
        <v/>
      </c>
      <c r="BV21" s="169" t="str">
        <f>IF(N21=Data!$BI$3,Data!$DY$3,IF(N21=Data!$BI$4,Data!$DZ$3,IF(N21=Data!$BI$5,Data!$EA$3,IF(N21=Data!$BI$6,Data!$EB$3,IF(N21=Data!$BI$7,Data!$EC$3,IF(N21=Data!$BI$8,Data!$EE$3, IF(N21=Data!$BI$9,Data!$ED$3,"")))))))</f>
        <v/>
      </c>
      <c r="BW21" s="157">
        <f>IF(D21="",0,IF(N21="Fixed","N/A",IF(N21="Sliding","N/A",IF(N21="Track Bi Fold","N/A",IF(N21="Pivot Hinged","N/A",IF(D21&lt;1220,2,IF(D21&lt;1981,3,IF(D21&lt;2438,4,5)))*IF(F21&gt;0,F21,1))))))</f>
        <v>0</v>
      </c>
      <c r="BX21" s="157">
        <f>IF(N21="Double Hinged",F21,0)</f>
        <v>0</v>
      </c>
      <c r="BY21" s="169" t="e">
        <f>IF(C21/F21&gt;650,F21,0)</f>
        <v>#DIV/0!</v>
      </c>
      <c r="BZ21" s="330" t="b">
        <f>IF(G21=Data!$EU$2,Data!$ES$2,IF(G21=Data!$EU$3,Data!$ER$2, IF(G21=Data!$EU$5,Data!$ET$2, IF(G21=Data!$EU$4,Data!$EQ$2,IF(G21=Data!$EU$6,Data!$ER$2)))))</f>
        <v>0</v>
      </c>
      <c r="CA21" s="330" t="b">
        <f>IF(G21=Data!$EU$2,Data!$EW$2,IF(G21=Data!$EU$3,Data!$EX$2,IF(G21=Data!$EU$4,Data!$EY$2, IF(G21=Data!$EU$5,Data!$EY$2,IF(G21=Data!$EU$6,Data!$EX$2)))))</f>
        <v>0</v>
      </c>
      <c r="CB21" s="169" t="e">
        <f>VLOOKUP(M21,Data!$EJ$3:$EK$14,2,FALSE)</f>
        <v>#N/A</v>
      </c>
      <c r="CC21" s="169" t="str">
        <f>IF(J21="114mm",VLOOKUP(H21,Data!$FA$2:$FB$18,2,FALSE),"OK")</f>
        <v>OK</v>
      </c>
      <c r="CD21" s="169" t="e">
        <f t="shared" si="7"/>
        <v>#DIV/0!</v>
      </c>
      <c r="CE21" s="169" t="str">
        <f>IF(OR(AND(R21="",P21&lt;&gt;"")),VLOOKUP(P21,Data!$FC$2:$FD$18,2,FALSE),"")</f>
        <v/>
      </c>
      <c r="CF21" s="169" t="str">
        <f>IF(N21=Data!$BI$3,Data!$FJ$1,IF(N21=Data!$BI$4,Data!$FK$1,IF(N21=Data!$BI$5,Data!$FL$1,IF(N21=Data!$BI$6,Data!$FM$1,IF(N21=Data!$BI$7,Data!$FN$1, IF(N21=Data!$BI$8,Data!$FO$1, IF(N21=Data!$BI$9,Data!$FI$1, "")))))))</f>
        <v/>
      </c>
      <c r="CG21" s="169" t="str">
        <f>IF(SUM(--ISNUMBER(SEARCH({"z","Z"}, P21))),"Yes","No")</f>
        <v>No</v>
      </c>
      <c r="CH21" s="169" t="str">
        <f>IF(OR(AND(E21="OUT",CG21="Yes")), "Error","OK")</f>
        <v>OK</v>
      </c>
      <c r="CI21" s="169">
        <f t="shared" si="27"/>
        <v>0</v>
      </c>
      <c r="CJ21" s="169" t="e">
        <f>VLOOKUP(O21,Data!$DO$4:$DP$156,2,FALSE)</f>
        <v>#N/A</v>
      </c>
      <c r="CK21" s="169" t="e">
        <f>IF(F21&lt;&gt;CJ21,"Failed","Passed")</f>
        <v>#N/A</v>
      </c>
      <c r="CL21" s="157"/>
      <c r="CM21" s="157"/>
      <c r="CN21" s="157"/>
      <c r="CO21" s="344" t="str">
        <f t="shared" si="28"/>
        <v>OK</v>
      </c>
      <c r="CP21" s="169" t="b">
        <f t="shared" si="29"/>
        <v>0</v>
      </c>
      <c r="CQ21" s="169">
        <f>IF(E21="IN",1,IF(E21="OUT",1,0))</f>
        <v>0</v>
      </c>
      <c r="CR21" s="169">
        <f t="shared" ref="CR21:CR22" si="55">IF(P21="No Frame",0,IF(P21="Hanging Strip",0,1))</f>
        <v>1</v>
      </c>
      <c r="CS21" s="169">
        <f t="shared" ref="CS21:CS22" si="56">CP21*CQ21*CR21</f>
        <v>0</v>
      </c>
      <c r="CT21" s="157" t="e">
        <f t="shared" si="33"/>
        <v>#DIV/0!</v>
      </c>
      <c r="CU21" s="169" t="b">
        <f>IF(H21=Data!$BD$3,Data!$HC$2,IF(H21=Data!$BD$4,Data!$HM$2,IF(H21=Data!$BD$5,Data!$HF$2,IF(H21=Data!$BD$6,Data!$HB$2,IF(H21=Data!$BD$7,Data!$HD$2,IF(H21=Data!$BD$8,Data!$HJ$2,IF(H21=Data!$BD$9,Data!$HN$2,IF(H21=Data!$BD$10,Data!$HA$2,IF(H21=Data!$BD$11,Data!$HI$2)))))))))</f>
        <v>0</v>
      </c>
      <c r="CV21" s="276" t="b">
        <f>IF(H21=Data!$BE$3,Data!$HQ$2, IF(H21=Data!$BE$4,Data!$HP$2, IF(H21=Data!$BE$5,Data!$HR$2, IF(H21=Data!$BE$6,Data!$HO$2))))</f>
        <v>0</v>
      </c>
      <c r="CW21" s="330" t="b">
        <f>IF(H21=Data!$BH$3,Data!$HU$2, IF(H21=Data!$BH$4,Data!$HT$2, IF(H21=Data!$BH$5,Data!$HS$2)))</f>
        <v>0</v>
      </c>
      <c r="CX21" s="330" t="b">
        <f>IF(H21=Data!$BF$3,Data!$HQ$16, IF(H21=Data!$BF$4,Data!$HP$16, IF(H21=Data!$BF$5,Data!$HR$16, IF(H21=Data!$BF$6,Data!$HO$16))))</f>
        <v>0</v>
      </c>
      <c r="CY21" s="330" t="b">
        <f>IF(G21=Data!$BC$3,Shutters!CU21,IF(G21=Data!$BC$4,Shutters!CV21,IF(G21=Data!$BC$6,Shutters!CW21, IF(G21=Data!$BC$5, Shutters!CX21,IF(G21=Data!$BC$7,Shutters!CV21)))))</f>
        <v>0</v>
      </c>
      <c r="CZ21" s="157" t="e">
        <f>IF(OR(AND(L21&gt;0,#REF!="")), "Error","OK")</f>
        <v>#REF!</v>
      </c>
      <c r="DA21" s="169" t="e">
        <f>IF(COUNTIF(#REF!,Data!$CX$6),"Yes","")</f>
        <v>#REF!</v>
      </c>
      <c r="DB21" s="54" t="str">
        <f t="shared" si="34"/>
        <v/>
      </c>
      <c r="DE21" s="54" t="str">
        <f>IF(N21=Data!$BI$5,"Yes",IF(N21=Data!$BI$6,"Yes","No"))</f>
        <v>No</v>
      </c>
      <c r="DF21" s="65" t="b">
        <f>IF(N21=Data!$BI$3,Data!$JB$2,IF(N21=Data!$BI$4,Data!$JC$2,IF(N21=Data!$BI$5,Data!$JD$2,IF(N21=Data!$BI$6,Data!$JE$2,IF(N21=Data!$BI$7,Data!$JF$2, IF(N21=Data!$BI$8,Data!$JA$2, IF(N21=Data!$BI$9,Data!$JG$2)))))))</f>
        <v>0</v>
      </c>
      <c r="DI21" s="65" t="e">
        <f>VLOOKUP(O21,Data!$DO$4:$DQ$156,3,FALSE)</f>
        <v>#N/A</v>
      </c>
      <c r="DJ21" s="54" t="e">
        <f t="shared" si="10"/>
        <v>#N/A</v>
      </c>
      <c r="DK21" s="54" t="e">
        <f t="shared" si="35"/>
        <v>#N/A</v>
      </c>
      <c r="DL21" s="54" t="b">
        <f>IF(P21=Data!$BK$3,Data!$JH$2,IF(P21=Data!$BK$4,Data!$JI$2,IF(P21=Data!$BK$5,Data!$JJ$2,IF(P21=Data!$BK$6,Data!$JK$2,IF(P21=Data!$BK$7,Data!$JL$2,IF(P21=Data!$BK$8,Data!$JM$2,IF(P21=Data!$BK$9,Data!$JN$2,IF(P21=Data!$BK$10,Data!$JO$2,IF(P21=Data!$BK$11,Data!$JP$2,IF(P21=Data!$BK$12,Data!$JQ$2,IF(P21=Data!$BK$13,Data!$JR$2,IF(P21=Data!$BK$14,Data!$JS$2,IF(P21=Data!$BK$15,Data!$JT$2,IF(P21=Data!$BK$16,Data!$JU$2,IF(P21=Data!$BK$17,Data!$JV$2,IF(P21=Data!$BK$18,Data!$JW$2, IF(P21=Data!$BK$19,Data!$JX$2, IF(P21=Data!$BK$20,Data!$JY$2))))))))))))))))))</f>
        <v>0</v>
      </c>
      <c r="DN21" s="169" t="str">
        <f t="shared" si="36"/>
        <v/>
      </c>
      <c r="DO21" s="169" t="e">
        <f t="shared" si="37"/>
        <v>#N/A</v>
      </c>
      <c r="DP21" s="169" t="str">
        <f t="shared" si="38"/>
        <v>OK</v>
      </c>
      <c r="DQ21" s="169" t="str">
        <f t="shared" si="39"/>
        <v>OK</v>
      </c>
      <c r="DR21" s="169" t="str">
        <f t="shared" si="40"/>
        <v>OK</v>
      </c>
      <c r="DS21" s="169" t="str">
        <f t="shared" si="41"/>
        <v>OK</v>
      </c>
      <c r="DT21" s="65" t="b">
        <f>IF(N21=Data!$LW$2,Data!$LX$1,IF(N21=Data!$LW$3,Data!$LY$1,IF(N21=Data!$LW$4,Data!$LZ$1,IF(N21=Data!$LW$5,Data!$MA$1,IF(N21=Data!$LW$6,Data!$MB$1,IF(N21=Data!$LW$7,Data!$MC$1, IF(N21=Data!$LW$8,Data!$MX$1)))))))</f>
        <v>0</v>
      </c>
      <c r="DU21" s="65" t="b">
        <f>IF(E21=Data!$MD$2,Data!$ME$2, IF(E21=Data!$MD$3,Data!$MF$2, IF(E21=Data!$MD$4,Data!$MG$2)))</f>
        <v>0</v>
      </c>
      <c r="DV21" s="54" t="str">
        <f>IF(E21="MS", Data!$AK$1, Data!$EJ$2)</f>
        <v>Special_Window</v>
      </c>
      <c r="DW21" s="65" t="str">
        <f>IF(OR(AND(S21="",P21&lt;&gt;"")),VLOOKUP(P21,Data!$FC$2:$FD$18,2,FALSE),"")</f>
        <v/>
      </c>
      <c r="DX21" s="65" t="str">
        <f>IF(OR(AND(T21="",P21&lt;&gt;"")),VLOOKUP(P21,Data!$FC$2:$FD$18,2,FALSE),"")</f>
        <v/>
      </c>
      <c r="DY21" s="65" t="str">
        <f>IF(OR(AND(U21="",P21&lt;&gt;"")),VLOOKUP(P21,Data!$FC$2:$FD$18,2,FALSE),"")</f>
        <v/>
      </c>
      <c r="DZ21" s="157" t="e">
        <f>VLOOKUP(N21,Data!$MK$2:$ML$8,2,FALSE)</f>
        <v>#N/A</v>
      </c>
      <c r="EA21" s="65" t="e">
        <f>VLOOKUP(O21,Data!$DO$4:$DO$157,1,FALSE)</f>
        <v>#N/A</v>
      </c>
      <c r="EB21" s="65" t="e">
        <f t="shared" si="42"/>
        <v>#N/A</v>
      </c>
      <c r="EC21" s="54" t="str">
        <f t="shared" si="43"/>
        <v/>
      </c>
      <c r="ED21" s="157" t="str">
        <f t="shared" si="44"/>
        <v>OK</v>
      </c>
      <c r="EE21" s="169" t="b">
        <f>IF(P21=Data!$NN$3,Data!$NO$2, IF(P21=Data!$NN$4,Data!$NP$2, IF(P21=Data!$NN$5,Data!$NQ$2, IF(P21=Data!$NN$6,Data!$NR$2, IF(P21=Data!$NN$7,Data!$NS$2, IF(P21=Data!$NN$8,Data!$NT$2, IF(P21=Data!$NN$9,Data!$NU$2, IF(P21=Data!$NN$10,Data!$NV$2, IF(P21=Data!$NN$11,Data!$NW$2, IF(P21=Data!$NN$12,Data!$NX$2, IF(P21=Data!$NN$13,Data!$NY$2, IF(P21=Data!$NN$14,Data!$NZ$2, IF(P21=Data!$NN$15,Data!$OA$2, IF(P21=Data!$NN$16,Data!$OB$2, IF(P21=Data!$NN$17,Data!$OC$2, IF(P21=Data!$NN$18,Data!$OD$2, IF(P21=Data!$NN$19,Data!$OE$2, IF(P21=Data!$NN$20,Data!$OG$2))))))))))))))))))</f>
        <v>0</v>
      </c>
      <c r="EF21" s="169" t="b">
        <f>IF(P21=Data!$NN$3,Data!$NO$15,IF(P21=Data!$NN$4,Data!$NP$15,IF(P21=Data!$NN$5,Data!$NQ$15,IF(P21=Data!$NN$6,Data!$NR$15,IF(P21=Data!$NN$7,Data!$NS$15,IF(P21=Data!$NN$8,Data!$NT$15,IF(P21=Data!$NN$9,Data!$NU$15,IF(P21=Data!$NN$10,Data!$NV$15,IF(P21=Data!$NN$11,Data!$NW$15,IF(P21=Data!$NN$12,Data!$NX$15,IF(P21=Data!$NN$13,Data!$NY$15,IF(P21=Data!$NN$14,Data!$NZ$15,IF(N21=Data!$NN$22,Data!$OA$15,IF(N21=Data!$NN$23,Data!$OB$15,IF(P21=Data!$NN$19,Data!$OC$15, IF(P21=Data!$NN$20,Data!$OG$15))))))))))))))))</f>
        <v>0</v>
      </c>
      <c r="EG21" s="330" t="e">
        <f>MATCH(G21, Data!$CW$10:$CW$14,0)</f>
        <v>#N/A</v>
      </c>
      <c r="EH21" s="169" t="e">
        <f>MATCH(J21,Data!$CX$9:$DA$9,0)</f>
        <v>#N/A</v>
      </c>
      <c r="EI21" s="334" t="e">
        <f>INDEX(Data!$CX$10:$DA$14,Shutters!EG21,Shutters!EH21)</f>
        <v>#N/A</v>
      </c>
      <c r="EJ21" s="169" t="str">
        <f>IF(SUM(--ISNUMBER(SEARCH({"combo","Combo","COMBO"}, B38))),"Yes","No")</f>
        <v>No</v>
      </c>
      <c r="EK21" s="169" t="str">
        <f>IF(SUM(--ISNUMBER(SEARCH({"combo","Combo","COMBO"}, F38))),"Yes","No")</f>
        <v>No</v>
      </c>
      <c r="EL21" s="169" t="str">
        <f t="shared" si="45"/>
        <v>No</v>
      </c>
      <c r="EM21" s="157">
        <f t="shared" si="46"/>
        <v>1</v>
      </c>
      <c r="EN21" s="157" t="e">
        <f t="shared" si="47"/>
        <v>#DIV/0!</v>
      </c>
      <c r="EO21" s="169" t="str">
        <f t="shared" si="48"/>
        <v/>
      </c>
      <c r="EP21" s="330" t="str">
        <f t="shared" si="49"/>
        <v/>
      </c>
      <c r="EQ21" s="330" t="str">
        <f t="shared" si="50"/>
        <v/>
      </c>
      <c r="ER21" s="169" t="str">
        <f t="shared" si="51"/>
        <v/>
      </c>
      <c r="ES21" s="169" t="str">
        <f t="shared" si="52"/>
        <v/>
      </c>
      <c r="ET21" s="169" t="str">
        <f t="shared" si="53"/>
        <v/>
      </c>
      <c r="EU21" s="264" t="str">
        <f t="shared" si="54"/>
        <v>No</v>
      </c>
      <c r="EV21" s="330" t="e">
        <f>MATCH(G21,Data!$FH$18:$FL$18,0)</f>
        <v>#N/A</v>
      </c>
      <c r="EW21" s="169" t="e">
        <f>MATCH(N21,Data!$FG$19:$FG$25,0)</f>
        <v>#N/A</v>
      </c>
      <c r="EX21" s="330" t="e">
        <f>INDEX(Data!$FH$19:$FL$25,Shutters!EW21,Shutters!EV21)</f>
        <v>#N/A</v>
      </c>
    </row>
    <row r="22" spans="1:154" ht="36.75" customHeight="1">
      <c r="A22" s="52">
        <v>14</v>
      </c>
      <c r="B22" s="17"/>
      <c r="C22" s="14"/>
      <c r="D22" s="14"/>
      <c r="E22" s="14"/>
      <c r="F22" s="10"/>
      <c r="G22" s="13"/>
      <c r="H22" s="699"/>
      <c r="I22" s="729"/>
      <c r="J22" s="14"/>
      <c r="K22" s="144" t="str">
        <f t="shared" si="11"/>
        <v/>
      </c>
      <c r="L22" s="15"/>
      <c r="M22" s="15"/>
      <c r="N22" s="15"/>
      <c r="O22" s="15"/>
      <c r="P22" s="565"/>
      <c r="Q22" s="565"/>
      <c r="R22" s="13"/>
      <c r="S22" s="13"/>
      <c r="T22" s="13"/>
      <c r="U22" s="13"/>
      <c r="V22" s="15"/>
      <c r="W22" s="15"/>
      <c r="X22" s="16"/>
      <c r="Y22" s="16"/>
      <c r="Z22" s="14"/>
      <c r="AA22" s="14"/>
      <c r="AB22" s="14"/>
      <c r="AC22" s="18"/>
      <c r="AD22" s="164" t="str">
        <f>IF(SUM(D22)=0,"",IF(E22="MS",SUM(((C22*D22)/1000000)*F22),SUM(((C22*D22)/1000000))))</f>
        <v/>
      </c>
      <c r="AE22" s="229"/>
      <c r="AF22" s="230"/>
      <c r="AU22" s="108" t="str">
        <f t="shared" si="12"/>
        <v/>
      </c>
      <c r="AV22" s="65" t="e">
        <f t="shared" si="13"/>
        <v>#N/A</v>
      </c>
      <c r="AW22" s="169" t="e">
        <f>VLOOKUP(P22,Data!$MI$2:$MJ$4,2,FALSE)</f>
        <v>#N/A</v>
      </c>
      <c r="AX22" s="169" t="e">
        <f t="shared" si="14"/>
        <v>#N/A</v>
      </c>
      <c r="AY22" s="169" t="e">
        <f>VLOOKUP(N22,Data!$BI$24:$BJ$30,2,FALSE)</f>
        <v>#N/A</v>
      </c>
      <c r="AZ22" s="155" t="b">
        <f>IF(G22=Data!$BO$2,Data!$BS$2, IF(Shutters!G22=Data!$BP$2,Data!$BT$2, IF(Shutters!G22=Data!$BQ$2,Data!$BU$2)))</f>
        <v>0</v>
      </c>
      <c r="BA22" s="340" t="str">
        <f t="shared" si="15"/>
        <v>No</v>
      </c>
      <c r="BB22" s="155" t="e">
        <f t="shared" si="16"/>
        <v>#DIV/0!</v>
      </c>
      <c r="BC22" s="340" t="e">
        <f t="shared" si="17"/>
        <v>#DIV/0!</v>
      </c>
      <c r="BD22" s="155" t="e">
        <f t="shared" si="1"/>
        <v>#DIV/0!</v>
      </c>
      <c r="BE22" s="340" t="str">
        <f t="shared" si="18"/>
        <v>No</v>
      </c>
      <c r="BF22" s="155" t="str">
        <f t="shared" si="19"/>
        <v>NotRequired</v>
      </c>
      <c r="BG22" s="155" t="b">
        <f>IF(G22=Data!$BO$2,Data!$CM$2, IF(Shutters!G22=Data!$BP$2,Data!$CN$2, IF(Shutters!G22=Data!$BQ$2,Data!$CO$2)))</f>
        <v>0</v>
      </c>
      <c r="BH22" s="155" t="e">
        <f t="shared" si="20"/>
        <v>#DIV/0!</v>
      </c>
      <c r="BI22" s="156" t="str">
        <f t="shared" si="2"/>
        <v>NoHighlight</v>
      </c>
      <c r="BJ22" s="340" t="str">
        <f t="shared" si="21"/>
        <v>FauxwoodRPNo</v>
      </c>
      <c r="BK22" s="156" t="str">
        <f>IF(SUM(--ISNUMBER( SEARCH({"t","T"},O22))),"Yes","No")</f>
        <v>No</v>
      </c>
      <c r="BL22" s="156" t="str">
        <f t="shared" si="22"/>
        <v>OK</v>
      </c>
      <c r="BM22" s="156" t="str">
        <f t="shared" si="23"/>
        <v>OK</v>
      </c>
      <c r="BN22" s="156" t="str">
        <f t="shared" si="24"/>
        <v>OK</v>
      </c>
      <c r="BO22" s="156" t="e">
        <f>IF(OR(AND(F22&gt;1,#REF!="L",#REF!="l"),AND(F22&gt;1,#REF!="R",#REF!="r"),AND(F22&gt;2,#REF!="LR",#REF!="lr")), "Error","OK")</f>
        <v>#REF!</v>
      </c>
      <c r="BP22" s="156" t="str">
        <f t="shared" si="3"/>
        <v>FauxwoodAINo</v>
      </c>
      <c r="BQ22" s="156" t="str">
        <f>IF(SUM(--ISNUMBER(SEARCH({"combo","Combo","COMBO"}, B39))),"Yes","No")</f>
        <v>No</v>
      </c>
      <c r="BR22" s="156" t="str">
        <f t="shared" si="25"/>
        <v>No</v>
      </c>
      <c r="BS22" s="156" t="str">
        <f>IF(SUM(--ISNUMBER( SEARCH({"c","C","b","B"},#REF!))),"Yes","No")</f>
        <v>No</v>
      </c>
      <c r="BT22" s="157">
        <f t="shared" si="4"/>
        <v>0</v>
      </c>
      <c r="BU22" s="169" t="str">
        <f>IF(N22=Data!$BI$3,Data!$DR$3,IF(N22=Data!$BI$4,Data!$DS$3,IF(N22=Data!$BI$5,Data!$DT$3,IF(N22=Data!$BI$6,Data!$DU$3,IF(N22=Data!$BI$7,Data!$DV$3, IF(N22=Data!$BI$8,Data!$DX$3, IF(N22=Data!$BI$9,Data!$DW$3, "")))))))</f>
        <v/>
      </c>
      <c r="BV22" s="169" t="str">
        <f>IF(N22=Data!$BI$3,Data!$DY$3,IF(N22=Data!$BI$4,Data!$DZ$3,IF(N22=Data!$BI$5,Data!$EA$3,IF(N22=Data!$BI$6,Data!$EB$3,IF(N22=Data!$BI$7,Data!$EC$3,IF(N22=Data!$BI$8,Data!$EE$3, IF(N22=Data!$BI$9,Data!$ED$3,"")))))))</f>
        <v/>
      </c>
      <c r="BW22" s="157">
        <f t="shared" si="5"/>
        <v>0</v>
      </c>
      <c r="BX22" s="157">
        <f t="shared" si="6"/>
        <v>0</v>
      </c>
      <c r="BY22" s="169" t="e">
        <f t="shared" si="26"/>
        <v>#DIV/0!</v>
      </c>
      <c r="BZ22" s="330" t="b">
        <f>IF(G22=Data!$EU$2,Data!$ES$2,IF(G22=Data!$EU$3,Data!$ER$2, IF(G22=Data!$EU$5,Data!$ET$2, IF(G22=Data!$EU$4,Data!$EQ$2,IF(G22=Data!$EU$6,Data!$ER$2)))))</f>
        <v>0</v>
      </c>
      <c r="CA22" s="330" t="b">
        <f>IF(G22=Data!$EU$2,Data!$EW$2,IF(G22=Data!$EU$3,Data!$EX$2,IF(G22=Data!$EU$4,Data!$EY$2, IF(G22=Data!$EU$5,Data!$EY$2,IF(G22=Data!$EU$6,Data!$EX$2)))))</f>
        <v>0</v>
      </c>
      <c r="CB22" s="169" t="e">
        <f>VLOOKUP(M22,Data!$EJ$3:$EK$14,2,FALSE)</f>
        <v>#N/A</v>
      </c>
      <c r="CC22" s="169" t="str">
        <f>IF(J22="114mm",VLOOKUP(H22,Data!$FA$2:$FB$18,2,FALSE),"OK")</f>
        <v>OK</v>
      </c>
      <c r="CD22" s="169" t="e">
        <f t="shared" si="7"/>
        <v>#DIV/0!</v>
      </c>
      <c r="CE22" s="169" t="str">
        <f>IF(OR(AND(R22="",P22&lt;&gt;"")),VLOOKUP(P22,Data!$FC$2:$FD$18,2,FALSE),"")</f>
        <v/>
      </c>
      <c r="CF22" s="169" t="str">
        <f>IF(N22=Data!$BI$3,Data!$FJ$1,IF(N22=Data!$BI$4,Data!$FK$1,IF(N22=Data!$BI$5,Data!$FL$1,IF(N22=Data!$BI$6,Data!$FM$1,IF(N22=Data!$BI$7,Data!$FN$1, IF(N22=Data!$BI$8,Data!$FO$1, IF(N22=Data!$BI$9,Data!$FI$1, "")))))))</f>
        <v/>
      </c>
      <c r="CG22" s="169" t="str">
        <f>IF(SUM(--ISNUMBER(SEARCH({"z","Z"}, P22))),"Yes","No")</f>
        <v>No</v>
      </c>
      <c r="CH22" s="169" t="str">
        <f t="shared" si="8"/>
        <v>OK</v>
      </c>
      <c r="CI22" s="169">
        <f t="shared" si="27"/>
        <v>0</v>
      </c>
      <c r="CJ22" s="169" t="e">
        <f>VLOOKUP(O22,Data!$DO$4:$DP$156,2,FALSE)</f>
        <v>#N/A</v>
      </c>
      <c r="CK22" s="169" t="e">
        <f t="shared" si="9"/>
        <v>#N/A</v>
      </c>
      <c r="CL22" s="157"/>
      <c r="CM22" s="157"/>
      <c r="CN22" s="157"/>
      <c r="CO22" s="344" t="str">
        <f t="shared" si="28"/>
        <v>OK</v>
      </c>
      <c r="CP22" s="169" t="b">
        <f t="shared" si="29"/>
        <v>0</v>
      </c>
      <c r="CQ22" s="169">
        <f t="shared" ref="CQ22" si="57">IF(E22="IN",1,IF(E22="OUT",1,0))</f>
        <v>0</v>
      </c>
      <c r="CR22" s="169">
        <f t="shared" si="55"/>
        <v>1</v>
      </c>
      <c r="CS22" s="169">
        <f t="shared" si="56"/>
        <v>0</v>
      </c>
      <c r="CT22" s="157" t="e">
        <f t="shared" si="33"/>
        <v>#DIV/0!</v>
      </c>
      <c r="CU22" s="169" t="b">
        <f>IF(H22=Data!$BD$3,Data!$HC$2,IF(H22=Data!$BD$4,Data!$HM$2,IF(H22=Data!$BD$5,Data!$HF$2,IF(H22=Data!$BD$6,Data!$HB$2,IF(H22=Data!$BD$7,Data!$HD$2,IF(H22=Data!$BD$8,Data!$HJ$2,IF(H22=Data!$BD$9,Data!$HN$2,IF(H22=Data!$BD$10,Data!$HA$2,IF(H22=Data!$BD$11,Data!$HI$2)))))))))</f>
        <v>0</v>
      </c>
      <c r="CV22" s="276" t="b">
        <f>IF(H22=Data!$BE$3,Data!$HQ$2, IF(H22=Data!$BE$4,Data!$HP$2, IF(H22=Data!$BE$5,Data!$HR$2, IF(H22=Data!$BE$6,Data!$HO$2))))</f>
        <v>0</v>
      </c>
      <c r="CW22" s="330" t="b">
        <f>IF(H22=Data!$BH$3,Data!$HU$2, IF(H22=Data!$BH$4,Data!$HT$2, IF(H22=Data!$BH$5,Data!$HS$2)))</f>
        <v>0</v>
      </c>
      <c r="CX22" s="330" t="b">
        <f>IF(H22=Data!$BF$3,Data!$HQ$16, IF(H22=Data!$BF$4,Data!$HP$16, IF(H22=Data!$BF$5,Data!$HR$16, IF(H22=Data!$BF$6,Data!$HO$16))))</f>
        <v>0</v>
      </c>
      <c r="CY22" s="330" t="b">
        <f>IF(G22=Data!$BC$3,Shutters!CU22,IF(G22=Data!$BC$4,Shutters!CV22,IF(G22=Data!$BC$6,Shutters!CW22, IF(G22=Data!$BC$5, Shutters!CX22,IF(G22=Data!$BC$7,Shutters!CV22)))))</f>
        <v>0</v>
      </c>
      <c r="CZ22" s="157" t="e">
        <f>IF(OR(AND(L22&gt;0,#REF!="")), "Error","OK")</f>
        <v>#REF!</v>
      </c>
      <c r="DA22" s="169" t="e">
        <f>IF(COUNTIF(#REF!,Data!$CX$6),"Yes","")</f>
        <v>#REF!</v>
      </c>
      <c r="DB22" s="54" t="str">
        <f t="shared" si="34"/>
        <v/>
      </c>
      <c r="DE22" s="54" t="str">
        <f>IF(N22=Data!$BI$5,"Yes",IF(N22=Data!$BI$6,"Yes","No"))</f>
        <v>No</v>
      </c>
      <c r="DF22" s="65" t="b">
        <f>IF(N22=Data!$BI$3,Data!$JB$2,IF(N22=Data!$BI$4,Data!$JC$2,IF(N22=Data!$BI$5,Data!$JD$2,IF(N22=Data!$BI$6,Data!$JE$2,IF(N22=Data!$BI$7,Data!$JF$2, IF(N22=Data!$BI$8,Data!$JA$2, IF(N22=Data!$BI$9,Data!$JG$2)))))))</f>
        <v>0</v>
      </c>
      <c r="DI22" s="65" t="e">
        <f>VLOOKUP(O22,Data!$DO$4:$DQ$156,3,FALSE)</f>
        <v>#N/A</v>
      </c>
      <c r="DJ22" s="54" t="e">
        <f t="shared" si="10"/>
        <v>#N/A</v>
      </c>
      <c r="DK22" s="54" t="e">
        <f t="shared" si="35"/>
        <v>#N/A</v>
      </c>
      <c r="DL22" s="54" t="b">
        <f>IF(P22=Data!$BK$3,Data!$JH$2,IF(P22=Data!$BK$4,Data!$JI$2,IF(P22=Data!$BK$5,Data!$JJ$2,IF(P22=Data!$BK$6,Data!$JK$2,IF(P22=Data!$BK$7,Data!$JL$2,IF(P22=Data!$BK$8,Data!$JM$2,IF(P22=Data!$BK$9,Data!$JN$2,IF(P22=Data!$BK$10,Data!$JO$2,IF(P22=Data!$BK$11,Data!$JP$2,IF(P22=Data!$BK$12,Data!$JQ$2,IF(P22=Data!$BK$13,Data!$JR$2,IF(P22=Data!$BK$14,Data!$JS$2,IF(P22=Data!$BK$15,Data!$JT$2,IF(P22=Data!$BK$16,Data!$JU$2,IF(P22=Data!$BK$17,Data!$JV$2,IF(P22=Data!$BK$18,Data!$JW$2, IF(P22=Data!$BK$19,Data!$JX$2, IF(P22=Data!$BK$20,Data!$JY$2))))))))))))))))))</f>
        <v>0</v>
      </c>
      <c r="DN22" s="169" t="str">
        <f t="shared" si="36"/>
        <v/>
      </c>
      <c r="DO22" s="169" t="e">
        <f t="shared" si="37"/>
        <v>#N/A</v>
      </c>
      <c r="DP22" s="169" t="str">
        <f t="shared" si="38"/>
        <v>OK</v>
      </c>
      <c r="DQ22" s="169" t="str">
        <f t="shared" si="39"/>
        <v>OK</v>
      </c>
      <c r="DR22" s="169" t="str">
        <f t="shared" si="40"/>
        <v>OK</v>
      </c>
      <c r="DS22" s="169" t="str">
        <f t="shared" si="41"/>
        <v>OK</v>
      </c>
      <c r="DT22" s="65" t="b">
        <f>IF(N22=Data!$LW$2,Data!$LX$1,IF(N22=Data!$LW$3,Data!$LY$1,IF(N22=Data!$LW$4,Data!$LZ$1,IF(N22=Data!$LW$5,Data!$MA$1,IF(N22=Data!$LW$6,Data!$MB$1,IF(N22=Data!$LW$7,Data!$MC$1, IF(N22=Data!$LW$8,Data!$MX$1)))))))</f>
        <v>0</v>
      </c>
      <c r="DU22" s="65" t="b">
        <f>IF(E22=Data!$MD$2,Data!$ME$2, IF(E22=Data!$MD$3,Data!$MF$2, IF(E22=Data!$MD$4,Data!$MG$2)))</f>
        <v>0</v>
      </c>
      <c r="DV22" s="54" t="str">
        <f>IF(E22="MS", Data!$AK$1, Data!$EJ$2)</f>
        <v>Special_Window</v>
      </c>
      <c r="DW22" s="65" t="str">
        <f>IF(OR(AND(S22="",P22&lt;&gt;"")),VLOOKUP(P22,Data!$FC$2:$FD$18,2,FALSE),"")</f>
        <v/>
      </c>
      <c r="DX22" s="65" t="str">
        <f>IF(OR(AND(T22="",P22&lt;&gt;"")),VLOOKUP(P22,Data!$FC$2:$FD$18,2,FALSE),"")</f>
        <v/>
      </c>
      <c r="DY22" s="65" t="str">
        <f>IF(OR(AND(U22="",P22&lt;&gt;"")),VLOOKUP(P22,Data!$FC$2:$FD$18,2,FALSE),"")</f>
        <v/>
      </c>
      <c r="DZ22" s="157" t="e">
        <f>VLOOKUP(N22,Data!$MK$2:$ML$8,2,FALSE)</f>
        <v>#N/A</v>
      </c>
      <c r="EA22" s="65" t="e">
        <f>VLOOKUP(O22,Data!$DO$4:$DO$157,1,FALSE)</f>
        <v>#N/A</v>
      </c>
      <c r="EB22" s="65" t="e">
        <f t="shared" si="42"/>
        <v>#N/A</v>
      </c>
      <c r="EC22" s="54" t="str">
        <f t="shared" si="43"/>
        <v/>
      </c>
      <c r="ED22" s="157" t="str">
        <f t="shared" si="44"/>
        <v>OK</v>
      </c>
      <c r="EE22" s="169" t="b">
        <f>IF(P22=Data!$NN$3,Data!$NO$2, IF(P22=Data!$NN$4,Data!$NP$2, IF(P22=Data!$NN$5,Data!$NQ$2, IF(P22=Data!$NN$6,Data!$NR$2, IF(P22=Data!$NN$7,Data!$NS$2, IF(P22=Data!$NN$8,Data!$NT$2, IF(P22=Data!$NN$9,Data!$NU$2, IF(P22=Data!$NN$10,Data!$NV$2, IF(P22=Data!$NN$11,Data!$NW$2, IF(P22=Data!$NN$12,Data!$NX$2, IF(P22=Data!$NN$13,Data!$NY$2, IF(P22=Data!$NN$14,Data!$NZ$2, IF(P22=Data!$NN$15,Data!$OA$2, IF(P22=Data!$NN$16,Data!$OB$2, IF(P22=Data!$NN$17,Data!$OC$2, IF(P22=Data!$NN$18,Data!$OD$2, IF(P22=Data!$NN$19,Data!$OE$2, IF(P22=Data!$NN$20,Data!$OG$2))))))))))))))))))</f>
        <v>0</v>
      </c>
      <c r="EF22" s="169" t="b">
        <f>IF(P22=Data!$NN$3,Data!$NO$15,IF(P22=Data!$NN$4,Data!$NP$15,IF(P22=Data!$NN$5,Data!$NQ$15,IF(P22=Data!$NN$6,Data!$NR$15,IF(P22=Data!$NN$7,Data!$NS$15,IF(P22=Data!$NN$8,Data!$NT$15,IF(P22=Data!$NN$9,Data!$NU$15,IF(P22=Data!$NN$10,Data!$NV$15,IF(P22=Data!$NN$11,Data!$NW$15,IF(P22=Data!$NN$12,Data!$NX$15,IF(P22=Data!$NN$13,Data!$NY$15,IF(P22=Data!$NN$14,Data!$NZ$15,IF(N22=Data!$NN$22,Data!$OA$15,IF(N22=Data!$NN$23,Data!$OB$15,IF(P22=Data!$NN$19,Data!$OC$15, IF(P22=Data!$NN$20,Data!$OG$15))))))))))))))))</f>
        <v>0</v>
      </c>
      <c r="EG22" s="330" t="e">
        <f>MATCH(G22, Data!$CW$10:$CW$14,0)</f>
        <v>#N/A</v>
      </c>
      <c r="EH22" s="169" t="e">
        <f>MATCH(J22,Data!$CX$9:$DA$9,0)</f>
        <v>#N/A</v>
      </c>
      <c r="EI22" s="334" t="e">
        <f>INDEX(Data!$CX$10:$DA$14,Shutters!EG22,Shutters!EH22)</f>
        <v>#N/A</v>
      </c>
      <c r="EJ22" s="169" t="str">
        <f>IF(SUM(--ISNUMBER(SEARCH({"combo","Combo","COMBO"}, B39))),"Yes","No")</f>
        <v>No</v>
      </c>
      <c r="EK22" s="169" t="str">
        <f>IF(SUM(--ISNUMBER(SEARCH({"combo","Combo","COMBO"}, F39))),"Yes","No")</f>
        <v>No</v>
      </c>
      <c r="EL22" s="169" t="str">
        <f t="shared" si="45"/>
        <v>No</v>
      </c>
      <c r="EM22" s="157">
        <f t="shared" si="46"/>
        <v>1</v>
      </c>
      <c r="EN22" s="157" t="e">
        <f t="shared" si="47"/>
        <v>#DIV/0!</v>
      </c>
      <c r="EO22" s="169" t="str">
        <f t="shared" si="48"/>
        <v/>
      </c>
      <c r="EP22" s="330" t="str">
        <f t="shared" si="49"/>
        <v/>
      </c>
      <c r="EQ22" s="330" t="str">
        <f t="shared" si="50"/>
        <v/>
      </c>
      <c r="ER22" s="169" t="str">
        <f t="shared" si="51"/>
        <v/>
      </c>
      <c r="ES22" s="169" t="str">
        <f t="shared" si="52"/>
        <v/>
      </c>
      <c r="ET22" s="169" t="str">
        <f t="shared" si="53"/>
        <v/>
      </c>
      <c r="EU22" s="264" t="str">
        <f t="shared" si="54"/>
        <v>No</v>
      </c>
      <c r="EV22" s="330" t="e">
        <f>MATCH(G22,Data!$FH$18:$FL$18,0)</f>
        <v>#N/A</v>
      </c>
      <c r="EW22" s="169" t="e">
        <f>MATCH(N22,Data!$FG$19:$FG$25,0)</f>
        <v>#N/A</v>
      </c>
      <c r="EX22" s="330" t="e">
        <f>INDEX(Data!$FH$19:$FL$25,Shutters!EW22,Shutters!EV22)</f>
        <v>#N/A</v>
      </c>
    </row>
    <row r="23" spans="1:154" ht="36.75" customHeight="1" thickBot="1">
      <c r="A23" s="53">
        <v>15</v>
      </c>
      <c r="B23" s="21"/>
      <c r="C23" s="22"/>
      <c r="D23" s="22"/>
      <c r="E23" s="22"/>
      <c r="F23" s="46"/>
      <c r="G23" s="21"/>
      <c r="H23" s="692"/>
      <c r="I23" s="739"/>
      <c r="J23" s="22"/>
      <c r="K23" s="145" t="str">
        <f t="shared" si="11"/>
        <v/>
      </c>
      <c r="L23" s="44"/>
      <c r="M23" s="44"/>
      <c r="N23" s="44"/>
      <c r="O23" s="44"/>
      <c r="P23" s="579"/>
      <c r="Q23" s="579"/>
      <c r="R23" s="21"/>
      <c r="S23" s="21"/>
      <c r="T23" s="21"/>
      <c r="U23" s="21"/>
      <c r="V23" s="44"/>
      <c r="W23" s="44"/>
      <c r="X23" s="30"/>
      <c r="Y23" s="30"/>
      <c r="Z23" s="22"/>
      <c r="AA23" s="22"/>
      <c r="AB23" s="22"/>
      <c r="AC23" s="44"/>
      <c r="AD23" s="165" t="str">
        <f t="shared" si="0"/>
        <v/>
      </c>
      <c r="AE23" s="229"/>
      <c r="AF23" s="230"/>
      <c r="AU23" s="109" t="str">
        <f t="shared" si="12"/>
        <v/>
      </c>
      <c r="AV23" s="65" t="e">
        <f t="shared" si="13"/>
        <v>#N/A</v>
      </c>
      <c r="AW23" s="169" t="e">
        <f>VLOOKUP(P23,Data!$MI$2:$MJ$4,2,FALSE)</f>
        <v>#N/A</v>
      </c>
      <c r="AX23" s="169" t="e">
        <f t="shared" si="14"/>
        <v>#N/A</v>
      </c>
      <c r="AY23" s="169" t="e">
        <f>VLOOKUP(N23,Data!$BI$24:$BJ$30,2,FALSE)</f>
        <v>#N/A</v>
      </c>
      <c r="AZ23" s="158" t="b">
        <f>IF(G23=Data!$BO$2,Data!$BS$2, IF(Shutters!G23=Data!$BP$2,Data!$BT$2, IF(Shutters!G23=Data!$BQ$2,Data!$BU$2)))</f>
        <v>0</v>
      </c>
      <c r="BA23" s="340" t="str">
        <f t="shared" si="15"/>
        <v>No</v>
      </c>
      <c r="BB23" s="158" t="e">
        <f t="shared" si="16"/>
        <v>#DIV/0!</v>
      </c>
      <c r="BC23" s="340" t="e">
        <f t="shared" si="17"/>
        <v>#DIV/0!</v>
      </c>
      <c r="BD23" s="158" t="e">
        <f t="shared" si="1"/>
        <v>#DIV/0!</v>
      </c>
      <c r="BE23" s="340" t="str">
        <f t="shared" si="18"/>
        <v>No</v>
      </c>
      <c r="BF23" s="155" t="str">
        <f t="shared" si="19"/>
        <v>NotRequired</v>
      </c>
      <c r="BG23" s="158" t="b">
        <f>IF(G23=Data!$BO$2,Data!$CM$2, IF(Shutters!G23=Data!$BP$2,Data!$CN$2, IF(Shutters!G23=Data!$BQ$2,Data!$CO$2)))</f>
        <v>0</v>
      </c>
      <c r="BH23" s="158" t="e">
        <f t="shared" si="20"/>
        <v>#DIV/0!</v>
      </c>
      <c r="BI23" s="159" t="str">
        <f t="shared" si="2"/>
        <v>NoHighlight</v>
      </c>
      <c r="BJ23" s="340" t="str">
        <f t="shared" si="21"/>
        <v>FauxwoodRPNo</v>
      </c>
      <c r="BK23" s="156" t="str">
        <f>IF(SUM(--ISNUMBER( SEARCH({"t","T"},O23))),"Yes","No")</f>
        <v>No</v>
      </c>
      <c r="BL23" s="159" t="str">
        <f t="shared" si="22"/>
        <v>OK</v>
      </c>
      <c r="BM23" s="159" t="str">
        <f t="shared" si="23"/>
        <v>OK</v>
      </c>
      <c r="BN23" s="159" t="str">
        <f t="shared" si="24"/>
        <v>OK</v>
      </c>
      <c r="BO23" s="159" t="e">
        <f>IF(OR(AND(F23&gt;1,#REF!="L",#REF!="l"),AND(F23&gt;1,#REF!="R",#REF!="r"),AND(F23&gt;2,#REF!="LR",#REF!="lr")), "Error","OK")</f>
        <v>#REF!</v>
      </c>
      <c r="BP23" s="159" t="str">
        <f t="shared" si="3"/>
        <v>FauxwoodAINo</v>
      </c>
      <c r="BQ23" s="159" t="str">
        <f>IF(SUM(--ISNUMBER(SEARCH({"combo","Combo","COMBO"}, B40))),"Yes","No")</f>
        <v>No</v>
      </c>
      <c r="BR23" s="159" t="str">
        <f t="shared" si="25"/>
        <v>No</v>
      </c>
      <c r="BS23" s="159" t="str">
        <f>IF(SUM(--ISNUMBER( SEARCH({"c","C","b","B"},#REF!))),"Yes","No")</f>
        <v>No</v>
      </c>
      <c r="BT23" s="160">
        <f t="shared" si="4"/>
        <v>0</v>
      </c>
      <c r="BU23" s="169" t="str">
        <f>IF(N23=Data!$BI$3,Data!$DR$3,IF(N23=Data!$BI$4,Data!$DS$3,IF(N23=Data!$BI$5,Data!$DT$3,IF(N23=Data!$BI$6,Data!$DU$3,IF(N23=Data!$BI$7,Data!$DV$3, IF(N23=Data!$BI$8,Data!$DX$3, IF(N23=Data!$BI$9,Data!$DW$3, "")))))))</f>
        <v/>
      </c>
      <c r="BV23" s="169" t="str">
        <f>IF(N23=Data!$BI$3,Data!$DY$3,IF(N23=Data!$BI$4,Data!$DZ$3,IF(N23=Data!$BI$5,Data!$EA$3,IF(N23=Data!$BI$6,Data!$EB$3,IF(N23=Data!$BI$7,Data!$EC$3,IF(N23=Data!$BI$8,Data!$EE$3, IF(N23=Data!$BI$9,Data!$ED$3,"")))))))</f>
        <v/>
      </c>
      <c r="BW23" s="160">
        <f t="shared" si="5"/>
        <v>0</v>
      </c>
      <c r="BX23" s="160">
        <f t="shared" si="6"/>
        <v>0</v>
      </c>
      <c r="BY23" s="161" t="e">
        <f t="shared" si="26"/>
        <v>#DIV/0!</v>
      </c>
      <c r="BZ23" s="330" t="b">
        <f>IF(G23=Data!$EU$2,Data!$ES$2,IF(G23=Data!$EU$3,Data!$ER$2, IF(G23=Data!$EU$5,Data!$ET$2, IF(G23=Data!$EU$4,Data!$EQ$2,IF(G23=Data!$EU$6,Data!$ER$2)))))</f>
        <v>0</v>
      </c>
      <c r="CA23" s="330" t="b">
        <f>IF(G23=Data!$EU$2,Data!$EW$2,IF(G23=Data!$EU$3,Data!$EX$2,IF(G23=Data!$EU$4,Data!$EY$2, IF(G23=Data!$EU$5,Data!$EY$2,IF(G23=Data!$EU$6,Data!$EX$2)))))</f>
        <v>0</v>
      </c>
      <c r="CB23" s="161" t="e">
        <f>VLOOKUP(M23,Data!$EJ$3:$EK$14,2,FALSE)</f>
        <v>#N/A</v>
      </c>
      <c r="CC23" s="169" t="str">
        <f>IF(J23="114mm",VLOOKUP(H23,Data!$FA$2:$FB$18,2,FALSE),"OK")</f>
        <v>OK</v>
      </c>
      <c r="CD23" s="161" t="e">
        <f t="shared" si="7"/>
        <v>#DIV/0!</v>
      </c>
      <c r="CE23" s="169" t="str">
        <f>IF(OR(AND(R23="",P23&lt;&gt;"")),VLOOKUP(P23,Data!$FC$2:$FD$18,2,FALSE),"")</f>
        <v/>
      </c>
      <c r="CF23" s="169" t="str">
        <f>IF(N23=Data!$BI$3,Data!$FJ$1,IF(N23=Data!$BI$4,Data!$FK$1,IF(N23=Data!$BI$5,Data!$FL$1,IF(N23=Data!$BI$6,Data!$FM$1,IF(N23=Data!$BI$7,Data!$FN$1, IF(N23=Data!$BI$8,Data!$FO$1, IF(N23=Data!$BI$9,Data!$FI$1, "")))))))</f>
        <v/>
      </c>
      <c r="CG23" s="161" t="str">
        <f>IF(SUM(--ISNUMBER(SEARCH({"z","Z"}, P23))),"Yes","No")</f>
        <v>No</v>
      </c>
      <c r="CH23" s="161" t="str">
        <f t="shared" si="8"/>
        <v>OK</v>
      </c>
      <c r="CI23" s="169">
        <f t="shared" si="27"/>
        <v>0</v>
      </c>
      <c r="CJ23" s="169" t="e">
        <f>VLOOKUP(O23,Data!$DO$4:$DP$156,2,FALSE)</f>
        <v>#N/A</v>
      </c>
      <c r="CK23" s="161" t="e">
        <f t="shared" si="9"/>
        <v>#N/A</v>
      </c>
      <c r="CL23" s="160"/>
      <c r="CM23" s="160"/>
      <c r="CN23" s="160"/>
      <c r="CO23" s="344" t="str">
        <f t="shared" si="28"/>
        <v>OK</v>
      </c>
      <c r="CP23" s="169" t="b">
        <f t="shared" si="29"/>
        <v>0</v>
      </c>
      <c r="CQ23" s="161">
        <f>IF(E23="IN",1,IF(E23="OUT",1,0))</f>
        <v>0</v>
      </c>
      <c r="CR23" s="161">
        <f>IF(P23="No Frame",0,IF(P23="Hanging Strip",0,1))</f>
        <v>1</v>
      </c>
      <c r="CS23" s="161">
        <f>CP23*CQ23*CR23</f>
        <v>0</v>
      </c>
      <c r="CT23" s="157" t="e">
        <f t="shared" si="33"/>
        <v>#DIV/0!</v>
      </c>
      <c r="CU23" s="169" t="b">
        <f>IF(H23=Data!$BD$3,Data!$HC$2,IF(H23=Data!$BD$4,Data!$HM$2,IF(H23=Data!$BD$5,Data!$HF$2,IF(H23=Data!$BD$6,Data!$HB$2,IF(H23=Data!$BD$7,Data!$HD$2,IF(H23=Data!$BD$8,Data!$HJ$2,IF(H23=Data!$BD$9,Data!$HN$2,IF(H23=Data!$BD$10,Data!$HA$2,IF(H23=Data!$BD$11,Data!$HI$2)))))))))</f>
        <v>0</v>
      </c>
      <c r="CV23" s="276" t="b">
        <f>IF(H23=Data!$BE$3,Data!$HQ$2, IF(H23=Data!$BE$4,Data!$HP$2, IF(H23=Data!$BE$5,Data!$HR$2, IF(H23=Data!$BE$6,Data!$HO$2))))</f>
        <v>0</v>
      </c>
      <c r="CW23" s="330" t="b">
        <f>IF(H23=Data!$BH$3,Data!$HU$2, IF(H23=Data!$BH$4,Data!$HT$2, IF(H23=Data!$BH$5,Data!$HS$2)))</f>
        <v>0</v>
      </c>
      <c r="CX23" s="330" t="b">
        <f>IF(H23=Data!$BF$3,Data!$HQ$16, IF(H23=Data!$BF$4,Data!$HP$16, IF(H23=Data!$BF$5,Data!$HR$16, IF(H23=Data!$BF$6,Data!$HO$16))))</f>
        <v>0</v>
      </c>
      <c r="CY23" s="330" t="b">
        <f>IF(G23=Data!$BC$3,Shutters!CU23,IF(G23=Data!$BC$4,Shutters!CV23,IF(G23=Data!$BC$6,Shutters!CW23, IF(G23=Data!$BC$5, Shutters!CX23,IF(G23=Data!$BC$7,Shutters!CV23)))))</f>
        <v>0</v>
      </c>
      <c r="CZ23" s="160" t="e">
        <f>IF(OR(AND(L23&gt;0,#REF!="")), "Error","OK")</f>
        <v>#REF!</v>
      </c>
      <c r="DA23" s="169" t="e">
        <f>IF(COUNTIF(#REF!,Data!$CX$6),"Yes","")</f>
        <v>#REF!</v>
      </c>
      <c r="DB23" s="54" t="str">
        <f t="shared" si="34"/>
        <v/>
      </c>
      <c r="DE23" s="54" t="str">
        <f>IF(N23=Data!$BI$5,"Yes",IF(N23=Data!$BI$6,"Yes","No"))</f>
        <v>No</v>
      </c>
      <c r="DF23" s="65" t="b">
        <f>IF(N23=Data!$BI$3,Data!$JB$2,IF(N23=Data!$BI$4,Data!$JC$2,IF(N23=Data!$BI$5,Data!$JD$2,IF(N23=Data!$BI$6,Data!$JE$2,IF(N23=Data!$BI$7,Data!$JF$2, IF(N23=Data!$BI$8,Data!$JA$2, IF(N23=Data!$BI$9,Data!$JG$2)))))))</f>
        <v>0</v>
      </c>
      <c r="DI23" s="65" t="e">
        <f>VLOOKUP(O23,Data!$DO$4:$DQ$156,3,FALSE)</f>
        <v>#N/A</v>
      </c>
      <c r="DJ23" s="54" t="e">
        <f t="shared" si="10"/>
        <v>#N/A</v>
      </c>
      <c r="DK23" s="54" t="e">
        <f>IF(DJ23=0,"OK", "Layout Code &amp; T Post Quantity Issue")</f>
        <v>#N/A</v>
      </c>
      <c r="DL23" s="54" t="b">
        <f>IF(P23=Data!$BK$3,Data!$JH$2,IF(P23=Data!$BK$4,Data!$JI$2,IF(P23=Data!$BK$5,Data!$JJ$2,IF(P23=Data!$BK$6,Data!$JK$2,IF(P23=Data!$BK$7,Data!$JL$2,IF(P23=Data!$BK$8,Data!$JM$2,IF(P23=Data!$BK$9,Data!$JN$2,IF(P23=Data!$BK$10,Data!$JO$2,IF(P23=Data!$BK$11,Data!$JP$2,IF(P23=Data!$BK$12,Data!$JQ$2,IF(P23=Data!$BK$13,Data!$JR$2,IF(P23=Data!$BK$14,Data!$JS$2,IF(P23=Data!$BK$15,Data!$JT$2,IF(P23=Data!$BK$16,Data!$JU$2,IF(P23=Data!$BK$17,Data!$JV$2,IF(P23=Data!$BK$18,Data!$JW$2, IF(P23=Data!$BK$19,Data!$JX$2, IF(P23=Data!$BK$20,Data!$JY$2))))))))))))))))))</f>
        <v>0</v>
      </c>
      <c r="DN23" s="169" t="str">
        <f t="shared" si="36"/>
        <v/>
      </c>
      <c r="DO23" s="169" t="e">
        <f t="shared" si="37"/>
        <v>#N/A</v>
      </c>
      <c r="DP23" s="169" t="str">
        <f t="shared" si="38"/>
        <v>OK</v>
      </c>
      <c r="DQ23" s="169" t="str">
        <f t="shared" si="39"/>
        <v>OK</v>
      </c>
      <c r="DR23" s="169" t="str">
        <f t="shared" si="40"/>
        <v>OK</v>
      </c>
      <c r="DS23" s="169" t="str">
        <f t="shared" si="41"/>
        <v>OK</v>
      </c>
      <c r="DT23" s="65" t="b">
        <f>IF(N23=Data!$LW$2,Data!$LX$1,IF(N23=Data!$LW$3,Data!$LY$1,IF(N23=Data!$LW$4,Data!$LZ$1,IF(N23=Data!$LW$5,Data!$MA$1,IF(N23=Data!$LW$6,Data!$MB$1,IF(N23=Data!$LW$7,Data!$MC$1, IF(N23=Data!$LW$8,Data!$MX$1)))))))</f>
        <v>0</v>
      </c>
      <c r="DU23" s="65" t="b">
        <f>IF(E23=Data!$MD$2,Data!$ME$2, IF(E23=Data!$MD$3,Data!$MF$2, IF(E23=Data!$MD$4,Data!$MG$2)))</f>
        <v>0</v>
      </c>
      <c r="DV23" s="54" t="str">
        <f>IF(E23="MS", Data!$AK$1, Data!$EJ$2)</f>
        <v>Special_Window</v>
      </c>
      <c r="DW23" s="65" t="str">
        <f>IF(OR(AND(S23="",P23&lt;&gt;"")),VLOOKUP(P23,Data!$FC$2:$FD$18,2,FALSE),"")</f>
        <v/>
      </c>
      <c r="DX23" s="65" t="str">
        <f>IF(OR(AND(T23="",P23&lt;&gt;"")),VLOOKUP(P23,Data!$FC$2:$FD$18,2,FALSE),"")</f>
        <v/>
      </c>
      <c r="DY23" s="65" t="str">
        <f>IF(OR(AND(U23="",P23&lt;&gt;"")),VLOOKUP(P23,Data!$FC$2:$FD$18,2,FALSE),"")</f>
        <v/>
      </c>
      <c r="DZ23" s="157" t="e">
        <f>VLOOKUP(N23,Data!$MK$2:$ML$8,2,FALSE)</f>
        <v>#N/A</v>
      </c>
      <c r="EA23" s="65" t="e">
        <f>VLOOKUP(O23,Data!$DO$4:$DO$157,1,FALSE)</f>
        <v>#N/A</v>
      </c>
      <c r="EB23" s="65" t="e">
        <f t="shared" si="42"/>
        <v>#N/A</v>
      </c>
      <c r="EC23" s="54" t="str">
        <f t="shared" si="43"/>
        <v/>
      </c>
      <c r="ED23" s="157" t="str">
        <f t="shared" si="44"/>
        <v>OK</v>
      </c>
      <c r="EE23" s="169" t="b">
        <f>IF(P23=Data!$NN$3,Data!$NO$2, IF(P23=Data!$NN$4,Data!$NP$2, IF(P23=Data!$NN$5,Data!$NQ$2, IF(P23=Data!$NN$6,Data!$NR$2, IF(P23=Data!$NN$7,Data!$NS$2, IF(P23=Data!$NN$8,Data!$NT$2, IF(P23=Data!$NN$9,Data!$NU$2, IF(P23=Data!$NN$10,Data!$NV$2, IF(P23=Data!$NN$11,Data!$NW$2, IF(P23=Data!$NN$12,Data!$NX$2, IF(P23=Data!$NN$13,Data!$NY$2, IF(P23=Data!$NN$14,Data!$NZ$2, IF(P23=Data!$NN$15,Data!$OA$2, IF(P23=Data!$NN$16,Data!$OB$2, IF(P23=Data!$NN$17,Data!$OC$2, IF(P23=Data!$NN$18,Data!$OD$2, IF(P23=Data!$NN$19,Data!$OE$2, IF(P23=Data!$NN$20,Data!$OG$2))))))))))))))))))</f>
        <v>0</v>
      </c>
      <c r="EF23" s="169" t="b">
        <f>IF(P23=Data!$NN$3,Data!$NO$15,IF(P23=Data!$NN$4,Data!$NP$15,IF(P23=Data!$NN$5,Data!$NQ$15,IF(P23=Data!$NN$6,Data!$NR$15,IF(P23=Data!$NN$7,Data!$NS$15,IF(P23=Data!$NN$8,Data!$NT$15,IF(P23=Data!$NN$9,Data!$NU$15,IF(P23=Data!$NN$10,Data!$NV$15,IF(P23=Data!$NN$11,Data!$NW$15,IF(P23=Data!$NN$12,Data!$NX$15,IF(P23=Data!$NN$13,Data!$NY$15,IF(P23=Data!$NN$14,Data!$NZ$15,IF(N23=Data!$NN$22,Data!$OA$15,IF(N23=Data!$NN$23,Data!$OB$15,IF(P23=Data!$NN$19,Data!$OC$15, IF(P23=Data!$NN$20,Data!$OG$15))))))))))))))))</f>
        <v>0</v>
      </c>
      <c r="EG23" s="330" t="e">
        <f>MATCH(G23, Data!$CW$10:$CW$14,0)</f>
        <v>#N/A</v>
      </c>
      <c r="EH23" s="169" t="e">
        <f>MATCH(J23,Data!$CX$9:$DA$9,0)</f>
        <v>#N/A</v>
      </c>
      <c r="EI23" s="334" t="e">
        <f>INDEX(Data!$CX$10:$DA$14,Shutters!EG23,Shutters!EH23)</f>
        <v>#N/A</v>
      </c>
      <c r="EJ23" s="169" t="str">
        <f>IF(SUM(--ISNUMBER(SEARCH({"combo","Combo","COMBO"}, B40))),"Yes","No")</f>
        <v>No</v>
      </c>
      <c r="EK23" s="169" t="str">
        <f>IF(SUM(--ISNUMBER(SEARCH({"combo","Combo","COMBO"}, F40))),"Yes","No")</f>
        <v>No</v>
      </c>
      <c r="EL23" s="169" t="str">
        <f t="shared" si="45"/>
        <v>No</v>
      </c>
      <c r="EM23" s="157">
        <f t="shared" si="46"/>
        <v>1</v>
      </c>
      <c r="EN23" s="157" t="e">
        <f t="shared" si="47"/>
        <v>#DIV/0!</v>
      </c>
      <c r="EO23" s="169" t="str">
        <f t="shared" si="48"/>
        <v/>
      </c>
      <c r="EP23" s="330" t="str">
        <f t="shared" si="49"/>
        <v/>
      </c>
      <c r="EQ23" s="330" t="str">
        <f t="shared" si="50"/>
        <v/>
      </c>
      <c r="ER23" s="169" t="str">
        <f t="shared" si="51"/>
        <v/>
      </c>
      <c r="ES23" s="169" t="str">
        <f t="shared" si="52"/>
        <v/>
      </c>
      <c r="ET23" s="169" t="str">
        <f t="shared" si="53"/>
        <v/>
      </c>
      <c r="EU23" s="264" t="str">
        <f t="shared" si="54"/>
        <v>No</v>
      </c>
      <c r="EV23" s="330" t="e">
        <f>MATCH(G23,Data!$FH$18:$FL$18,0)</f>
        <v>#N/A</v>
      </c>
      <c r="EW23" s="169" t="e">
        <f>MATCH(N23,Data!$FG$19:$FG$25,0)</f>
        <v>#N/A</v>
      </c>
      <c r="EX23" s="330" t="e">
        <f>INDEX(Data!$FH$19:$FL$25,Shutters!EW23,Shutters!EV23)</f>
        <v>#N/A</v>
      </c>
    </row>
    <row r="24" spans="1:154" ht="18.75" customHeight="1" thickTop="1" thickBot="1">
      <c r="A24" s="728"/>
      <c r="B24" s="728"/>
      <c r="K24" s="55"/>
      <c r="L24" s="55"/>
      <c r="M24" s="167"/>
      <c r="N24" s="167"/>
      <c r="O24" s="167"/>
      <c r="P24" s="167"/>
      <c r="Q24" s="167"/>
      <c r="R24" s="168"/>
      <c r="AU24" s="55"/>
      <c r="BA24" s="65"/>
      <c r="BC24" s="65"/>
      <c r="BE24" s="65"/>
      <c r="BI24" s="65"/>
      <c r="BJ24" s="54"/>
      <c r="BU24" s="65"/>
      <c r="BV24" s="65"/>
      <c r="BZ24" s="65"/>
      <c r="CE24" s="65"/>
      <c r="CF24" s="65"/>
      <c r="CI24" s="65"/>
      <c r="CJ24" s="65"/>
      <c r="CK24" s="65"/>
      <c r="CO24" s="278"/>
      <c r="CP24" s="65"/>
      <c r="CQ24" s="65"/>
      <c r="CR24" s="65"/>
      <c r="CS24" s="65"/>
      <c r="CT24" s="54"/>
      <c r="CU24" s="65"/>
      <c r="CW24" s="65"/>
      <c r="CX24" s="65"/>
      <c r="DF24" s="65"/>
      <c r="DI24" s="65"/>
      <c r="DK24" s="54" t="str">
        <f>IF(COUNTIF(DK9:DK23,Data!JZ2),"Layout Code &amp; T Post Quantity Issue","")</f>
        <v/>
      </c>
      <c r="DL24" s="54"/>
      <c r="DW24" s="65"/>
      <c r="DX24" s="65"/>
      <c r="DY24" s="65"/>
    </row>
    <row r="25" spans="1:154" ht="29.25" customHeight="1" thickTop="1" thickBot="1">
      <c r="A25" s="135" t="s">
        <v>146</v>
      </c>
      <c r="B25" s="730" t="s">
        <v>642</v>
      </c>
      <c r="C25" s="731"/>
      <c r="D25" s="731"/>
      <c r="E25" s="732"/>
      <c r="F25" s="736" t="s">
        <v>643</v>
      </c>
      <c r="G25" s="736"/>
      <c r="H25" s="736"/>
      <c r="I25" s="736"/>
      <c r="J25" s="736"/>
      <c r="K25" s="730" t="s">
        <v>790</v>
      </c>
      <c r="L25" s="731"/>
      <c r="M25" s="732"/>
      <c r="N25" s="730" t="s">
        <v>793</v>
      </c>
      <c r="O25" s="731"/>
      <c r="P25" s="731"/>
      <c r="Q25" s="731"/>
      <c r="R25" s="731"/>
      <c r="S25" s="731"/>
      <c r="T25" s="732"/>
      <c r="U25" s="769" t="s">
        <v>163</v>
      </c>
      <c r="V25" s="769"/>
      <c r="W25" s="769"/>
      <c r="X25" s="769"/>
      <c r="Y25" s="769"/>
      <c r="Z25" s="769"/>
      <c r="AA25" s="769"/>
      <c r="AB25" s="769"/>
      <c r="AC25" s="769"/>
      <c r="AD25" s="770"/>
      <c r="AE25" s="56"/>
      <c r="AF25" s="56"/>
      <c r="AG25" s="83"/>
      <c r="BA25" s="65"/>
      <c r="BC25" s="65"/>
      <c r="BE25" s="65"/>
      <c r="BI25" s="65"/>
      <c r="BJ25" s="54"/>
      <c r="BU25" s="65"/>
      <c r="BV25" s="65"/>
      <c r="BZ25" s="65"/>
      <c r="CE25" s="65"/>
      <c r="CF25" s="65"/>
      <c r="CI25" s="65"/>
      <c r="CJ25" s="65"/>
      <c r="CK25" s="65"/>
      <c r="CO25" s="278"/>
      <c r="CP25" s="65"/>
      <c r="CQ25" s="65"/>
      <c r="CR25" s="65"/>
      <c r="CS25" s="65"/>
      <c r="CT25" s="54"/>
      <c r="CU25" s="65"/>
      <c r="CW25" s="65"/>
      <c r="CX25" s="65"/>
      <c r="DF25" s="65"/>
      <c r="DI25" s="65"/>
      <c r="DL25" s="54"/>
      <c r="DW25" s="65"/>
      <c r="DX25" s="65"/>
      <c r="DY25" s="65"/>
    </row>
    <row r="26" spans="1:154" ht="18" customHeight="1" thickTop="1">
      <c r="A26" s="124">
        <v>1</v>
      </c>
      <c r="B26" s="733"/>
      <c r="C26" s="733"/>
      <c r="D26" s="733"/>
      <c r="E26" s="733"/>
      <c r="F26" s="737"/>
      <c r="G26" s="737"/>
      <c r="H26" s="737"/>
      <c r="I26" s="737"/>
      <c r="J26" s="738"/>
      <c r="K26" s="725"/>
      <c r="L26" s="725"/>
      <c r="M26" s="725"/>
      <c r="N26" s="725"/>
      <c r="O26" s="725"/>
      <c r="P26" s="725"/>
      <c r="Q26" s="725"/>
      <c r="R26" s="725"/>
      <c r="S26" s="725"/>
      <c r="T26" s="725"/>
      <c r="U26" s="775"/>
      <c r="V26" s="776"/>
      <c r="W26" s="776"/>
      <c r="X26" s="776"/>
      <c r="Y26" s="776"/>
      <c r="Z26" s="776"/>
      <c r="AA26" s="776"/>
      <c r="AB26" s="776"/>
      <c r="AC26" s="776"/>
      <c r="AD26" s="777"/>
      <c r="AE26" s="57"/>
      <c r="AF26" s="57"/>
      <c r="AG26" s="83"/>
      <c r="AZ26" s="346" t="b">
        <f>IF(D43=Data!$FF$2,Data!$FS$1,IF(D43=Data!$FF$3,Data!$FT$1,IF(D43=Data!$FF$4,Data!$FU$1,IF(D43=Data!$FF$5,Data!$FV$1,IF(D43=Data!$FF$6,Data!$FR$1,IF(D43=Data!$FF$7,Data!$FW$1,IF(D43=Data!$FF$8,Data!$FX$1,IF(D43=Data!$FF$9,Data!$FY$1,IF(D43=Data!$FF$10,Data!$FZ$1,IF(D43=Data!$FF$11,Data!$GY$1,IF(D43=Data!$FF$12,Data!$GZ$1,IF(D43=Data!$FF$13,Data!$GX$1,IF(D43=Data!$FF$14,Data!$GA$1,IF(D43=Data!$FF$15,Data!$GB$1,IF(D43=Data!$FF$16,Data!$GC$1,IF(D43=Data!$FF$17,Data!$GD$1,IF(D43=Data!$FF$18,Data!$GE$1,IF(D43=Data!$FF$19,Data!$GF$1,IF(D43=Data!$FF$20,Data!$GG$1,IF(D43=Data!$FF$21,Data!$GH$1,IF(D43=Data!$FF$22,Data!$GI$1,IF(D43=Data!$FF$23,Data!$GJ$1,IF(D43=Data!$FF$24,Data!$GK$1,IF(D43=Data!$FF$25,Data!$GL$1,IF(D43=Data!$FF$26,Data!$GM$1,IF(D43=Data!$FF$27,Data!$GN$1,IF(D43=Data!$FF$28,Data!$GP$1,IF(D43=Data!$FF$29,Data!$GQ$1,IF(D43=Data!$FF$30,Data!$GR$1,IF(D43=Data!$FF$31,Data!$GS$1,IF(D43=Data!$FF$32,Data!$GT$1,IF(D43=Data!$FF$33,Data!$GU$1,IF(D43=Data!$FF$34,Data!$GV$1,IF(D43=Data!$FF$35,Data!$GW$1,IF(D43=Data!$FF$36,Data!$FZ$13,IF(D43=Data!$FF$37,Data!$GS$12,IF(D43=Data!$FF$38,Data!$GX$12)))))))))))))))))))))))))))))))))))))</f>
        <v>0</v>
      </c>
      <c r="BA26" s="65"/>
      <c r="BC26" s="65"/>
      <c r="BE26" s="65"/>
      <c r="BI26" s="65"/>
      <c r="BJ26" s="54"/>
      <c r="BU26" s="65"/>
      <c r="BV26" s="65"/>
      <c r="BZ26" s="65"/>
      <c r="CE26" s="65"/>
      <c r="CF26" s="65"/>
      <c r="CI26" s="65"/>
      <c r="CJ26" s="65"/>
      <c r="CK26" s="65"/>
      <c r="CO26" s="278"/>
      <c r="CP26" s="65"/>
      <c r="CQ26" s="65"/>
      <c r="CR26" s="65"/>
      <c r="CS26" s="65"/>
      <c r="CT26" s="54"/>
      <c r="CU26" s="65"/>
      <c r="CW26" s="65"/>
      <c r="CX26" s="65"/>
      <c r="DF26" s="65"/>
      <c r="DI26" s="65"/>
      <c r="DL26" s="54"/>
      <c r="DW26" s="65"/>
      <c r="DX26" s="65"/>
      <c r="DY26" s="65"/>
    </row>
    <row r="27" spans="1:154" ht="18" customHeight="1">
      <c r="A27" s="125">
        <v>2</v>
      </c>
      <c r="B27" s="724"/>
      <c r="C27" s="724"/>
      <c r="D27" s="724"/>
      <c r="E27" s="724"/>
      <c r="F27" s="734"/>
      <c r="G27" s="734"/>
      <c r="H27" s="734"/>
      <c r="I27" s="734"/>
      <c r="J27" s="735"/>
      <c r="K27" s="724"/>
      <c r="L27" s="724"/>
      <c r="M27" s="724"/>
      <c r="N27" s="724"/>
      <c r="O27" s="724"/>
      <c r="P27" s="724"/>
      <c r="Q27" s="724"/>
      <c r="R27" s="724"/>
      <c r="S27" s="724"/>
      <c r="T27" s="724"/>
      <c r="U27" s="778"/>
      <c r="V27" s="779"/>
      <c r="W27" s="779"/>
      <c r="X27" s="779"/>
      <c r="Y27" s="779"/>
      <c r="Z27" s="779"/>
      <c r="AA27" s="779"/>
      <c r="AB27" s="779"/>
      <c r="AC27" s="779"/>
      <c r="AD27" s="780"/>
      <c r="AE27" s="57"/>
      <c r="AF27" s="57"/>
      <c r="AG27" s="83"/>
      <c r="AZ27" s="346" t="b">
        <f>IF(D44=Data!$FF$2,Data!$FS$1,IF(D44=Data!$FF$3,Data!$FT$1,IF(D44=Data!$FF$4,Data!$FU$1,IF(D44=Data!$FF$5,Data!$FV$1,IF(D44=Data!$FF$6,Data!$FR$1,IF(D44=Data!$FF$7,Data!$FW$1,IF(D44=Data!$FF$8,Data!$FX$1,IF(D44=Data!$FF$9,Data!$FY$1,IF(D44=Data!$FF$10,Data!$FZ$1,IF(D44=Data!$FF$11,Data!$GY$1,IF(D44=Data!$FF$12,Data!$GZ$1,IF(D44=Data!$FF$13,Data!$GX$1,IF(D44=Data!$FF$14,Data!$GA$1,IF(D44=Data!$FF$15,Data!$GB$1,IF(D44=Data!$FF$16,Data!$GC$1,IF(D44=Data!$FF$17,Data!$GD$1,IF(D44=Data!$FF$18,Data!$GE$1,IF(D44=Data!$FF$19,Data!$GF$1,IF(D44=Data!$FF$20,Data!$GG$1,IF(D44=Data!$FF$21,Data!$GH$1,IF(D44=Data!$FF$22,Data!$GI$1,IF(D44=Data!$FF$23,Data!$GJ$1,IF(D44=Data!$FF$24,Data!$GK$1,IF(D44=Data!$FF$25,Data!$GL$1,IF(D44=Data!$FF$26,Data!$GM$1,IF(D44=Data!$FF$27,Data!$GN$1,IF(D44=Data!$FF$28,Data!$GP$1,IF(D44=Data!$FF$29,Data!$GQ$1,IF(D44=Data!$FF$30,Data!$GR$1,IF(D44=Data!$FF$31,Data!$GS$1,IF(D44=Data!$FF$32,Data!$GT$1,IF(D44=Data!$FF$33,Data!$GU$1,IF(D44=Data!$FF$34,Data!$GV$1,IF(D44=Data!$FF$35,Data!$GW$1,IF(D44=Data!$FF$36,Data!$FZ$13,IF(D44=Data!$FF$37,Data!$GS$12,IF(D44=Data!$FF$38,Data!$GX$12)))))))))))))))))))))))))))))))))))))</f>
        <v>0</v>
      </c>
      <c r="BA27" s="65"/>
      <c r="BC27" s="65"/>
      <c r="BE27" s="65"/>
      <c r="BI27" s="65"/>
      <c r="BJ27" s="54"/>
      <c r="BU27" s="65"/>
      <c r="BV27" s="65"/>
      <c r="BZ27" s="65"/>
      <c r="CE27" s="65"/>
      <c r="CF27" s="65"/>
      <c r="CI27" s="65"/>
      <c r="CJ27" s="65"/>
      <c r="CK27" s="65"/>
      <c r="CO27" s="278"/>
      <c r="CP27" s="65"/>
      <c r="CQ27" s="65"/>
      <c r="CR27" s="65"/>
      <c r="CS27" s="65"/>
      <c r="CT27" s="54"/>
      <c r="CU27" s="65"/>
      <c r="CW27" s="65"/>
      <c r="CX27" s="65"/>
      <c r="DF27" s="65"/>
      <c r="DI27" s="65"/>
      <c r="DL27" s="54"/>
      <c r="DW27" s="65"/>
      <c r="DX27" s="65"/>
      <c r="DY27" s="65"/>
    </row>
    <row r="28" spans="1:154" ht="18" customHeight="1">
      <c r="A28" s="125">
        <v>3</v>
      </c>
      <c r="B28" s="724"/>
      <c r="C28" s="724"/>
      <c r="D28" s="724"/>
      <c r="E28" s="724"/>
      <c r="F28" s="734"/>
      <c r="G28" s="734"/>
      <c r="H28" s="734"/>
      <c r="I28" s="734"/>
      <c r="J28" s="735"/>
      <c r="K28" s="724"/>
      <c r="L28" s="724"/>
      <c r="M28" s="724"/>
      <c r="N28" s="724"/>
      <c r="O28" s="724"/>
      <c r="P28" s="724"/>
      <c r="Q28" s="724"/>
      <c r="R28" s="724"/>
      <c r="S28" s="724"/>
      <c r="T28" s="724"/>
      <c r="U28" s="778"/>
      <c r="V28" s="779"/>
      <c r="W28" s="779"/>
      <c r="X28" s="779"/>
      <c r="Y28" s="779"/>
      <c r="Z28" s="779"/>
      <c r="AA28" s="779"/>
      <c r="AB28" s="779"/>
      <c r="AC28" s="779"/>
      <c r="AD28" s="780"/>
      <c r="AE28" s="57"/>
      <c r="AF28" s="57"/>
      <c r="AG28" s="83"/>
      <c r="AZ28" s="346" t="b">
        <f>IF(D45=Data!$FF$2,Data!$FS$1,IF(D45=Data!$FF$3,Data!$FT$1,IF(D45=Data!$FF$4,Data!$FU$1,IF(D45=Data!$FF$5,Data!$FV$1,IF(D45=Data!$FF$6,Data!$FR$1,IF(D45=Data!$FF$7,Data!$FW$1,IF(D45=Data!$FF$8,Data!$FX$1,IF(D45=Data!$FF$9,Data!$FY$1,IF(D45=Data!$FF$10,Data!$FZ$1,IF(D45=Data!$FF$11,Data!$GY$1,IF(D45=Data!$FF$12,Data!$GZ$1,IF(D45=Data!$FF$13,Data!$GX$1,IF(D45=Data!$FF$14,Data!$GA$1,IF(D45=Data!$FF$15,Data!$GB$1,IF(D45=Data!$FF$16,Data!$GC$1,IF(D45=Data!$FF$17,Data!$GD$1,IF(D45=Data!$FF$18,Data!$GE$1,IF(D45=Data!$FF$19,Data!$GF$1,IF(D45=Data!$FF$20,Data!$GG$1,IF(D45=Data!$FF$21,Data!$GH$1,IF(D45=Data!$FF$22,Data!$GI$1,IF(D45=Data!$FF$23,Data!$GJ$1,IF(D45=Data!$FF$24,Data!$GK$1,IF(D45=Data!$FF$25,Data!$GL$1,IF(D45=Data!$FF$26,Data!$GM$1,IF(D45=Data!$FF$27,Data!$GN$1,IF(D45=Data!$FF$28,Data!$GP$1,IF(D45=Data!$FF$29,Data!$GQ$1,IF(D45=Data!$FF$30,Data!$GR$1,IF(D45=Data!$FF$31,Data!$GS$1,IF(D45=Data!$FF$32,Data!$GT$1,IF(D45=Data!$FF$33,Data!$GU$1,IF(D45=Data!$FF$34,Data!$GV$1,IF(D45=Data!$FF$35,Data!$GW$1,IF(D45=Data!$FF$36,Data!$FZ$13,IF(D45=Data!$FF$37,Data!$GS$12,IF(D45=Data!$FF$38,Data!$GX$12)))))))))))))))))))))))))))))))))))))</f>
        <v>0</v>
      </c>
      <c r="BA28" s="65"/>
      <c r="BC28" s="65"/>
      <c r="BE28" s="65"/>
      <c r="BI28" s="65"/>
      <c r="BJ28" s="54"/>
      <c r="BU28" s="65"/>
      <c r="BV28" s="65"/>
      <c r="BZ28" s="65"/>
      <c r="CE28" s="65"/>
      <c r="CF28" s="65"/>
      <c r="CI28" s="65"/>
      <c r="CJ28" s="65"/>
      <c r="CK28" s="65"/>
      <c r="CO28" s="278"/>
      <c r="CP28" s="65"/>
      <c r="CQ28" s="65"/>
      <c r="CR28" s="65"/>
      <c r="CS28" s="65"/>
      <c r="CT28" s="54"/>
      <c r="CU28" s="65"/>
      <c r="CW28" s="65"/>
      <c r="CX28" s="65"/>
      <c r="DF28" s="65"/>
      <c r="DI28" s="65"/>
      <c r="DL28" s="54"/>
      <c r="DW28" s="65"/>
      <c r="DX28" s="65"/>
      <c r="DY28" s="65"/>
    </row>
    <row r="29" spans="1:154" ht="18" customHeight="1">
      <c r="A29" s="125">
        <v>4</v>
      </c>
      <c r="B29" s="724"/>
      <c r="C29" s="724"/>
      <c r="D29" s="724"/>
      <c r="E29" s="724"/>
      <c r="F29" s="734"/>
      <c r="G29" s="734"/>
      <c r="H29" s="734"/>
      <c r="I29" s="734"/>
      <c r="J29" s="735"/>
      <c r="K29" s="724"/>
      <c r="L29" s="724"/>
      <c r="M29" s="724"/>
      <c r="N29" s="724"/>
      <c r="O29" s="724"/>
      <c r="P29" s="724"/>
      <c r="Q29" s="724"/>
      <c r="R29" s="724"/>
      <c r="S29" s="724"/>
      <c r="T29" s="724"/>
      <c r="U29" s="778"/>
      <c r="V29" s="779"/>
      <c r="W29" s="779"/>
      <c r="X29" s="779"/>
      <c r="Y29" s="779"/>
      <c r="Z29" s="779"/>
      <c r="AA29" s="779"/>
      <c r="AB29" s="779"/>
      <c r="AC29" s="779"/>
      <c r="AD29" s="780"/>
      <c r="AE29" s="57"/>
      <c r="AF29" s="57"/>
      <c r="AG29" s="83"/>
      <c r="AZ29" s="346" t="b">
        <f>IF(D46=Data!$FF$2,Data!$FS$1,IF(D46=Data!$FF$3,Data!$FT$1,IF(D46=Data!$FF$4,Data!$FU$1,IF(D46=Data!$FF$5,Data!$FV$1,IF(D46=Data!$FF$6,Data!$FR$1,IF(D46=Data!$FF$7,Data!$FW$1,IF(D46=Data!$FF$8,Data!$FX$1,IF(D46=Data!$FF$9,Data!$FY$1,IF(D46=Data!$FF$10,Data!$FZ$1,IF(D46=Data!$FF$11,Data!$GY$1,IF(D46=Data!$FF$12,Data!$GZ$1,IF(D46=Data!$FF$13,Data!$GX$1,IF(D46=Data!$FF$14,Data!$GA$1,IF(D46=Data!$FF$15,Data!$GB$1,IF(D46=Data!$FF$16,Data!$GC$1,IF(D46=Data!$FF$17,Data!$GD$1,IF(D46=Data!$FF$18,Data!$GE$1,IF(D46=Data!$FF$19,Data!$GF$1,IF(D46=Data!$FF$20,Data!$GG$1,IF(D46=Data!$FF$21,Data!$GH$1,IF(D46=Data!$FF$22,Data!$GI$1,IF(D46=Data!$FF$23,Data!$GJ$1,IF(D46=Data!$FF$24,Data!$GK$1,IF(D46=Data!$FF$25,Data!$GL$1,IF(D46=Data!$FF$26,Data!$GM$1,IF(D46=Data!$FF$27,Data!$GN$1,IF(D46=Data!$FF$28,Data!$GP$1,IF(D46=Data!$FF$29,Data!$GQ$1,IF(D46=Data!$FF$30,Data!$GR$1,IF(D46=Data!$FF$31,Data!$GS$1,IF(D46=Data!$FF$32,Data!$GT$1,IF(D46=Data!$FF$33,Data!$GU$1,IF(D46=Data!$FF$34,Data!$GV$1,IF(D46=Data!$FF$35,Data!$GW$1,IF(D46=Data!$FF$36,Data!$FZ$13,IF(D46=Data!$FF$37,Data!$GS$12,IF(D46=Data!$FF$38,Data!$GX$12)))))))))))))))))))))))))))))))))))))</f>
        <v>0</v>
      </c>
      <c r="BA29" s="65"/>
      <c r="BC29" s="65"/>
      <c r="BE29" s="65"/>
      <c r="BI29" s="65"/>
      <c r="BJ29" s="54"/>
      <c r="BU29" s="65"/>
      <c r="BV29" s="65"/>
      <c r="BZ29" s="65"/>
      <c r="CE29" s="65"/>
      <c r="CF29" s="65"/>
      <c r="CI29" s="65"/>
      <c r="CJ29" s="65"/>
      <c r="CK29" s="65"/>
      <c r="CO29" s="278"/>
      <c r="CP29" s="65"/>
      <c r="CQ29" s="65"/>
      <c r="CR29" s="65"/>
      <c r="CS29" s="65"/>
      <c r="CT29" s="54"/>
      <c r="CU29" s="65"/>
      <c r="CW29" s="65"/>
      <c r="CX29" s="65"/>
      <c r="DF29" s="65"/>
      <c r="DI29" s="65"/>
      <c r="DL29" s="54"/>
      <c r="DW29" s="65"/>
      <c r="DX29" s="65"/>
      <c r="DY29" s="65"/>
    </row>
    <row r="30" spans="1:154" ht="18" customHeight="1">
      <c r="A30" s="125">
        <v>5</v>
      </c>
      <c r="B30" s="724"/>
      <c r="C30" s="724"/>
      <c r="D30" s="724"/>
      <c r="E30" s="724"/>
      <c r="F30" s="734"/>
      <c r="G30" s="734"/>
      <c r="H30" s="734"/>
      <c r="I30" s="734"/>
      <c r="J30" s="735"/>
      <c r="K30" s="724"/>
      <c r="L30" s="724"/>
      <c r="M30" s="724"/>
      <c r="N30" s="724"/>
      <c r="O30" s="724"/>
      <c r="P30" s="724"/>
      <c r="Q30" s="724"/>
      <c r="R30" s="724"/>
      <c r="S30" s="724"/>
      <c r="T30" s="724"/>
      <c r="U30" s="778"/>
      <c r="V30" s="779"/>
      <c r="W30" s="779"/>
      <c r="X30" s="779"/>
      <c r="Y30" s="779"/>
      <c r="Z30" s="779"/>
      <c r="AA30" s="779"/>
      <c r="AB30" s="779"/>
      <c r="AC30" s="779"/>
      <c r="AD30" s="780"/>
      <c r="AE30" s="57"/>
      <c r="AF30" s="57"/>
      <c r="AG30" s="83"/>
      <c r="AZ30" s="346" t="b">
        <f>IF(D47=Data!$FF$2,Data!$FS$1,IF(D47=Data!$FF$3,Data!$FT$1,IF(D47=Data!$FF$4,Data!$FU$1,IF(D47=Data!$FF$5,Data!$FV$1,IF(D47=Data!$FF$6,Data!$FR$1,IF(D47=Data!$FF$7,Data!$FW$1,IF(D47=Data!$FF$8,Data!$FX$1,IF(D47=Data!$FF$9,Data!$FY$1,IF(D47=Data!$FF$10,Data!$FZ$1,IF(D47=Data!$FF$11,Data!$GY$1,IF(D47=Data!$FF$12,Data!$GZ$1,IF(D47=Data!$FF$13,Data!$GX$1,IF(D47=Data!$FF$14,Data!$GA$1,IF(D47=Data!$FF$15,Data!$GB$1,IF(D47=Data!$FF$16,Data!$GC$1,IF(D47=Data!$FF$17,Data!$GD$1,IF(D47=Data!$FF$18,Data!$GE$1,IF(D47=Data!$FF$19,Data!$GF$1,IF(D47=Data!$FF$20,Data!$GG$1,IF(D47=Data!$FF$21,Data!$GH$1,IF(D47=Data!$FF$22,Data!$GI$1,IF(D47=Data!$FF$23,Data!$GJ$1,IF(D47=Data!$FF$24,Data!$GK$1,IF(D47=Data!$FF$25,Data!$GL$1,IF(D47=Data!$FF$26,Data!$GM$1,IF(D47=Data!$FF$27,Data!$GN$1,IF(D47=Data!$FF$28,Data!$GP$1,IF(D47=Data!$FF$29,Data!$GQ$1,IF(D47=Data!$FF$30,Data!$GR$1,IF(D47=Data!$FF$31,Data!$GS$1,IF(D47=Data!$FF$32,Data!$GT$1,IF(D47=Data!$FF$33,Data!$GU$1,IF(D47=Data!$FF$34,Data!$GV$1,IF(D47=Data!$FF$35,Data!$GW$1,IF(D47=Data!$FF$36,Data!$FZ$13,IF(D47=Data!$FF$37,Data!$GS$12,IF(D47=Data!$FF$38,Data!$GX$12)))))))))))))))))))))))))))))))))))))</f>
        <v>0</v>
      </c>
      <c r="BA30" s="65"/>
      <c r="BC30" s="65"/>
      <c r="BE30" s="65"/>
      <c r="BI30" s="65"/>
      <c r="BJ30" s="54"/>
      <c r="BU30" s="65"/>
      <c r="BV30" s="65"/>
      <c r="BZ30" s="65"/>
      <c r="CE30" s="65"/>
      <c r="CF30" s="65"/>
      <c r="CI30" s="65"/>
      <c r="CJ30" s="65"/>
      <c r="CK30" s="65"/>
      <c r="CO30" s="278"/>
      <c r="CP30" s="65"/>
      <c r="CQ30" s="65"/>
      <c r="CR30" s="65"/>
      <c r="CS30" s="65"/>
      <c r="CT30" s="54"/>
      <c r="CU30" s="65"/>
      <c r="CW30" s="65"/>
      <c r="CX30" s="65"/>
      <c r="DF30" s="65"/>
      <c r="DI30" s="65"/>
      <c r="DL30" s="54"/>
      <c r="DW30" s="65"/>
      <c r="DX30" s="65"/>
      <c r="DY30" s="65"/>
    </row>
    <row r="31" spans="1:154" ht="18" customHeight="1">
      <c r="A31" s="125">
        <v>6</v>
      </c>
      <c r="B31" s="724"/>
      <c r="C31" s="724"/>
      <c r="D31" s="724"/>
      <c r="E31" s="724"/>
      <c r="F31" s="734"/>
      <c r="G31" s="734"/>
      <c r="H31" s="734"/>
      <c r="I31" s="734"/>
      <c r="J31" s="735"/>
      <c r="K31" s="724"/>
      <c r="L31" s="724"/>
      <c r="M31" s="724"/>
      <c r="N31" s="724"/>
      <c r="O31" s="724"/>
      <c r="P31" s="724"/>
      <c r="Q31" s="724"/>
      <c r="R31" s="724"/>
      <c r="S31" s="724"/>
      <c r="T31" s="724"/>
      <c r="U31" s="778"/>
      <c r="V31" s="779"/>
      <c r="W31" s="779"/>
      <c r="X31" s="779"/>
      <c r="Y31" s="779"/>
      <c r="Z31" s="779"/>
      <c r="AA31" s="779"/>
      <c r="AB31" s="779"/>
      <c r="AC31" s="779"/>
      <c r="AD31" s="780"/>
      <c r="AE31" s="57"/>
      <c r="AF31" s="57"/>
      <c r="AG31" s="83"/>
      <c r="AZ31" s="346" t="b">
        <f>IF(D48=Data!$FF$2,Data!$FS$1,IF(D48=Data!$FF$3,Data!$FT$1,IF(D48=Data!$FF$4,Data!$FU$1,IF(D48=Data!$FF$5,Data!$FV$1,IF(D48=Data!$FF$6,Data!$FR$1,IF(D48=Data!$FF$7,Data!$FW$1,IF(D48=Data!$FF$8,Data!$FX$1,IF(D48=Data!$FF$9,Data!$FY$1,IF(D48=Data!$FF$10,Data!$FZ$1,IF(D48=Data!$FF$11,Data!$GY$1,IF(D48=Data!$FF$12,Data!$GZ$1,IF(D48=Data!$FF$13,Data!$GX$1,IF(D48=Data!$FF$14,Data!$GA$1,IF(D48=Data!$FF$15,Data!$GB$1,IF(D48=Data!$FF$16,Data!$GC$1,IF(D48=Data!$FF$17,Data!$GD$1,IF(D48=Data!$FF$18,Data!$GE$1,IF(D48=Data!$FF$19,Data!$GF$1,IF(D48=Data!$FF$20,Data!$GG$1,IF(D48=Data!$FF$21,Data!$GH$1,IF(D48=Data!$FF$22,Data!$GI$1,IF(D48=Data!$FF$23,Data!$GJ$1,IF(D48=Data!$FF$24,Data!$GK$1,IF(D48=Data!$FF$25,Data!$GL$1,IF(D48=Data!$FF$26,Data!$GM$1,IF(D48=Data!$FF$27,Data!$GN$1,IF(D48=Data!$FF$28,Data!$GP$1,IF(D48=Data!$FF$29,Data!$GQ$1,IF(D48=Data!$FF$30,Data!$GR$1,IF(D48=Data!$FF$31,Data!$GS$1,IF(D48=Data!$FF$32,Data!$GT$1,IF(D48=Data!$FF$33,Data!$GU$1,IF(D48=Data!$FF$34,Data!$GV$1,IF(D48=Data!$FF$35,Data!$GW$1,IF(D48=Data!$FF$36,Data!$FZ$13,IF(D48=Data!$FF$37,Data!$GS$12,IF(D48=Data!$FF$38,Data!$GX$12)))))))))))))))))))))))))))))))))))))</f>
        <v>0</v>
      </c>
      <c r="BA31" s="65"/>
      <c r="BC31" s="65"/>
      <c r="BE31" s="65"/>
      <c r="BI31" s="65"/>
      <c r="BJ31" s="54"/>
      <c r="BU31" s="65"/>
      <c r="BV31" s="65"/>
      <c r="BZ31" s="65"/>
      <c r="CE31" s="65"/>
      <c r="CF31" s="65"/>
      <c r="CI31" s="65"/>
      <c r="CJ31" s="65"/>
      <c r="CK31" s="65"/>
      <c r="CO31" s="278"/>
      <c r="CP31" s="65"/>
      <c r="CQ31" s="65"/>
      <c r="CR31" s="65"/>
      <c r="CS31" s="65"/>
      <c r="CT31" s="54"/>
      <c r="CU31" s="65"/>
      <c r="CW31" s="65"/>
      <c r="CX31" s="65"/>
      <c r="DF31" s="65"/>
      <c r="DI31" s="65"/>
      <c r="DL31" s="54"/>
      <c r="DW31" s="65"/>
      <c r="DX31" s="65"/>
      <c r="DY31" s="65"/>
    </row>
    <row r="32" spans="1:154" ht="18" customHeight="1">
      <c r="A32" s="125">
        <v>7</v>
      </c>
      <c r="B32" s="724"/>
      <c r="C32" s="724"/>
      <c r="D32" s="724"/>
      <c r="E32" s="724"/>
      <c r="F32" s="734"/>
      <c r="G32" s="734"/>
      <c r="H32" s="734"/>
      <c r="I32" s="734"/>
      <c r="J32" s="735"/>
      <c r="K32" s="724"/>
      <c r="L32" s="724"/>
      <c r="M32" s="724"/>
      <c r="N32" s="724"/>
      <c r="O32" s="724"/>
      <c r="P32" s="724"/>
      <c r="Q32" s="724"/>
      <c r="R32" s="724"/>
      <c r="S32" s="724"/>
      <c r="T32" s="724"/>
      <c r="U32" s="778"/>
      <c r="V32" s="779"/>
      <c r="W32" s="779"/>
      <c r="X32" s="779"/>
      <c r="Y32" s="779"/>
      <c r="Z32" s="779"/>
      <c r="AA32" s="779"/>
      <c r="AB32" s="779"/>
      <c r="AC32" s="779"/>
      <c r="AD32" s="780"/>
      <c r="AE32" s="57"/>
      <c r="AF32" s="57"/>
      <c r="AG32" s="83"/>
      <c r="AZ32" s="346" t="b">
        <f>IF(D49=Data!$FF$2,Data!$FS$1,IF(D49=Data!$FF$3,Data!$FT$1,IF(D49=Data!$FF$4,Data!$FU$1,IF(D49=Data!$FF$5,Data!$FV$1,IF(D49=Data!$FF$6,Data!$FR$1,IF(D49=Data!$FF$7,Data!$FW$1,IF(D49=Data!$FF$8,Data!$FX$1,IF(D49=Data!$FF$9,Data!$FY$1,IF(D49=Data!$FF$10,Data!$FZ$1,IF(D49=Data!$FF$11,Data!$GY$1,IF(D49=Data!$FF$12,Data!$GZ$1,IF(D49=Data!$FF$13,Data!$GX$1,IF(D49=Data!$FF$14,Data!$GA$1,IF(D49=Data!$FF$15,Data!$GB$1,IF(D49=Data!$FF$16,Data!$GC$1,IF(D49=Data!$FF$17,Data!$GD$1,IF(D49=Data!$FF$18,Data!$GE$1,IF(D49=Data!$FF$19,Data!$GF$1,IF(D49=Data!$FF$20,Data!$GG$1,IF(D49=Data!$FF$21,Data!$GH$1,IF(D49=Data!$FF$22,Data!$GI$1,IF(D49=Data!$FF$23,Data!$GJ$1,IF(D49=Data!$FF$24,Data!$GK$1,IF(D49=Data!$FF$25,Data!$GL$1,IF(D49=Data!$FF$26,Data!$GM$1,IF(D49=Data!$FF$27,Data!$GN$1,IF(D49=Data!$FF$28,Data!$GP$1,IF(D49=Data!$FF$29,Data!$GQ$1,IF(D49=Data!$FF$30,Data!$GR$1,IF(D49=Data!$FF$31,Data!$GS$1,IF(D49=Data!$FF$32,Data!$GT$1,IF(D49=Data!$FF$33,Data!$GU$1,IF(D49=Data!$FF$34,Data!$GV$1,IF(D49=Data!$FF$35,Data!$GW$1,IF(D49=Data!$FF$36,Data!$FZ$13,IF(D49=Data!$FF$37,Data!$GS$12,IF(D49=Data!$FF$38,Data!$GX$12)))))))))))))))))))))))))))))))))))))</f>
        <v>0</v>
      </c>
      <c r="BA32" s="65"/>
      <c r="BC32" s="65"/>
      <c r="BE32" s="65"/>
      <c r="BI32" s="65"/>
      <c r="BJ32" s="54"/>
      <c r="BU32" s="65"/>
      <c r="BV32" s="65"/>
      <c r="BZ32" s="65"/>
      <c r="CE32" s="65"/>
      <c r="CF32" s="65"/>
      <c r="CI32" s="65"/>
      <c r="CJ32" s="65"/>
      <c r="CK32" s="65"/>
      <c r="CO32" s="278"/>
      <c r="CP32" s="65"/>
      <c r="CQ32" s="65"/>
      <c r="CR32" s="65"/>
      <c r="CS32" s="65"/>
      <c r="CT32" s="54"/>
      <c r="CU32" s="65"/>
      <c r="CW32" s="65"/>
      <c r="CX32" s="65"/>
      <c r="DF32" s="65"/>
      <c r="DI32" s="65"/>
      <c r="DL32" s="54"/>
      <c r="DW32" s="65"/>
      <c r="DX32" s="65"/>
      <c r="DY32" s="65"/>
    </row>
    <row r="33" spans="1:129" ht="18" customHeight="1">
      <c r="A33" s="125">
        <v>8</v>
      </c>
      <c r="B33" s="724"/>
      <c r="C33" s="724"/>
      <c r="D33" s="724"/>
      <c r="E33" s="724"/>
      <c r="F33" s="734"/>
      <c r="G33" s="734"/>
      <c r="H33" s="734"/>
      <c r="I33" s="734"/>
      <c r="J33" s="735"/>
      <c r="K33" s="724"/>
      <c r="L33" s="724"/>
      <c r="M33" s="724"/>
      <c r="N33" s="724"/>
      <c r="O33" s="724"/>
      <c r="P33" s="724"/>
      <c r="Q33" s="724"/>
      <c r="R33" s="724"/>
      <c r="S33" s="724"/>
      <c r="T33" s="724"/>
      <c r="U33" s="778"/>
      <c r="V33" s="779"/>
      <c r="W33" s="779"/>
      <c r="X33" s="779"/>
      <c r="Y33" s="779"/>
      <c r="Z33" s="779"/>
      <c r="AA33" s="779"/>
      <c r="AB33" s="779"/>
      <c r="AC33" s="779"/>
      <c r="AD33" s="780"/>
      <c r="AE33" s="57"/>
      <c r="AF33" s="57"/>
      <c r="AG33" s="83"/>
      <c r="AZ33" s="346" t="b">
        <f>IF(D50=Data!$FF$2,Data!$FS$1,IF(D50=Data!$FF$3,Data!$FT$1,IF(D50=Data!$FF$4,Data!$FU$1,IF(D50=Data!$FF$5,Data!$FV$1,IF(D50=Data!$FF$6,Data!$FR$1,IF(D50=Data!$FF$7,Data!$FW$1,IF(D50=Data!$FF$8,Data!$FX$1,IF(D50=Data!$FF$9,Data!$FY$1,IF(D50=Data!$FF$10,Data!$FZ$1,IF(D50=Data!$FF$11,Data!$GY$1,IF(D50=Data!$FF$12,Data!$GZ$1,IF(D50=Data!$FF$13,Data!$GX$1,IF(D50=Data!$FF$14,Data!$GA$1,IF(D50=Data!$FF$15,Data!$GB$1,IF(D50=Data!$FF$16,Data!$GC$1,IF(D50=Data!$FF$17,Data!$GD$1,IF(D50=Data!$FF$18,Data!$GE$1,IF(D50=Data!$FF$19,Data!$GF$1,IF(D50=Data!$FF$20,Data!$GG$1,IF(D50=Data!$FF$21,Data!$GH$1,IF(D50=Data!$FF$22,Data!$GI$1,IF(D50=Data!$FF$23,Data!$GJ$1,IF(D50=Data!$FF$24,Data!$GK$1,IF(D50=Data!$FF$25,Data!$GL$1,IF(D50=Data!$FF$26,Data!$GM$1,IF(D50=Data!$FF$27,Data!$GN$1,IF(D50=Data!$FF$28,Data!$GP$1,IF(D50=Data!$FF$29,Data!$GQ$1,IF(D50=Data!$FF$30,Data!$GR$1,IF(D50=Data!$FF$31,Data!$GS$1,IF(D50=Data!$FF$32,Data!$GT$1,IF(D50=Data!$FF$33,Data!$GU$1,IF(D50=Data!$FF$34,Data!$GV$1,IF(D50=Data!$FF$35,Data!$GW$1,IF(D50=Data!$FF$36,Data!$FZ$13,IF(D50=Data!$FF$37,Data!$GS$12,IF(D50=Data!$FF$38,Data!$GX$12)))))))))))))))))))))))))))))))))))))</f>
        <v>0</v>
      </c>
      <c r="BA33" s="65"/>
      <c r="BC33" s="65"/>
      <c r="BE33" s="65"/>
      <c r="BI33" s="65"/>
      <c r="BJ33" s="54"/>
      <c r="BU33" s="65"/>
      <c r="BV33" s="65"/>
      <c r="BZ33" s="65"/>
      <c r="CE33" s="65"/>
      <c r="CF33" s="65"/>
      <c r="CI33" s="65"/>
      <c r="CJ33" s="65"/>
      <c r="CK33" s="65"/>
      <c r="CO33" s="278"/>
      <c r="CP33" s="65"/>
      <c r="CQ33" s="65"/>
      <c r="CR33" s="65"/>
      <c r="CS33" s="65"/>
      <c r="CT33" s="54"/>
      <c r="CU33" s="65"/>
      <c r="CW33" s="65"/>
      <c r="CX33" s="65"/>
      <c r="DF33" s="65"/>
      <c r="DI33" s="65"/>
      <c r="DL33" s="54"/>
      <c r="DW33" s="65"/>
      <c r="DX33" s="65"/>
      <c r="DY33" s="65"/>
    </row>
    <row r="34" spans="1:129" ht="18" customHeight="1">
      <c r="A34" s="125">
        <v>9</v>
      </c>
      <c r="B34" s="724"/>
      <c r="C34" s="724"/>
      <c r="D34" s="724"/>
      <c r="E34" s="724"/>
      <c r="F34" s="734"/>
      <c r="G34" s="734"/>
      <c r="H34" s="734"/>
      <c r="I34" s="734"/>
      <c r="J34" s="735"/>
      <c r="K34" s="724"/>
      <c r="L34" s="724"/>
      <c r="M34" s="724"/>
      <c r="N34" s="724"/>
      <c r="O34" s="724"/>
      <c r="P34" s="724"/>
      <c r="Q34" s="724"/>
      <c r="R34" s="724"/>
      <c r="S34" s="724"/>
      <c r="T34" s="724"/>
      <c r="U34" s="778"/>
      <c r="V34" s="779"/>
      <c r="W34" s="779"/>
      <c r="X34" s="779"/>
      <c r="Y34" s="779"/>
      <c r="Z34" s="779"/>
      <c r="AA34" s="779"/>
      <c r="AB34" s="779"/>
      <c r="AC34" s="779"/>
      <c r="AD34" s="780"/>
      <c r="AE34" s="57"/>
      <c r="AF34" s="57"/>
      <c r="AG34" s="83"/>
      <c r="AZ34" s="346" t="b">
        <f>IF(D51=Data!$FF$2,Data!$FS$1,IF(D51=Data!$FF$3,Data!$FT$1,IF(D51=Data!$FF$4,Data!$FU$1,IF(D51=Data!$FF$5,Data!$FV$1,IF(D51=Data!$FF$6,Data!$FR$1,IF(D51=Data!$FF$7,Data!$FW$1,IF(D51=Data!$FF$8,Data!$FX$1,IF(D51=Data!$FF$9,Data!$FY$1,IF(D51=Data!$FF$10,Data!$FZ$1,IF(D51=Data!$FF$11,Data!$GY$1,IF(D51=Data!$FF$12,Data!$GZ$1,IF(D51=Data!$FF$13,Data!$GX$1,IF(D51=Data!$FF$14,Data!$GA$1,IF(D51=Data!$FF$15,Data!$GB$1,IF(D51=Data!$FF$16,Data!$GC$1,IF(D51=Data!$FF$17,Data!$GD$1,IF(D51=Data!$FF$18,Data!$GE$1,IF(D51=Data!$FF$19,Data!$GF$1,IF(D51=Data!$FF$20,Data!$GG$1,IF(D51=Data!$FF$21,Data!$GH$1,IF(D51=Data!$FF$22,Data!$GI$1,IF(D51=Data!$FF$23,Data!$GJ$1,IF(D51=Data!$FF$24,Data!$GK$1,IF(D51=Data!$FF$25,Data!$GL$1,IF(D51=Data!$FF$26,Data!$GM$1,IF(D51=Data!$FF$27,Data!$GN$1,IF(D51=Data!$FF$28,Data!$GP$1,IF(D51=Data!$FF$29,Data!$GQ$1,IF(D51=Data!$FF$30,Data!$GR$1,IF(D51=Data!$FF$31,Data!$GS$1,IF(D51=Data!$FF$32,Data!$GT$1,IF(D51=Data!$FF$33,Data!$GU$1,IF(D51=Data!$FF$34,Data!$GV$1,IF(D51=Data!$FF$35,Data!$GW$1,IF(D51=Data!$FF$36,Data!$FZ$13,IF(D51=Data!$FF$37,Data!$GS$12,IF(D51=Data!$FF$38,Data!$GX$12)))))))))))))))))))))))))))))))))))))</f>
        <v>0</v>
      </c>
      <c r="BA34" s="65"/>
      <c r="BC34" s="65"/>
      <c r="BE34" s="65"/>
      <c r="BI34" s="65"/>
      <c r="BJ34" s="54"/>
      <c r="BU34" s="65"/>
      <c r="BV34" s="65"/>
      <c r="BZ34" s="65"/>
      <c r="CE34" s="65"/>
      <c r="CF34" s="65"/>
      <c r="CI34" s="65"/>
      <c r="CJ34" s="65"/>
      <c r="CK34" s="65"/>
      <c r="CO34" s="278"/>
      <c r="CP34" s="65"/>
      <c r="CQ34" s="65"/>
      <c r="CR34" s="65"/>
      <c r="CS34" s="65"/>
      <c r="CT34" s="54"/>
      <c r="CU34" s="65"/>
      <c r="CW34" s="65"/>
      <c r="CX34" s="65"/>
      <c r="DF34" s="65"/>
      <c r="DI34" s="65"/>
      <c r="DL34" s="54"/>
      <c r="DW34" s="65"/>
      <c r="DX34" s="65"/>
      <c r="DY34" s="65"/>
    </row>
    <row r="35" spans="1:129" ht="18" customHeight="1">
      <c r="A35" s="125">
        <v>10</v>
      </c>
      <c r="B35" s="724"/>
      <c r="C35" s="724"/>
      <c r="D35" s="724"/>
      <c r="E35" s="724"/>
      <c r="F35" s="734"/>
      <c r="G35" s="734"/>
      <c r="H35" s="734"/>
      <c r="I35" s="734"/>
      <c r="J35" s="735"/>
      <c r="K35" s="724"/>
      <c r="L35" s="724"/>
      <c r="M35" s="724"/>
      <c r="N35" s="724"/>
      <c r="O35" s="724"/>
      <c r="P35" s="724"/>
      <c r="Q35" s="724"/>
      <c r="R35" s="724"/>
      <c r="S35" s="724"/>
      <c r="T35" s="724"/>
      <c r="U35" s="778"/>
      <c r="V35" s="779"/>
      <c r="W35" s="779"/>
      <c r="X35" s="779"/>
      <c r="Y35" s="779"/>
      <c r="Z35" s="779"/>
      <c r="AA35" s="779"/>
      <c r="AB35" s="779"/>
      <c r="AC35" s="779"/>
      <c r="AD35" s="780"/>
      <c r="AE35" s="57"/>
      <c r="AF35" s="57"/>
      <c r="AG35" s="83"/>
      <c r="AZ35" s="346" t="b">
        <f>IF(D52=Data!$FF$2,Data!$FS$1,IF(D52=Data!$FF$3,Data!$FT$1,IF(D52=Data!$FF$4,Data!$FU$1,IF(D52=Data!$FF$5,Data!$FV$1,IF(D52=Data!$FF$6,Data!$FR$1,IF(D52=Data!$FF$7,Data!$FW$1,IF(D52=Data!$FF$8,Data!$FX$1,IF(D52=Data!$FF$9,Data!$FY$1,IF(D52=Data!$FF$10,Data!$FZ$1,IF(D52=Data!$FF$11,Data!$GY$1,IF(D52=Data!$FF$12,Data!$GZ$1,IF(D52=Data!$FF$13,Data!$GX$1,IF(D52=Data!$FF$14,Data!$GA$1,IF(D52=Data!$FF$15,Data!$GB$1,IF(D52=Data!$FF$16,Data!$GC$1,IF(D52=Data!$FF$17,Data!$GD$1,IF(D52=Data!$FF$18,Data!$GE$1,IF(D52=Data!$FF$19,Data!$GF$1,IF(D52=Data!$FF$20,Data!$GG$1,IF(D52=Data!$FF$21,Data!$GH$1,IF(D52=Data!$FF$22,Data!$GI$1,IF(D52=Data!$FF$23,Data!$GJ$1,IF(D52=Data!$FF$24,Data!$GK$1,IF(D52=Data!$FF$25,Data!$GL$1,IF(D52=Data!$FF$26,Data!$GM$1,IF(D52=Data!$FF$27,Data!$GN$1,IF(D52=Data!$FF$28,Data!$GP$1,IF(D52=Data!$FF$29,Data!$GQ$1,IF(D52=Data!$FF$30,Data!$GR$1,IF(D52=Data!$FF$31,Data!$GS$1,IF(D52=Data!$FF$32,Data!$GT$1,IF(D52=Data!$FF$33,Data!$GU$1,IF(D52=Data!$FF$34,Data!$GV$1,IF(D52=Data!$FF$35,Data!$GW$1,IF(D52=Data!$FF$36,Data!$FZ$13,IF(D52=Data!$FF$37,Data!$GS$12,IF(D52=Data!$FF$38,Data!$GX$12)))))))))))))))))))))))))))))))))))))</f>
        <v>0</v>
      </c>
      <c r="BA35" s="65"/>
      <c r="BC35" s="65"/>
      <c r="BE35" s="65"/>
      <c r="BI35" s="65"/>
      <c r="BJ35" s="54"/>
      <c r="BU35" s="65"/>
      <c r="BV35" s="65"/>
      <c r="BZ35" s="65"/>
      <c r="CE35" s="65"/>
      <c r="CF35" s="65"/>
      <c r="CI35" s="65"/>
      <c r="CJ35" s="65"/>
      <c r="CK35" s="65"/>
      <c r="CO35" s="278"/>
      <c r="CP35" s="65"/>
      <c r="CQ35" s="65"/>
      <c r="CR35" s="65"/>
      <c r="CS35" s="65"/>
      <c r="CT35" s="54"/>
      <c r="CU35" s="65"/>
      <c r="CW35" s="65"/>
      <c r="CX35" s="65"/>
      <c r="DF35" s="65"/>
      <c r="DI35" s="65"/>
      <c r="DL35" s="54"/>
      <c r="DW35" s="65"/>
      <c r="DX35" s="65"/>
      <c r="DY35" s="65"/>
    </row>
    <row r="36" spans="1:129" ht="18" customHeight="1">
      <c r="A36" s="125">
        <v>11</v>
      </c>
      <c r="B36" s="724"/>
      <c r="C36" s="724"/>
      <c r="D36" s="724"/>
      <c r="E36" s="724"/>
      <c r="F36" s="734"/>
      <c r="G36" s="734"/>
      <c r="H36" s="734"/>
      <c r="I36" s="734"/>
      <c r="J36" s="735"/>
      <c r="K36" s="724"/>
      <c r="L36" s="724"/>
      <c r="M36" s="724"/>
      <c r="N36" s="724"/>
      <c r="O36" s="724"/>
      <c r="P36" s="724"/>
      <c r="Q36" s="724"/>
      <c r="R36" s="724"/>
      <c r="S36" s="724"/>
      <c r="T36" s="724"/>
      <c r="U36" s="778"/>
      <c r="V36" s="779"/>
      <c r="W36" s="779"/>
      <c r="X36" s="779"/>
      <c r="Y36" s="779"/>
      <c r="Z36" s="779"/>
      <c r="AA36" s="779"/>
      <c r="AB36" s="779"/>
      <c r="AC36" s="779"/>
      <c r="AD36" s="780"/>
      <c r="AE36" s="57"/>
      <c r="AF36" s="57"/>
      <c r="AG36" s="83"/>
      <c r="BA36" s="65"/>
      <c r="BC36" s="65"/>
      <c r="BE36" s="65"/>
      <c r="BI36" s="65"/>
      <c r="BJ36" s="54"/>
      <c r="BU36" s="65"/>
      <c r="BV36" s="65"/>
      <c r="BZ36" s="65"/>
      <c r="CE36" s="65"/>
      <c r="CF36" s="65"/>
      <c r="CI36" s="65"/>
      <c r="CJ36" s="65"/>
      <c r="CK36" s="65"/>
      <c r="CO36" s="278"/>
      <c r="CP36" s="65"/>
      <c r="CQ36" s="65"/>
      <c r="CR36" s="65"/>
      <c r="CS36" s="65"/>
      <c r="CT36" s="54"/>
      <c r="CU36" s="65"/>
      <c r="CW36" s="65"/>
      <c r="CX36" s="65"/>
      <c r="DF36" s="65"/>
      <c r="DI36" s="65"/>
      <c r="DL36" s="54"/>
      <c r="DW36" s="65"/>
      <c r="DX36" s="65"/>
      <c r="DY36" s="65"/>
    </row>
    <row r="37" spans="1:129" ht="18" customHeight="1">
      <c r="A37" s="125">
        <v>12</v>
      </c>
      <c r="B37" s="724"/>
      <c r="C37" s="724"/>
      <c r="D37" s="724"/>
      <c r="E37" s="724"/>
      <c r="F37" s="734"/>
      <c r="G37" s="734"/>
      <c r="H37" s="734"/>
      <c r="I37" s="734"/>
      <c r="J37" s="735"/>
      <c r="K37" s="724"/>
      <c r="L37" s="724"/>
      <c r="M37" s="724"/>
      <c r="N37" s="724"/>
      <c r="O37" s="724"/>
      <c r="P37" s="724"/>
      <c r="Q37" s="724"/>
      <c r="R37" s="724"/>
      <c r="S37" s="724"/>
      <c r="T37" s="724"/>
      <c r="U37" s="778"/>
      <c r="V37" s="779"/>
      <c r="W37" s="779"/>
      <c r="X37" s="779"/>
      <c r="Y37" s="779"/>
      <c r="Z37" s="779"/>
      <c r="AA37" s="779"/>
      <c r="AB37" s="779"/>
      <c r="AC37" s="779"/>
      <c r="AD37" s="780"/>
      <c r="AE37" s="57"/>
      <c r="AF37" s="57"/>
      <c r="AG37" s="83"/>
      <c r="BA37" s="65"/>
      <c r="BC37" s="65"/>
      <c r="BE37" s="65"/>
      <c r="BI37" s="65"/>
      <c r="BJ37" s="54"/>
      <c r="BU37" s="65"/>
      <c r="BV37" s="65"/>
      <c r="BZ37" s="65"/>
      <c r="CE37" s="65"/>
      <c r="CF37" s="65"/>
      <c r="CI37" s="65"/>
      <c r="CJ37" s="65"/>
      <c r="CK37" s="65"/>
      <c r="CO37" s="278"/>
      <c r="CP37" s="65"/>
      <c r="CQ37" s="65"/>
      <c r="CR37" s="65"/>
      <c r="CS37" s="65"/>
      <c r="CT37" s="54"/>
      <c r="CU37" s="65"/>
      <c r="CW37" s="65"/>
      <c r="CX37" s="65"/>
      <c r="DF37" s="65"/>
      <c r="DI37" s="65"/>
      <c r="DL37" s="54"/>
      <c r="DW37" s="65"/>
      <c r="DX37" s="65"/>
      <c r="DY37" s="65"/>
    </row>
    <row r="38" spans="1:129" ht="18" customHeight="1">
      <c r="A38" s="125">
        <v>13</v>
      </c>
      <c r="B38" s="724"/>
      <c r="C38" s="724"/>
      <c r="D38" s="724"/>
      <c r="E38" s="724"/>
      <c r="F38" s="734"/>
      <c r="G38" s="734"/>
      <c r="H38" s="734"/>
      <c r="I38" s="734"/>
      <c r="J38" s="735"/>
      <c r="K38" s="724"/>
      <c r="L38" s="724"/>
      <c r="M38" s="724"/>
      <c r="N38" s="724"/>
      <c r="O38" s="724"/>
      <c r="P38" s="724"/>
      <c r="Q38" s="724"/>
      <c r="R38" s="724"/>
      <c r="S38" s="724"/>
      <c r="T38" s="724"/>
      <c r="U38" s="778"/>
      <c r="V38" s="779"/>
      <c r="W38" s="779"/>
      <c r="X38" s="779"/>
      <c r="Y38" s="779"/>
      <c r="Z38" s="779"/>
      <c r="AA38" s="779"/>
      <c r="AB38" s="779"/>
      <c r="AC38" s="779"/>
      <c r="AD38" s="780"/>
      <c r="AE38" s="57"/>
      <c r="AF38" s="57"/>
      <c r="AG38" s="83"/>
      <c r="BA38" s="65"/>
      <c r="BC38" s="65"/>
      <c r="BE38" s="65"/>
      <c r="BI38" s="65"/>
      <c r="BJ38" s="54"/>
      <c r="BU38" s="65"/>
      <c r="BV38" s="65"/>
      <c r="BZ38" s="65"/>
      <c r="CE38" s="65"/>
      <c r="CF38" s="65"/>
      <c r="CI38" s="65"/>
      <c r="CJ38" s="65"/>
      <c r="CK38" s="65"/>
      <c r="CO38" s="278"/>
      <c r="CP38" s="65"/>
      <c r="CQ38" s="65"/>
      <c r="CR38" s="65"/>
      <c r="CS38" s="65"/>
      <c r="CT38" s="54"/>
      <c r="CU38" s="65"/>
      <c r="CW38" s="65"/>
      <c r="CX38" s="65"/>
      <c r="DF38" s="65"/>
      <c r="DI38" s="65"/>
      <c r="DL38" s="54"/>
      <c r="DW38" s="65"/>
      <c r="DX38" s="65"/>
      <c r="DY38" s="65"/>
    </row>
    <row r="39" spans="1:129" ht="18" customHeight="1">
      <c r="A39" s="125">
        <v>14</v>
      </c>
      <c r="B39" s="724"/>
      <c r="C39" s="724"/>
      <c r="D39" s="724"/>
      <c r="E39" s="724"/>
      <c r="F39" s="734"/>
      <c r="G39" s="734"/>
      <c r="H39" s="734"/>
      <c r="I39" s="734"/>
      <c r="J39" s="735"/>
      <c r="K39" s="724"/>
      <c r="L39" s="724"/>
      <c r="M39" s="724"/>
      <c r="N39" s="724"/>
      <c r="O39" s="724"/>
      <c r="P39" s="724"/>
      <c r="Q39" s="724"/>
      <c r="R39" s="724"/>
      <c r="S39" s="724"/>
      <c r="T39" s="724"/>
      <c r="U39" s="778"/>
      <c r="V39" s="779"/>
      <c r="W39" s="779"/>
      <c r="X39" s="779"/>
      <c r="Y39" s="779"/>
      <c r="Z39" s="779"/>
      <c r="AA39" s="779"/>
      <c r="AB39" s="779"/>
      <c r="AC39" s="779"/>
      <c r="AD39" s="780"/>
      <c r="AE39" s="57"/>
      <c r="AF39" s="57"/>
      <c r="AG39" s="83"/>
      <c r="BA39" s="65"/>
      <c r="BC39" s="65"/>
      <c r="BE39" s="65"/>
      <c r="BI39" s="65"/>
      <c r="BJ39" s="54"/>
      <c r="BU39" s="65"/>
      <c r="BV39" s="65"/>
      <c r="BZ39" s="65"/>
      <c r="CE39" s="65"/>
      <c r="CF39" s="65"/>
      <c r="CI39" s="65"/>
      <c r="CJ39" s="65"/>
      <c r="CK39" s="65"/>
      <c r="CO39" s="278"/>
      <c r="CP39" s="65"/>
      <c r="CQ39" s="65"/>
      <c r="CR39" s="65"/>
      <c r="CS39" s="65"/>
      <c r="CT39" s="54"/>
      <c r="CU39" s="65"/>
      <c r="CW39" s="65"/>
      <c r="CX39" s="65"/>
      <c r="DF39" s="65"/>
      <c r="DI39" s="65"/>
      <c r="DL39" s="54"/>
      <c r="DW39" s="65"/>
      <c r="DX39" s="65"/>
      <c r="DY39" s="65"/>
    </row>
    <row r="40" spans="1:129" ht="18" customHeight="1" thickBot="1">
      <c r="A40" s="126">
        <v>15</v>
      </c>
      <c r="B40" s="726"/>
      <c r="C40" s="726"/>
      <c r="D40" s="726"/>
      <c r="E40" s="726"/>
      <c r="F40" s="765"/>
      <c r="G40" s="765"/>
      <c r="H40" s="765"/>
      <c r="I40" s="765"/>
      <c r="J40" s="766"/>
      <c r="K40" s="726"/>
      <c r="L40" s="726"/>
      <c r="M40" s="726"/>
      <c r="N40" s="726"/>
      <c r="O40" s="726"/>
      <c r="P40" s="726"/>
      <c r="Q40" s="726"/>
      <c r="R40" s="726"/>
      <c r="S40" s="726"/>
      <c r="T40" s="726"/>
      <c r="U40" s="781"/>
      <c r="V40" s="782"/>
      <c r="W40" s="782"/>
      <c r="X40" s="782"/>
      <c r="Y40" s="782"/>
      <c r="Z40" s="782"/>
      <c r="AA40" s="782"/>
      <c r="AB40" s="782"/>
      <c r="AC40" s="782"/>
      <c r="AD40" s="783"/>
      <c r="AE40" s="57"/>
      <c r="AF40" s="57"/>
      <c r="BA40" s="65"/>
      <c r="BC40" s="65"/>
      <c r="BE40" s="65"/>
      <c r="BI40" s="65"/>
      <c r="BJ40" s="54"/>
      <c r="BU40" s="65"/>
      <c r="BV40" s="65"/>
      <c r="BZ40" s="65"/>
      <c r="CE40" s="65"/>
      <c r="CF40" s="65"/>
      <c r="CI40" s="65"/>
      <c r="CJ40" s="65"/>
      <c r="CK40" s="65"/>
      <c r="CO40" s="278"/>
      <c r="CP40" s="65"/>
      <c r="CQ40" s="65"/>
      <c r="CR40" s="65"/>
      <c r="CS40" s="65"/>
      <c r="CT40" s="54"/>
      <c r="CU40" s="65"/>
      <c r="CW40" s="65"/>
      <c r="CX40" s="65"/>
      <c r="DF40" s="65"/>
      <c r="DI40" s="65"/>
      <c r="DL40" s="54"/>
      <c r="DW40" s="65"/>
      <c r="DX40" s="65"/>
      <c r="DY40" s="65"/>
    </row>
    <row r="41" spans="1:129" ht="16.5" thickTop="1" thickBot="1">
      <c r="A41" s="84"/>
      <c r="B41" s="727" t="s">
        <v>967</v>
      </c>
      <c r="C41" s="727"/>
      <c r="D41" s="727"/>
      <c r="E41" s="727"/>
      <c r="F41" s="727"/>
      <c r="G41" s="727"/>
      <c r="H41" s="727"/>
      <c r="I41" s="727"/>
      <c r="J41" s="166"/>
      <c r="K41" s="166"/>
      <c r="L41" s="166"/>
      <c r="M41" s="166"/>
      <c r="N41" s="166"/>
      <c r="O41" s="166"/>
      <c r="P41" s="166"/>
      <c r="Q41" s="166"/>
      <c r="R41" s="123"/>
      <c r="S41" s="123"/>
      <c r="T41" s="123"/>
      <c r="U41" s="123"/>
      <c r="V41" s="123"/>
      <c r="W41" s="123"/>
      <c r="X41" s="57"/>
      <c r="Y41" s="57"/>
      <c r="Z41" s="57"/>
      <c r="AA41" s="57"/>
      <c r="AB41" s="57"/>
      <c r="AC41" s="57"/>
      <c r="AD41" s="57"/>
      <c r="AE41" s="57"/>
      <c r="AF41" s="57"/>
      <c r="AG41" s="57"/>
      <c r="BA41" s="65"/>
      <c r="BC41" s="65"/>
      <c r="BE41" s="65"/>
      <c r="BI41" s="65"/>
      <c r="BJ41" s="54"/>
      <c r="BU41" s="65"/>
      <c r="BV41" s="65"/>
      <c r="BZ41" s="65"/>
      <c r="CE41" s="65"/>
      <c r="CF41" s="65"/>
      <c r="CI41" s="65"/>
      <c r="CJ41" s="65"/>
      <c r="CK41" s="65"/>
      <c r="CO41" s="278"/>
      <c r="CP41" s="65"/>
      <c r="CQ41" s="65"/>
      <c r="CR41" s="65"/>
      <c r="CS41" s="65"/>
      <c r="CT41" s="54"/>
      <c r="CU41" s="65"/>
      <c r="CW41" s="65"/>
      <c r="CX41" s="65"/>
      <c r="DF41" s="65"/>
      <c r="DI41" s="65"/>
      <c r="DL41" s="54"/>
      <c r="DW41" s="65"/>
      <c r="DX41" s="65"/>
      <c r="DY41" s="65"/>
    </row>
    <row r="42" spans="1:129" s="185" customFormat="1" ht="30.75" thickBot="1">
      <c r="A42" s="212" t="s">
        <v>968</v>
      </c>
      <c r="B42" s="213" t="s">
        <v>726</v>
      </c>
      <c r="C42" s="214" t="s">
        <v>733</v>
      </c>
      <c r="D42" s="767" t="s">
        <v>728</v>
      </c>
      <c r="E42" s="767"/>
      <c r="F42" s="767"/>
      <c r="G42" s="767"/>
      <c r="H42" s="767"/>
      <c r="I42" s="805" t="s">
        <v>151</v>
      </c>
      <c r="J42" s="805"/>
      <c r="K42" s="804" t="s">
        <v>152</v>
      </c>
      <c r="L42" s="804"/>
      <c r="M42" s="215" t="s">
        <v>726</v>
      </c>
      <c r="N42" s="785" t="s">
        <v>727</v>
      </c>
      <c r="O42" s="786"/>
      <c r="P42" s="786"/>
      <c r="Q42" s="786"/>
      <c r="R42" s="786"/>
      <c r="S42" s="786"/>
      <c r="T42" s="787"/>
      <c r="U42" s="784" t="s">
        <v>152</v>
      </c>
      <c r="V42" s="784"/>
      <c r="W42" s="784"/>
      <c r="X42" s="784"/>
      <c r="Y42" s="784"/>
      <c r="Z42" s="789" t="s">
        <v>779</v>
      </c>
      <c r="AA42" s="789"/>
      <c r="AB42" s="789"/>
      <c r="AC42" s="789"/>
      <c r="AD42" s="790"/>
      <c r="AE42" s="216"/>
      <c r="AF42" s="216"/>
      <c r="AG42" s="216"/>
      <c r="CO42" s="345"/>
    </row>
    <row r="43" spans="1:129" ht="15" customHeight="1" thickTop="1">
      <c r="A43" s="136">
        <v>1</v>
      </c>
      <c r="B43" s="209"/>
      <c r="C43" s="140"/>
      <c r="D43" s="725"/>
      <c r="E43" s="725"/>
      <c r="F43" s="725"/>
      <c r="G43" s="725"/>
      <c r="H43" s="725"/>
      <c r="I43" s="806"/>
      <c r="J43" s="806"/>
      <c r="K43" s="788"/>
      <c r="L43" s="788"/>
      <c r="M43" s="138"/>
      <c r="N43" s="788"/>
      <c r="O43" s="788"/>
      <c r="P43" s="788"/>
      <c r="Q43" s="788"/>
      <c r="R43" s="788"/>
      <c r="S43" s="788"/>
      <c r="T43" s="788"/>
      <c r="U43" s="795"/>
      <c r="V43" s="795"/>
      <c r="W43" s="795"/>
      <c r="X43" s="795"/>
      <c r="Y43" s="795"/>
      <c r="Z43" s="791"/>
      <c r="AA43" s="792"/>
      <c r="AB43" s="792"/>
      <c r="AC43" s="792"/>
      <c r="AD43" s="793"/>
      <c r="AE43" s="57"/>
      <c r="AF43" s="57"/>
      <c r="AG43" s="57"/>
      <c r="AU43" s="85"/>
      <c r="AZ43" s="278" t="str">
        <f>IF(OR(AND(I43="Timber",D43="Large Z Frame")),"NonStandard", "Standard" )</f>
        <v>Standard</v>
      </c>
      <c r="BA43" s="278" t="str">
        <f>IF(AND(AZ43="Standard",I43="Timber"),Data!$KC$2,IF(AND(AZ43="Standard",I43="Fauxwood"),Data!$KD$2,Data!$KB$2))</f>
        <v>TimberExtrasOptionsPainted</v>
      </c>
      <c r="BB43" s="278" t="b">
        <f>IF(I43="Timber",Data!$IX$2,IF(I43="Fauxwood",Data!$IY$2))</f>
        <v>0</v>
      </c>
      <c r="BC43" s="65"/>
      <c r="BE43" s="347" t="b">
        <f>IF(N43=Data!$HX$2,Data!$HZ$2,IF(N43=Data!$HX$3,Data!$IA$2,IF(N43=Data!$HX$4,Data!$IB$2,IF(N43=Data!$HX$5,Data!$IC$2,IF(N43=Data!$HX$6,Data!$ID$2,IF(N43=Data!$HX$7,Data!$IE$2,IF(N43=Data!$HX$8,Data!$IF$2,IF(N43=Data!$HX$9,Data!$IG$2,IF(N43=Data!$HX$10,Data!$IH$2,IF(N43=Data!$HX$11,Data!$II$2,IF(N43=Data!$HX$12,Data!$IJ$2,IF(N43=Data!$HX$13,Data!$IK$2,IF(N43=Data!$HX$14,Data!$IL$2,IF(N43=Data!$HX$15,Data!$IM$2,IF(N43=Data!$HX$16,Data!$IN$2,IF(N43=Data!$HX$17,Data!$IO$2,IF(N43=Data!$HY$18,Data!$IP$2,IF(N43=Data!$HY$19,Data!$IQ$2,IF(N43=Data!$HY$20,Data!$IR$2,IF(N43=Data!$HY$22,Data!$IS$2,IF(N43=Data!$HY$23,Data!$IT$2,IF(N43=Data!$HY$24,Data!$IU$2,IF(N43=Data!$HY$25,Data!$IV$2,IF(N43=Data!$HY$21,Data!$IW$2,IF(N43=Data!$HX$26,Data!$IV$16)))))))))))))))))))))))))</f>
        <v>0</v>
      </c>
      <c r="BI43" s="65"/>
      <c r="BJ43" s="54"/>
      <c r="BU43" s="65"/>
      <c r="BV43" s="65"/>
      <c r="BZ43" s="65"/>
      <c r="CE43" s="65"/>
      <c r="CF43" s="65"/>
      <c r="CI43" s="65"/>
      <c r="CJ43" s="65"/>
      <c r="CK43" s="65"/>
      <c r="CO43" s="278"/>
      <c r="CP43" s="65"/>
      <c r="CQ43" s="65"/>
      <c r="CR43" s="65"/>
      <c r="CS43" s="65"/>
      <c r="CT43" s="54"/>
      <c r="CU43" s="65"/>
      <c r="CW43" s="65"/>
      <c r="CX43" s="65"/>
      <c r="DF43" s="65"/>
      <c r="DI43" s="65"/>
      <c r="DL43" s="54"/>
      <c r="DW43" s="65"/>
      <c r="DX43" s="65"/>
      <c r="DY43" s="65"/>
    </row>
    <row r="44" spans="1:129" ht="15" customHeight="1">
      <c r="A44" s="51">
        <v>2</v>
      </c>
      <c r="B44" s="137"/>
      <c r="C44" s="139"/>
      <c r="D44" s="724"/>
      <c r="E44" s="724"/>
      <c r="F44" s="724"/>
      <c r="G44" s="724"/>
      <c r="H44" s="724"/>
      <c r="I44" s="768"/>
      <c r="J44" s="768"/>
      <c r="K44" s="734"/>
      <c r="L44" s="734"/>
      <c r="M44" s="137"/>
      <c r="N44" s="734"/>
      <c r="O44" s="734"/>
      <c r="P44" s="734"/>
      <c r="Q44" s="734"/>
      <c r="R44" s="734"/>
      <c r="S44" s="734"/>
      <c r="T44" s="734"/>
      <c r="U44" s="794"/>
      <c r="V44" s="794"/>
      <c r="W44" s="794"/>
      <c r="X44" s="794"/>
      <c r="Y44" s="794"/>
      <c r="Z44" s="800"/>
      <c r="AA44" s="801"/>
      <c r="AB44" s="801"/>
      <c r="AC44" s="801"/>
      <c r="AD44" s="802"/>
      <c r="AE44" s="57"/>
      <c r="AF44" s="57"/>
      <c r="AG44" s="57"/>
      <c r="AU44" s="85"/>
      <c r="AZ44" s="278" t="str">
        <f t="shared" ref="AZ44:AZ52" si="58">IF(OR(AND(I44="Timber",D44="Large Z Frame")),"NonStandard", "Standard" )</f>
        <v>Standard</v>
      </c>
      <c r="BA44" s="278" t="str">
        <f>IF(AND(AZ44="Standard",I44="Timber"),Data!$KC$2,IF(AND(AZ44="Standard",I44="Fauxwood"),Data!$KD$2,Data!$KB$2))</f>
        <v>TimberExtrasOptionsPainted</v>
      </c>
      <c r="BB44" s="278" t="b">
        <f>IF(I44="Timber",Data!$IX$2,IF(I44="Fauxwood",Data!$IY$2))</f>
        <v>0</v>
      </c>
      <c r="BC44" s="65"/>
      <c r="BE44" s="347" t="b">
        <f>IF(N44=Data!$HX$2,Data!$HZ$2,IF(N44=Data!$HX$3,Data!$IA$2,IF(N44=Data!$HX$4,Data!$IB$2,IF(N44=Data!$HX$5,Data!$IC$2,IF(N44=Data!$HX$6,Data!$ID$2,IF(N44=Data!$HX$7,Data!$IE$2,IF(N44=Data!$HX$8,Data!$IF$2,IF(N44=Data!$HX$9,Data!$IG$2,IF(N44=Data!$HX$10,Data!$IH$2,IF(N44=Data!$HX$11,Data!$II$2,IF(N44=Data!$HX$12,Data!$IJ$2,IF(N44=Data!$HX$13,Data!$IK$2,IF(N44=Data!$HX$14,Data!$IL$2,IF(N44=Data!$HX$15,Data!$IM$2,IF(N44=Data!$HX$16,Data!$IN$2,IF(N44=Data!$HX$17,Data!$IO$2,IF(N44=Data!$HY$18,Data!$IP$2,IF(N44=Data!$HY$19,Data!$IQ$2,IF(N44=Data!$HY$20,Data!$IR$2,IF(N44=Data!$HY$22,Data!$IS$2,IF(N44=Data!$HY$23,Data!$IT$2,IF(N44=Data!$HY$24,Data!$IU$2,IF(N44=Data!$HY$25,Data!$IV$2,IF(N44=Data!$HY$21,Data!$IW$2,IF(N44=Data!$HX$26,Data!$IV$16)))))))))))))))))))))))))</f>
        <v>0</v>
      </c>
      <c r="BI44" s="65"/>
      <c r="BJ44" s="54"/>
      <c r="BU44" s="65"/>
      <c r="BV44" s="65"/>
      <c r="BZ44" s="65"/>
      <c r="CE44" s="65"/>
      <c r="CF44" s="65"/>
      <c r="CI44" s="65"/>
      <c r="CJ44" s="65"/>
      <c r="CK44" s="65"/>
      <c r="CO44" s="278"/>
      <c r="CP44" s="65"/>
      <c r="CQ44" s="65"/>
      <c r="CR44" s="65"/>
      <c r="CS44" s="65"/>
      <c r="CT44" s="54"/>
      <c r="CU44" s="65"/>
      <c r="CW44" s="65"/>
      <c r="CX44" s="65"/>
      <c r="DF44" s="65"/>
      <c r="DI44" s="65"/>
      <c r="DL44" s="54"/>
      <c r="DW44" s="65"/>
      <c r="DX44" s="65"/>
      <c r="DY44" s="65"/>
    </row>
    <row r="45" spans="1:129" ht="15" customHeight="1">
      <c r="A45" s="51">
        <v>3</v>
      </c>
      <c r="B45" s="137"/>
      <c r="C45" s="139"/>
      <c r="D45" s="724"/>
      <c r="E45" s="724"/>
      <c r="F45" s="724"/>
      <c r="G45" s="724"/>
      <c r="H45" s="724"/>
      <c r="I45" s="768"/>
      <c r="J45" s="768"/>
      <c r="K45" s="734"/>
      <c r="L45" s="734"/>
      <c r="M45" s="137"/>
      <c r="N45" s="734"/>
      <c r="O45" s="734"/>
      <c r="P45" s="734"/>
      <c r="Q45" s="734"/>
      <c r="R45" s="734"/>
      <c r="S45" s="734"/>
      <c r="T45" s="734"/>
      <c r="U45" s="794"/>
      <c r="V45" s="794"/>
      <c r="W45" s="794"/>
      <c r="X45" s="794"/>
      <c r="Y45" s="794"/>
      <c r="Z45" s="800"/>
      <c r="AA45" s="801"/>
      <c r="AB45" s="801"/>
      <c r="AC45" s="801"/>
      <c r="AD45" s="802"/>
      <c r="AE45" s="57"/>
      <c r="AF45" s="57"/>
      <c r="AG45" s="57"/>
      <c r="AU45" s="85"/>
      <c r="AZ45" s="278" t="str">
        <f t="shared" si="58"/>
        <v>Standard</v>
      </c>
      <c r="BA45" s="278" t="str">
        <f>IF(AND(AZ45="Standard",I45="Timber"),Data!$KC$2,IF(AND(AZ45="Standard",I45="Fauxwood"),Data!$KD$2,Data!$KB$2))</f>
        <v>TimberExtrasOptionsPainted</v>
      </c>
      <c r="BB45" s="278" t="b">
        <f>IF(I45="Timber",Data!$IX$2,IF(I45="Fauxwood",Data!$IY$2))</f>
        <v>0</v>
      </c>
      <c r="BC45" s="65"/>
      <c r="BE45" s="347" t="b">
        <f>IF(N45=Data!$HX$2,Data!$HZ$2,IF(N45=Data!$HX$3,Data!$IA$2,IF(N45=Data!$HX$4,Data!$IB$2,IF(N45=Data!$HX$5,Data!$IC$2,IF(N45=Data!$HX$6,Data!$ID$2,IF(N45=Data!$HX$7,Data!$IE$2,IF(N45=Data!$HX$8,Data!$IF$2,IF(N45=Data!$HX$9,Data!$IG$2,IF(N45=Data!$HX$10,Data!$IH$2,IF(N45=Data!$HX$11,Data!$II$2,IF(N45=Data!$HX$12,Data!$IJ$2,IF(N45=Data!$HX$13,Data!$IK$2,IF(N45=Data!$HX$14,Data!$IL$2,IF(N45=Data!$HX$15,Data!$IM$2,IF(N45=Data!$HX$16,Data!$IN$2,IF(N45=Data!$HX$17,Data!$IO$2,IF(N45=Data!$HY$18,Data!$IP$2,IF(N45=Data!$HY$19,Data!$IQ$2,IF(N45=Data!$HY$20,Data!$IR$2,IF(N45=Data!$HY$22,Data!$IS$2,IF(N45=Data!$HY$23,Data!$IT$2,IF(N45=Data!$HY$24,Data!$IU$2,IF(N45=Data!$HY$25,Data!$IV$2,IF(N45=Data!$HY$21,Data!$IW$2,IF(N45=Data!$HX$26,Data!$IV$16)))))))))))))))))))))))))</f>
        <v>0</v>
      </c>
      <c r="BI45" s="65"/>
      <c r="BJ45" s="54"/>
      <c r="BU45" s="65"/>
      <c r="BV45" s="65"/>
      <c r="BZ45" s="65"/>
      <c r="CE45" s="65"/>
      <c r="CF45" s="65"/>
      <c r="CI45" s="65"/>
      <c r="CJ45" s="65"/>
      <c r="CK45" s="65"/>
      <c r="CO45" s="278"/>
      <c r="CP45" s="65"/>
      <c r="CQ45" s="65"/>
      <c r="CR45" s="65"/>
      <c r="CS45" s="65"/>
      <c r="CT45" s="54"/>
      <c r="CU45" s="65"/>
      <c r="CW45" s="65"/>
      <c r="CX45" s="65"/>
      <c r="DF45" s="65"/>
      <c r="DI45" s="65"/>
      <c r="DL45" s="54"/>
      <c r="DW45" s="65"/>
      <c r="DX45" s="65"/>
      <c r="DY45" s="65"/>
    </row>
    <row r="46" spans="1:129" ht="15" customHeight="1">
      <c r="A46" s="51">
        <v>4</v>
      </c>
      <c r="B46" s="137"/>
      <c r="C46" s="139"/>
      <c r="D46" s="724"/>
      <c r="E46" s="724"/>
      <c r="F46" s="724"/>
      <c r="G46" s="724"/>
      <c r="H46" s="724"/>
      <c r="I46" s="768"/>
      <c r="J46" s="768"/>
      <c r="K46" s="734"/>
      <c r="L46" s="734"/>
      <c r="M46" s="137"/>
      <c r="N46" s="734"/>
      <c r="O46" s="734"/>
      <c r="P46" s="734"/>
      <c r="Q46" s="734"/>
      <c r="R46" s="734"/>
      <c r="S46" s="734"/>
      <c r="T46" s="734"/>
      <c r="U46" s="794"/>
      <c r="V46" s="794"/>
      <c r="W46" s="794"/>
      <c r="X46" s="794"/>
      <c r="Y46" s="794"/>
      <c r="Z46" s="800"/>
      <c r="AA46" s="801"/>
      <c r="AB46" s="801"/>
      <c r="AC46" s="801"/>
      <c r="AD46" s="802"/>
      <c r="AE46" s="57"/>
      <c r="AF46" s="57"/>
      <c r="AG46" s="57"/>
      <c r="AU46" s="85"/>
      <c r="AZ46" s="278" t="str">
        <f t="shared" si="58"/>
        <v>Standard</v>
      </c>
      <c r="BA46" s="278" t="str">
        <f>IF(AND(AZ46="Standard",I46="Timber"),Data!$KC$2,IF(AND(AZ46="Standard",I46="Fauxwood"),Data!$KD$2,Data!$KB$2))</f>
        <v>TimberExtrasOptionsPainted</v>
      </c>
      <c r="BB46" s="278" t="b">
        <f>IF(I46="Timber",Data!$IX$2,IF(I46="Fauxwood",Data!$IY$2))</f>
        <v>0</v>
      </c>
      <c r="BC46" s="65"/>
      <c r="BE46" s="347" t="b">
        <f>IF(N46=Data!$HX$2,Data!$HZ$2,IF(N46=Data!$HX$3,Data!$IA$2,IF(N46=Data!$HX$4,Data!$IB$2,IF(N46=Data!$HX$5,Data!$IC$2,IF(N46=Data!$HX$6,Data!$ID$2,IF(N46=Data!$HX$7,Data!$IE$2,IF(N46=Data!$HX$8,Data!$IF$2,IF(N46=Data!$HX$9,Data!$IG$2,IF(N46=Data!$HX$10,Data!$IH$2,IF(N46=Data!$HX$11,Data!$II$2,IF(N46=Data!$HX$12,Data!$IJ$2,IF(N46=Data!$HX$13,Data!$IK$2,IF(N46=Data!$HX$14,Data!$IL$2,IF(N46=Data!$HX$15,Data!$IM$2,IF(N46=Data!$HX$16,Data!$IN$2,IF(N46=Data!$HX$17,Data!$IO$2,IF(N46=Data!$HY$18,Data!$IP$2,IF(N46=Data!$HY$19,Data!$IQ$2,IF(N46=Data!$HY$20,Data!$IR$2,IF(N46=Data!$HY$22,Data!$IS$2,IF(N46=Data!$HY$23,Data!$IT$2,IF(N46=Data!$HY$24,Data!$IU$2,IF(N46=Data!$HY$25,Data!$IV$2,IF(N46=Data!$HY$21,Data!$IW$2,IF(N46=Data!$HX$26,Data!$IV$16)))))))))))))))))))))))))</f>
        <v>0</v>
      </c>
      <c r="BI46" s="65"/>
      <c r="BJ46" s="54"/>
      <c r="BU46" s="65"/>
      <c r="BV46" s="65"/>
      <c r="BZ46" s="65"/>
      <c r="CE46" s="65"/>
      <c r="CF46" s="65"/>
      <c r="CI46" s="65"/>
      <c r="CJ46" s="65"/>
      <c r="CK46" s="65"/>
      <c r="CO46" s="278"/>
      <c r="CP46" s="65"/>
      <c r="CQ46" s="65"/>
      <c r="CR46" s="65"/>
      <c r="CS46" s="65"/>
      <c r="CT46" s="54"/>
      <c r="CU46" s="65"/>
      <c r="CW46" s="65"/>
      <c r="CX46" s="65"/>
      <c r="DF46" s="65"/>
      <c r="DI46" s="65"/>
      <c r="DL46" s="54"/>
      <c r="DW46" s="65"/>
      <c r="DX46" s="65"/>
      <c r="DY46" s="65"/>
    </row>
    <row r="47" spans="1:129" ht="15" customHeight="1">
      <c r="A47" s="51">
        <v>5</v>
      </c>
      <c r="B47" s="137"/>
      <c r="C47" s="139"/>
      <c r="D47" s="724"/>
      <c r="E47" s="724"/>
      <c r="F47" s="724"/>
      <c r="G47" s="724"/>
      <c r="H47" s="724"/>
      <c r="I47" s="768"/>
      <c r="J47" s="768"/>
      <c r="K47" s="734"/>
      <c r="L47" s="734"/>
      <c r="M47" s="137"/>
      <c r="N47" s="734"/>
      <c r="O47" s="734"/>
      <c r="P47" s="734"/>
      <c r="Q47" s="734"/>
      <c r="R47" s="734"/>
      <c r="S47" s="734"/>
      <c r="T47" s="734"/>
      <c r="U47" s="794"/>
      <c r="V47" s="794"/>
      <c r="W47" s="794"/>
      <c r="X47" s="794"/>
      <c r="Y47" s="794"/>
      <c r="Z47" s="800"/>
      <c r="AA47" s="801"/>
      <c r="AB47" s="801"/>
      <c r="AC47" s="801"/>
      <c r="AD47" s="802"/>
      <c r="AE47" s="57"/>
      <c r="AF47" s="57"/>
      <c r="AG47" s="57"/>
      <c r="AU47" s="85"/>
      <c r="AZ47" s="278" t="str">
        <f t="shared" si="58"/>
        <v>Standard</v>
      </c>
      <c r="BA47" s="278" t="str">
        <f>IF(AND(AZ47="Standard",I47="Timber"),Data!$KC$2,IF(AND(AZ47="Standard",I47="Fauxwood"),Data!$KD$2,Data!$KB$2))</f>
        <v>TimberExtrasOptionsPainted</v>
      </c>
      <c r="BB47" s="278" t="b">
        <f>IF(I47="Timber",Data!$IX$2,IF(I47="Fauxwood",Data!$IY$2))</f>
        <v>0</v>
      </c>
      <c r="BC47" s="65"/>
      <c r="BE47" s="347" t="b">
        <f>IF(N47=Data!$HX$2,Data!$HZ$2,IF(N47=Data!$HX$3,Data!$IA$2,IF(N47=Data!$HX$4,Data!$IB$2,IF(N47=Data!$HX$5,Data!$IC$2,IF(N47=Data!$HX$6,Data!$ID$2,IF(N47=Data!$HX$7,Data!$IE$2,IF(N47=Data!$HX$8,Data!$IF$2,IF(N47=Data!$HX$9,Data!$IG$2,IF(N47=Data!$HX$10,Data!$IH$2,IF(N47=Data!$HX$11,Data!$II$2,IF(N47=Data!$HX$12,Data!$IJ$2,IF(N47=Data!$HX$13,Data!$IK$2,IF(N47=Data!$HX$14,Data!$IL$2,IF(N47=Data!$HX$15,Data!$IM$2,IF(N47=Data!$HX$16,Data!$IN$2,IF(N47=Data!$HX$17,Data!$IO$2,IF(N47=Data!$HY$18,Data!$IP$2,IF(N47=Data!$HY$19,Data!$IQ$2,IF(N47=Data!$HY$20,Data!$IR$2,IF(N47=Data!$HY$22,Data!$IS$2,IF(N47=Data!$HY$23,Data!$IT$2,IF(N47=Data!$HY$24,Data!$IU$2,IF(N47=Data!$HY$25,Data!$IV$2,IF(N47=Data!$HY$21,Data!$IW$2,IF(N47=Data!$HX$26,Data!$IV$16)))))))))))))))))))))))))</f>
        <v>0</v>
      </c>
      <c r="BI47" s="65"/>
      <c r="BJ47" s="54"/>
      <c r="BU47" s="65"/>
      <c r="BV47" s="65"/>
      <c r="BZ47" s="65"/>
      <c r="CE47" s="65"/>
      <c r="CF47" s="65"/>
      <c r="CI47" s="65"/>
      <c r="CJ47" s="65"/>
      <c r="CK47" s="65"/>
      <c r="CO47" s="278"/>
      <c r="CP47" s="65"/>
      <c r="CQ47" s="65"/>
      <c r="CR47" s="65"/>
      <c r="CS47" s="65"/>
      <c r="CT47" s="54"/>
      <c r="CU47" s="65"/>
      <c r="CW47" s="65"/>
      <c r="CX47" s="65"/>
      <c r="DF47" s="65"/>
      <c r="DI47" s="65"/>
      <c r="DL47" s="54"/>
      <c r="DW47" s="65"/>
      <c r="DX47" s="65"/>
      <c r="DY47" s="65"/>
    </row>
    <row r="48" spans="1:129" ht="15" customHeight="1">
      <c r="A48" s="51">
        <v>6</v>
      </c>
      <c r="B48" s="137"/>
      <c r="C48" s="139"/>
      <c r="D48" s="724"/>
      <c r="E48" s="724"/>
      <c r="F48" s="724"/>
      <c r="G48" s="724"/>
      <c r="H48" s="724"/>
      <c r="I48" s="768"/>
      <c r="J48" s="768"/>
      <c r="K48" s="734"/>
      <c r="L48" s="734"/>
      <c r="M48" s="137"/>
      <c r="N48" s="734"/>
      <c r="O48" s="734"/>
      <c r="P48" s="734"/>
      <c r="Q48" s="734"/>
      <c r="R48" s="734"/>
      <c r="S48" s="734"/>
      <c r="T48" s="734"/>
      <c r="U48" s="794"/>
      <c r="V48" s="794"/>
      <c r="W48" s="794"/>
      <c r="X48" s="794"/>
      <c r="Y48" s="794"/>
      <c r="Z48" s="800"/>
      <c r="AA48" s="801"/>
      <c r="AB48" s="801"/>
      <c r="AC48" s="801"/>
      <c r="AD48" s="802"/>
      <c r="AE48" s="57"/>
      <c r="AF48" s="57"/>
      <c r="AG48" s="57"/>
      <c r="AU48" s="85"/>
      <c r="AZ48" s="278" t="str">
        <f t="shared" si="58"/>
        <v>Standard</v>
      </c>
      <c r="BA48" s="278" t="str">
        <f>IF(AND(AZ48="Standard",I48="Timber"),Data!$KC$2,IF(AND(AZ48="Standard",I48="Fauxwood"),Data!$KD$2,Data!$KB$2))</f>
        <v>TimberExtrasOptionsPainted</v>
      </c>
      <c r="BB48" s="278" t="b">
        <f>IF(I48="Timber",Data!$IX$2,IF(I48="Fauxwood",Data!$IY$2))</f>
        <v>0</v>
      </c>
      <c r="BC48" s="65"/>
      <c r="BE48" s="347" t="b">
        <f>IF(N48=Data!$HX$2,Data!$HZ$2,IF(N48=Data!$HX$3,Data!$IA$2,IF(N48=Data!$HX$4,Data!$IB$2,IF(N48=Data!$HX$5,Data!$IC$2,IF(N48=Data!$HX$6,Data!$ID$2,IF(N48=Data!$HX$7,Data!$IE$2,IF(N48=Data!$HX$8,Data!$IF$2,IF(N48=Data!$HX$9,Data!$IG$2,IF(N48=Data!$HX$10,Data!$IH$2,IF(N48=Data!$HX$11,Data!$II$2,IF(N48=Data!$HX$12,Data!$IJ$2,IF(N48=Data!$HX$13,Data!$IK$2,IF(N48=Data!$HX$14,Data!$IL$2,IF(N48=Data!$HX$15,Data!$IM$2,IF(N48=Data!$HX$16,Data!$IN$2,IF(N48=Data!$HX$17,Data!$IO$2,IF(N48=Data!$HY$18,Data!$IP$2,IF(N48=Data!$HY$19,Data!$IQ$2,IF(N48=Data!$HY$20,Data!$IR$2,IF(N48=Data!$HY$22,Data!$IS$2,IF(N48=Data!$HY$23,Data!$IT$2,IF(N48=Data!$HY$24,Data!$IU$2,IF(N48=Data!$HY$25,Data!$IV$2,IF(N48=Data!$HY$21,Data!$IW$2,IF(N48=Data!$HX$26,Data!$IV$16)))))))))))))))))))))))))</f>
        <v>0</v>
      </c>
      <c r="BI48" s="65"/>
      <c r="BJ48" s="54"/>
      <c r="BU48" s="65"/>
      <c r="BV48" s="65"/>
      <c r="BZ48" s="65"/>
      <c r="CE48" s="65"/>
      <c r="CF48" s="65"/>
      <c r="CI48" s="65"/>
      <c r="CJ48" s="65"/>
      <c r="CK48" s="65"/>
      <c r="CO48" s="278"/>
      <c r="CP48" s="65"/>
      <c r="CQ48" s="65"/>
      <c r="CR48" s="65"/>
      <c r="CS48" s="65"/>
      <c r="CT48" s="54"/>
      <c r="CU48" s="65"/>
      <c r="CW48" s="65"/>
      <c r="CX48" s="65"/>
      <c r="DF48" s="65"/>
      <c r="DI48" s="65"/>
      <c r="DL48" s="54"/>
      <c r="DW48" s="65"/>
      <c r="DX48" s="65"/>
      <c r="DY48" s="65"/>
    </row>
    <row r="49" spans="1:129" ht="15" customHeight="1">
      <c r="A49" s="51">
        <v>7</v>
      </c>
      <c r="B49" s="137"/>
      <c r="C49" s="139"/>
      <c r="D49" s="724"/>
      <c r="E49" s="724"/>
      <c r="F49" s="724"/>
      <c r="G49" s="724"/>
      <c r="H49" s="724"/>
      <c r="I49" s="768"/>
      <c r="J49" s="768"/>
      <c r="K49" s="734"/>
      <c r="L49" s="734"/>
      <c r="M49" s="137"/>
      <c r="N49" s="734"/>
      <c r="O49" s="734"/>
      <c r="P49" s="734"/>
      <c r="Q49" s="734"/>
      <c r="R49" s="734"/>
      <c r="S49" s="734"/>
      <c r="T49" s="734"/>
      <c r="U49" s="794"/>
      <c r="V49" s="794"/>
      <c r="W49" s="794"/>
      <c r="X49" s="794"/>
      <c r="Y49" s="794"/>
      <c r="Z49" s="800"/>
      <c r="AA49" s="801"/>
      <c r="AB49" s="801"/>
      <c r="AC49" s="801"/>
      <c r="AD49" s="802"/>
      <c r="AE49" s="57"/>
      <c r="AF49" s="57"/>
      <c r="AG49" s="57"/>
      <c r="AU49" s="85"/>
      <c r="AZ49" s="278" t="str">
        <f t="shared" si="58"/>
        <v>Standard</v>
      </c>
      <c r="BA49" s="278" t="str">
        <f>IF(AND(AZ49="Standard",I49="Timber"),Data!$KC$2,IF(AND(AZ49="Standard",I49="Fauxwood"),Data!$KD$2,Data!$KB$2))</f>
        <v>TimberExtrasOptionsPainted</v>
      </c>
      <c r="BB49" s="278" t="b">
        <f>IF(I49="Timber",Data!$IX$2,IF(I49="Fauxwood",Data!$IY$2))</f>
        <v>0</v>
      </c>
      <c r="BC49" s="65"/>
      <c r="BE49" s="347" t="b">
        <f>IF(N49=Data!$HX$2,Data!$HZ$2,IF(N49=Data!$HX$3,Data!$IA$2,IF(N49=Data!$HX$4,Data!$IB$2,IF(N49=Data!$HX$5,Data!$IC$2,IF(N49=Data!$HX$6,Data!$ID$2,IF(N49=Data!$HX$7,Data!$IE$2,IF(N49=Data!$HX$8,Data!$IF$2,IF(N49=Data!$HX$9,Data!$IG$2,IF(N49=Data!$HX$10,Data!$IH$2,IF(N49=Data!$HX$11,Data!$II$2,IF(N49=Data!$HX$12,Data!$IJ$2,IF(N49=Data!$HX$13,Data!$IK$2,IF(N49=Data!$HX$14,Data!$IL$2,IF(N49=Data!$HX$15,Data!$IM$2,IF(N49=Data!$HX$16,Data!$IN$2,IF(N49=Data!$HX$17,Data!$IO$2,IF(N49=Data!$HY$18,Data!$IP$2,IF(N49=Data!$HY$19,Data!$IQ$2,IF(N49=Data!$HY$20,Data!$IR$2,IF(N49=Data!$HY$22,Data!$IS$2,IF(N49=Data!$HY$23,Data!$IT$2,IF(N49=Data!$HY$24,Data!$IU$2,IF(N49=Data!$HY$25,Data!$IV$2,IF(N49=Data!$HY$21,Data!$IW$2,IF(N49=Data!$HX$26,Data!$IV$16)))))))))))))))))))))))))</f>
        <v>0</v>
      </c>
      <c r="BI49" s="65"/>
      <c r="BJ49" s="54"/>
      <c r="BU49" s="65"/>
      <c r="BV49" s="65"/>
      <c r="BZ49" s="65"/>
      <c r="CE49" s="65"/>
      <c r="CF49" s="65"/>
      <c r="CI49" s="65"/>
      <c r="CJ49" s="65"/>
      <c r="CK49" s="65"/>
      <c r="CO49" s="278"/>
      <c r="CP49" s="65"/>
      <c r="CQ49" s="65"/>
      <c r="CR49" s="65"/>
      <c r="CS49" s="65"/>
      <c r="CT49" s="54"/>
      <c r="CU49" s="65"/>
      <c r="CW49" s="65"/>
      <c r="CX49" s="65"/>
      <c r="DF49" s="65"/>
      <c r="DI49" s="65"/>
      <c r="DL49" s="54"/>
      <c r="DW49" s="65"/>
      <c r="DX49" s="65"/>
      <c r="DY49" s="65"/>
    </row>
    <row r="50" spans="1:129" ht="15" customHeight="1">
      <c r="A50" s="51">
        <v>8</v>
      </c>
      <c r="B50" s="137"/>
      <c r="C50" s="139"/>
      <c r="D50" s="724"/>
      <c r="E50" s="724"/>
      <c r="F50" s="724"/>
      <c r="G50" s="724"/>
      <c r="H50" s="724"/>
      <c r="I50" s="768"/>
      <c r="J50" s="768"/>
      <c r="K50" s="734"/>
      <c r="L50" s="734"/>
      <c r="M50" s="137"/>
      <c r="N50" s="734"/>
      <c r="O50" s="734"/>
      <c r="P50" s="734"/>
      <c r="Q50" s="734"/>
      <c r="R50" s="734"/>
      <c r="S50" s="734"/>
      <c r="T50" s="734"/>
      <c r="U50" s="794"/>
      <c r="V50" s="794"/>
      <c r="W50" s="794"/>
      <c r="X50" s="794"/>
      <c r="Y50" s="794"/>
      <c r="Z50" s="800"/>
      <c r="AA50" s="801"/>
      <c r="AB50" s="801"/>
      <c r="AC50" s="801"/>
      <c r="AD50" s="802"/>
      <c r="AE50" s="57"/>
      <c r="AF50" s="57"/>
      <c r="AG50" s="57"/>
      <c r="AU50" s="85"/>
      <c r="AZ50" s="278" t="str">
        <f t="shared" si="58"/>
        <v>Standard</v>
      </c>
      <c r="BA50" s="278" t="str">
        <f>IF(AND(AZ50="Standard",I50="Timber"),Data!$KC$2,IF(AND(AZ50="Standard",I50="Fauxwood"),Data!$KD$2,Data!$KB$2))</f>
        <v>TimberExtrasOptionsPainted</v>
      </c>
      <c r="BB50" s="278" t="b">
        <f>IF(I50="Timber",Data!$IX$2,IF(I50="Fauxwood",Data!$IY$2))</f>
        <v>0</v>
      </c>
      <c r="BC50" s="65"/>
      <c r="BE50" s="347" t="b">
        <f>IF(N50=Data!$HX$2,Data!$HZ$2,IF(N50=Data!$HX$3,Data!$IA$2,IF(N50=Data!$HX$4,Data!$IB$2,IF(N50=Data!$HX$5,Data!$IC$2,IF(N50=Data!$HX$6,Data!$ID$2,IF(N50=Data!$HX$7,Data!$IE$2,IF(N50=Data!$HX$8,Data!$IF$2,IF(N50=Data!$HX$9,Data!$IG$2,IF(N50=Data!$HX$10,Data!$IH$2,IF(N50=Data!$HX$11,Data!$II$2,IF(N50=Data!$HX$12,Data!$IJ$2,IF(N50=Data!$HX$13,Data!$IK$2,IF(N50=Data!$HX$14,Data!$IL$2,IF(N50=Data!$HX$15,Data!$IM$2,IF(N50=Data!$HX$16,Data!$IN$2,IF(N50=Data!$HX$17,Data!$IO$2,IF(N50=Data!$HY$18,Data!$IP$2,IF(N50=Data!$HY$19,Data!$IQ$2,IF(N50=Data!$HY$20,Data!$IR$2,IF(N50=Data!$HY$22,Data!$IS$2,IF(N50=Data!$HY$23,Data!$IT$2,IF(N50=Data!$HY$24,Data!$IU$2,IF(N50=Data!$HY$25,Data!$IV$2,IF(N50=Data!$HY$21,Data!$IW$2,IF(N50=Data!$HX$26,Data!$IV$16)))))))))))))))))))))))))</f>
        <v>0</v>
      </c>
      <c r="BI50" s="65"/>
      <c r="BJ50" s="54"/>
      <c r="BU50" s="65"/>
      <c r="BV50" s="65"/>
      <c r="BZ50" s="65"/>
      <c r="CE50" s="65"/>
      <c r="CF50" s="65"/>
      <c r="CI50" s="65"/>
      <c r="CJ50" s="65"/>
      <c r="CK50" s="65"/>
      <c r="CO50" s="278"/>
      <c r="CP50" s="65"/>
      <c r="CQ50" s="65"/>
      <c r="CR50" s="65"/>
      <c r="CS50" s="65"/>
      <c r="CT50" s="54"/>
      <c r="CU50" s="65"/>
      <c r="CW50" s="65"/>
      <c r="CX50" s="65"/>
      <c r="DF50" s="65"/>
      <c r="DI50" s="65"/>
      <c r="DL50" s="54"/>
      <c r="DW50" s="65"/>
      <c r="DX50" s="65"/>
      <c r="DY50" s="65"/>
    </row>
    <row r="51" spans="1:129" ht="15" customHeight="1">
      <c r="A51" s="51">
        <v>9</v>
      </c>
      <c r="B51" s="137"/>
      <c r="C51" s="139"/>
      <c r="D51" s="724"/>
      <c r="E51" s="724"/>
      <c r="F51" s="724"/>
      <c r="G51" s="724"/>
      <c r="H51" s="724"/>
      <c r="I51" s="768"/>
      <c r="J51" s="768"/>
      <c r="K51" s="734"/>
      <c r="L51" s="734"/>
      <c r="M51" s="137"/>
      <c r="N51" s="734"/>
      <c r="O51" s="734"/>
      <c r="P51" s="734"/>
      <c r="Q51" s="734"/>
      <c r="R51" s="734"/>
      <c r="S51" s="734"/>
      <c r="T51" s="734"/>
      <c r="U51" s="794"/>
      <c r="V51" s="794"/>
      <c r="W51" s="794"/>
      <c r="X51" s="794"/>
      <c r="Y51" s="794"/>
      <c r="Z51" s="800"/>
      <c r="AA51" s="801"/>
      <c r="AB51" s="801"/>
      <c r="AC51" s="801"/>
      <c r="AD51" s="802"/>
      <c r="AE51" s="57"/>
      <c r="AF51" s="57"/>
      <c r="AG51" s="57"/>
      <c r="AU51" s="85"/>
      <c r="AZ51" s="278" t="str">
        <f t="shared" si="58"/>
        <v>Standard</v>
      </c>
      <c r="BA51" s="278" t="str">
        <f>IF(AND(AZ51="Standard",I51="Timber"),Data!$KC$2,IF(AND(AZ51="Standard",I51="Fauxwood"),Data!$KD$2,Data!$KB$2))</f>
        <v>TimberExtrasOptionsPainted</v>
      </c>
      <c r="BB51" s="278" t="b">
        <f>IF(I51="Timber",Data!$IX$2,IF(I51="Fauxwood",Data!$IY$2))</f>
        <v>0</v>
      </c>
      <c r="BC51" s="65"/>
      <c r="BE51" s="347" t="b">
        <f>IF(N51=Data!$HX$2,Data!$HZ$2,IF(N51=Data!$HX$3,Data!$IA$2,IF(N51=Data!$HX$4,Data!$IB$2,IF(N51=Data!$HX$5,Data!$IC$2,IF(N51=Data!$HX$6,Data!$ID$2,IF(N51=Data!$HX$7,Data!$IE$2,IF(N51=Data!$HX$8,Data!$IF$2,IF(N51=Data!$HX$9,Data!$IG$2,IF(N51=Data!$HX$10,Data!$IH$2,IF(N51=Data!$HX$11,Data!$II$2,IF(N51=Data!$HX$12,Data!$IJ$2,IF(N51=Data!$HX$13,Data!$IK$2,IF(N51=Data!$HX$14,Data!$IL$2,IF(N51=Data!$HX$15,Data!$IM$2,IF(N51=Data!$HX$16,Data!$IN$2,IF(N51=Data!$HX$17,Data!$IO$2,IF(N51=Data!$HY$18,Data!$IP$2,IF(N51=Data!$HY$19,Data!$IQ$2,IF(N51=Data!$HY$20,Data!$IR$2,IF(N51=Data!$HY$22,Data!$IS$2,IF(N51=Data!$HY$23,Data!$IT$2,IF(N51=Data!$HY$24,Data!$IU$2,IF(N51=Data!$HY$25,Data!$IV$2,IF(N51=Data!$HY$21,Data!$IW$2,IF(N51=Data!$HX$26,Data!$IV$16)))))))))))))))))))))))))</f>
        <v>0</v>
      </c>
      <c r="BI51" s="65"/>
      <c r="BJ51" s="54"/>
      <c r="BU51" s="65"/>
      <c r="BV51" s="65"/>
      <c r="BZ51" s="65"/>
      <c r="CE51" s="65"/>
      <c r="CF51" s="65"/>
      <c r="CI51" s="65"/>
      <c r="CJ51" s="65"/>
      <c r="CK51" s="65"/>
      <c r="CO51" s="278"/>
      <c r="CP51" s="65"/>
      <c r="CQ51" s="65"/>
      <c r="CR51" s="65"/>
      <c r="CS51" s="65"/>
      <c r="CT51" s="54"/>
      <c r="CU51" s="65"/>
      <c r="CW51" s="65"/>
      <c r="CX51" s="65"/>
      <c r="DF51" s="65"/>
      <c r="DI51" s="65"/>
      <c r="DL51" s="54"/>
      <c r="DW51" s="65"/>
      <c r="DX51" s="65"/>
      <c r="DY51" s="65"/>
    </row>
    <row r="52" spans="1:129" ht="15" customHeight="1" thickBot="1">
      <c r="A52" s="141">
        <v>10</v>
      </c>
      <c r="B52" s="142"/>
      <c r="C52" s="146"/>
      <c r="D52" s="726"/>
      <c r="E52" s="726"/>
      <c r="F52" s="726"/>
      <c r="G52" s="726"/>
      <c r="H52" s="726"/>
      <c r="I52" s="803"/>
      <c r="J52" s="803"/>
      <c r="K52" s="765"/>
      <c r="L52" s="765"/>
      <c r="M52" s="142"/>
      <c r="N52" s="765"/>
      <c r="O52" s="765"/>
      <c r="P52" s="765"/>
      <c r="Q52" s="765"/>
      <c r="R52" s="765"/>
      <c r="S52" s="765"/>
      <c r="T52" s="765"/>
      <c r="U52" s="799"/>
      <c r="V52" s="799"/>
      <c r="W52" s="799"/>
      <c r="X52" s="799"/>
      <c r="Y52" s="799"/>
      <c r="Z52" s="796"/>
      <c r="AA52" s="797"/>
      <c r="AB52" s="797"/>
      <c r="AC52" s="797"/>
      <c r="AD52" s="798"/>
      <c r="AE52" s="57"/>
      <c r="AF52" s="57"/>
      <c r="AG52" s="57"/>
      <c r="AU52" s="85"/>
      <c r="AZ52" s="278" t="str">
        <f t="shared" si="58"/>
        <v>Standard</v>
      </c>
      <c r="BA52" s="278" t="str">
        <f>IF(AND(AZ52="Standard",I52="Timber"),Data!$KC$2,IF(AND(AZ52="Standard",I52="Fauxwood"),Data!$KD$2,Data!$KB$2))</f>
        <v>TimberExtrasOptionsPainted</v>
      </c>
      <c r="BB52" s="278" t="b">
        <f>IF(I52="Timber",Data!$IX$2,IF(I52="Fauxwood",Data!$IY$2))</f>
        <v>0</v>
      </c>
      <c r="BC52" s="65"/>
      <c r="BE52" s="347" t="b">
        <f>IF(N52=Data!$HX$2,Data!$HZ$2,IF(N52=Data!$HX$3,Data!$IA$2,IF(N52=Data!$HX$4,Data!$IB$2,IF(N52=Data!$HX$5,Data!$IC$2,IF(N52=Data!$HX$6,Data!$ID$2,IF(N52=Data!$HX$7,Data!$IE$2,IF(N52=Data!$HX$8,Data!$IF$2,IF(N52=Data!$HX$9,Data!$IG$2,IF(N52=Data!$HX$10,Data!$IH$2,IF(N52=Data!$HX$11,Data!$II$2,IF(N52=Data!$HX$12,Data!$IJ$2,IF(N52=Data!$HX$13,Data!$IK$2,IF(N52=Data!$HX$14,Data!$IL$2,IF(N52=Data!$HX$15,Data!$IM$2,IF(N52=Data!$HX$16,Data!$IN$2,IF(N52=Data!$HX$17,Data!$IO$2,IF(N52=Data!$HY$18,Data!$IP$2,IF(N52=Data!$HY$19,Data!$IQ$2,IF(N52=Data!$HY$20,Data!$IR$2,IF(N52=Data!$HY$22,Data!$IS$2,IF(N52=Data!$HY$23,Data!$IT$2,IF(N52=Data!$HY$24,Data!$IU$2,IF(N52=Data!$HY$25,Data!$IV$2,IF(N52=Data!$HY$21,Data!$IW$2,IF(N52=Data!$HX$26,Data!$IV$16)))))))))))))))))))))))))</f>
        <v>0</v>
      </c>
      <c r="BI52" s="65"/>
      <c r="BJ52" s="54"/>
      <c r="BU52" s="65"/>
      <c r="BV52" s="65"/>
      <c r="BZ52" s="65"/>
      <c r="CE52" s="65"/>
      <c r="CF52" s="65"/>
      <c r="CI52" s="65"/>
      <c r="CJ52" s="65"/>
      <c r="CK52" s="65"/>
      <c r="CO52" s="278"/>
      <c r="CP52" s="65"/>
      <c r="CQ52" s="65"/>
      <c r="CR52" s="65"/>
      <c r="CS52" s="65"/>
      <c r="CT52" s="54"/>
      <c r="CU52" s="65"/>
      <c r="CW52" s="65"/>
      <c r="CX52" s="65"/>
      <c r="DF52" s="65"/>
      <c r="DI52" s="65"/>
      <c r="DL52" s="54"/>
      <c r="DW52" s="65"/>
      <c r="DX52" s="65"/>
      <c r="DY52" s="65"/>
    </row>
    <row r="53" spans="1:129" ht="15.75" thickTop="1">
      <c r="BA53" s="65"/>
      <c r="BC53" s="65"/>
      <c r="BE53" s="65"/>
      <c r="BI53" s="65"/>
      <c r="BJ53" s="54"/>
      <c r="BU53" s="65"/>
      <c r="BV53" s="65"/>
      <c r="BZ53" s="65"/>
      <c r="CE53" s="65"/>
      <c r="CF53" s="65"/>
      <c r="CI53" s="65"/>
      <c r="CJ53" s="65"/>
      <c r="CK53" s="65"/>
      <c r="CO53" s="278"/>
      <c r="CP53" s="65"/>
      <c r="CQ53" s="65"/>
      <c r="CR53" s="65"/>
      <c r="CS53" s="65"/>
      <c r="CT53" s="54"/>
      <c r="CU53" s="65"/>
      <c r="CW53" s="65"/>
      <c r="CX53" s="65"/>
      <c r="DF53" s="65"/>
      <c r="DI53" s="65"/>
      <c r="DL53" s="54"/>
      <c r="DW53" s="65"/>
      <c r="DX53" s="65"/>
      <c r="DY53" s="65"/>
    </row>
  </sheetData>
  <sheetProtection password="A0FF" sheet="1" objects="1" scenarios="1"/>
  <mergeCells count="197">
    <mergeCell ref="I46:J46"/>
    <mergeCell ref="I47:J47"/>
    <mergeCell ref="I48:J48"/>
    <mergeCell ref="I49:J49"/>
    <mergeCell ref="I50:J50"/>
    <mergeCell ref="I51:J51"/>
    <mergeCell ref="I52:J52"/>
    <mergeCell ref="K42:L42"/>
    <mergeCell ref="K43:L43"/>
    <mergeCell ref="K44:L44"/>
    <mergeCell ref="K45:L45"/>
    <mergeCell ref="K46:L46"/>
    <mergeCell ref="K47:L47"/>
    <mergeCell ref="K48:L48"/>
    <mergeCell ref="K49:L49"/>
    <mergeCell ref="K50:L50"/>
    <mergeCell ref="K51:L51"/>
    <mergeCell ref="K52:L52"/>
    <mergeCell ref="I42:J42"/>
    <mergeCell ref="I43:J43"/>
    <mergeCell ref="I44:J44"/>
    <mergeCell ref="Z52:AD52"/>
    <mergeCell ref="U52:Y52"/>
    <mergeCell ref="U51:Y51"/>
    <mergeCell ref="Z44:AD44"/>
    <mergeCell ref="Z45:AD45"/>
    <mergeCell ref="Z46:AD46"/>
    <mergeCell ref="Z47:AD47"/>
    <mergeCell ref="Z48:AD48"/>
    <mergeCell ref="Z49:AD49"/>
    <mergeCell ref="Z50:AD50"/>
    <mergeCell ref="Z51:AD51"/>
    <mergeCell ref="Z42:AD42"/>
    <mergeCell ref="Z43:AD43"/>
    <mergeCell ref="U44:Y44"/>
    <mergeCell ref="U45:Y45"/>
    <mergeCell ref="U46:Y46"/>
    <mergeCell ref="U47:Y47"/>
    <mergeCell ref="U48:Y48"/>
    <mergeCell ref="U49:Y49"/>
    <mergeCell ref="U50:Y50"/>
    <mergeCell ref="U43:Y43"/>
    <mergeCell ref="N52:T52"/>
    <mergeCell ref="N47:T47"/>
    <mergeCell ref="N48:T48"/>
    <mergeCell ref="N49:T49"/>
    <mergeCell ref="N50:T50"/>
    <mergeCell ref="N51:T51"/>
    <mergeCell ref="N45:T45"/>
    <mergeCell ref="N46:T46"/>
    <mergeCell ref="N42:T42"/>
    <mergeCell ref="N43:T43"/>
    <mergeCell ref="N44:T44"/>
    <mergeCell ref="D43:H43"/>
    <mergeCell ref="D44:H44"/>
    <mergeCell ref="D45:H45"/>
    <mergeCell ref="D46:H46"/>
    <mergeCell ref="D47:H47"/>
    <mergeCell ref="D48:H48"/>
    <mergeCell ref="D49:H49"/>
    <mergeCell ref="D50:H50"/>
    <mergeCell ref="D51:H51"/>
    <mergeCell ref="D52:H52"/>
    <mergeCell ref="D42:H42"/>
    <mergeCell ref="I45:J45"/>
    <mergeCell ref="U25:AD25"/>
    <mergeCell ref="P8:Q8"/>
    <mergeCell ref="L6:M6"/>
    <mergeCell ref="P23:Q23"/>
    <mergeCell ref="P19:Q19"/>
    <mergeCell ref="P20:Q20"/>
    <mergeCell ref="P21:Q21"/>
    <mergeCell ref="P22:Q22"/>
    <mergeCell ref="K25:M25"/>
    <mergeCell ref="P16:Q16"/>
    <mergeCell ref="N25:T25"/>
    <mergeCell ref="P17:Q17"/>
    <mergeCell ref="W7:X7"/>
    <mergeCell ref="B30:E30"/>
    <mergeCell ref="F30:J30"/>
    <mergeCell ref="F31:J31"/>
    <mergeCell ref="B31:E31"/>
    <mergeCell ref="B32:E32"/>
    <mergeCell ref="F32:J32"/>
    <mergeCell ref="U26:AD40"/>
    <mergeCell ref="U42:Y42"/>
    <mergeCell ref="B29:E29"/>
    <mergeCell ref="H16:I16"/>
    <mergeCell ref="B38:E38"/>
    <mergeCell ref="B39:E39"/>
    <mergeCell ref="B40:E40"/>
    <mergeCell ref="B33:E33"/>
    <mergeCell ref="B34:E34"/>
    <mergeCell ref="B35:E35"/>
    <mergeCell ref="B36:E36"/>
    <mergeCell ref="B37:E37"/>
    <mergeCell ref="F33:J33"/>
    <mergeCell ref="F34:J34"/>
    <mergeCell ref="F38:J38"/>
    <mergeCell ref="F39:J39"/>
    <mergeCell ref="F35:J35"/>
    <mergeCell ref="F36:J36"/>
    <mergeCell ref="F37:J37"/>
    <mergeCell ref="F40:J40"/>
    <mergeCell ref="P12:Q12"/>
    <mergeCell ref="AA3:AB3"/>
    <mergeCell ref="AA4:AB4"/>
    <mergeCell ref="M7:V7"/>
    <mergeCell ref="N6:Z6"/>
    <mergeCell ref="Y7:AB7"/>
    <mergeCell ref="N4:Z4"/>
    <mergeCell ref="AF1:AF2"/>
    <mergeCell ref="AE4:AE5"/>
    <mergeCell ref="AF4:AF5"/>
    <mergeCell ref="L1:M1"/>
    <mergeCell ref="L2:M2"/>
    <mergeCell ref="L3:M3"/>
    <mergeCell ref="L4:M4"/>
    <mergeCell ref="L5:M5"/>
    <mergeCell ref="N1:Z1"/>
    <mergeCell ref="N2:Z2"/>
    <mergeCell ref="N3:Z3"/>
    <mergeCell ref="N5:Z5"/>
    <mergeCell ref="AC3:AD3"/>
    <mergeCell ref="AC4:AD4"/>
    <mergeCell ref="AE1:AE2"/>
    <mergeCell ref="F2:J2"/>
    <mergeCell ref="A6:J6"/>
    <mergeCell ref="H9:I9"/>
    <mergeCell ref="P9:Q9"/>
    <mergeCell ref="H10:I10"/>
    <mergeCell ref="P10:Q10"/>
    <mergeCell ref="H11:I11"/>
    <mergeCell ref="P11:Q11"/>
    <mergeCell ref="E4:G4"/>
    <mergeCell ref="A4:B4"/>
    <mergeCell ref="C4:D4"/>
    <mergeCell ref="H8:I8"/>
    <mergeCell ref="H4:J4"/>
    <mergeCell ref="B7:J7"/>
    <mergeCell ref="N29:T29"/>
    <mergeCell ref="P13:Q13"/>
    <mergeCell ref="H14:I14"/>
    <mergeCell ref="P14:Q14"/>
    <mergeCell ref="N26:T26"/>
    <mergeCell ref="N27:T27"/>
    <mergeCell ref="N28:T28"/>
    <mergeCell ref="N30:T30"/>
    <mergeCell ref="N31:T31"/>
    <mergeCell ref="K31:M31"/>
    <mergeCell ref="H18:I18"/>
    <mergeCell ref="P18:Q18"/>
    <mergeCell ref="H13:I13"/>
    <mergeCell ref="P15:Q15"/>
    <mergeCell ref="F25:J25"/>
    <mergeCell ref="F26:J26"/>
    <mergeCell ref="F29:J29"/>
    <mergeCell ref="H23:I23"/>
    <mergeCell ref="H15:I15"/>
    <mergeCell ref="H17:I17"/>
    <mergeCell ref="H19:I19"/>
    <mergeCell ref="H20:I20"/>
    <mergeCell ref="H21:I21"/>
    <mergeCell ref="H22:I22"/>
    <mergeCell ref="N32:T32"/>
    <mergeCell ref="N33:T33"/>
    <mergeCell ref="N34:T34"/>
    <mergeCell ref="N35:T35"/>
    <mergeCell ref="N36:T36"/>
    <mergeCell ref="N37:T37"/>
    <mergeCell ref="N38:T38"/>
    <mergeCell ref="N39:T39"/>
    <mergeCell ref="N40:T40"/>
    <mergeCell ref="F1:J1"/>
    <mergeCell ref="K32:M32"/>
    <mergeCell ref="K26:M26"/>
    <mergeCell ref="K27:M27"/>
    <mergeCell ref="K28:M28"/>
    <mergeCell ref="K29:M29"/>
    <mergeCell ref="K30:M30"/>
    <mergeCell ref="K40:M40"/>
    <mergeCell ref="B41:I41"/>
    <mergeCell ref="K33:M33"/>
    <mergeCell ref="K34:M34"/>
    <mergeCell ref="K35:M35"/>
    <mergeCell ref="K36:M36"/>
    <mergeCell ref="K37:M37"/>
    <mergeCell ref="K38:M38"/>
    <mergeCell ref="K39:M39"/>
    <mergeCell ref="A24:B24"/>
    <mergeCell ref="H12:I12"/>
    <mergeCell ref="B25:E25"/>
    <mergeCell ref="B26:E26"/>
    <mergeCell ref="B27:E27"/>
    <mergeCell ref="F27:J27"/>
    <mergeCell ref="F28:J28"/>
    <mergeCell ref="B28:E28"/>
  </mergeCells>
  <conditionalFormatting sqref="K9:K23">
    <cfRule type="containsText" dxfId="67" priority="3" operator="containsText" text="No">
      <formula>NOT(ISERROR(SEARCH("No",K9)))</formula>
    </cfRule>
    <cfRule type="containsText" dxfId="66" priority="69" stopIfTrue="1" operator="containsText" text="Yes">
      <formula>NOT(ISERROR(SEARCH("Yes",K9)))</formula>
    </cfRule>
  </conditionalFormatting>
  <conditionalFormatting sqref="L9:L23">
    <cfRule type="expression" dxfId="65" priority="68" stopIfTrue="1">
      <formula>BA9="Yes"</formula>
    </cfRule>
  </conditionalFormatting>
  <conditionalFormatting sqref="C9:C23">
    <cfRule type="expression" dxfId="64" priority="67">
      <formula>K9="Yes"</formula>
    </cfRule>
  </conditionalFormatting>
  <conditionalFormatting sqref="D9:D23">
    <cfRule type="expression" dxfId="63" priority="66">
      <formula>BE9="Yes"</formula>
    </cfRule>
  </conditionalFormatting>
  <conditionalFormatting sqref="AC9:AC23">
    <cfRule type="expression" dxfId="62" priority="65">
      <formula>BG9="Required"</formula>
    </cfRule>
  </conditionalFormatting>
  <conditionalFormatting sqref="X9:X23">
    <cfRule type="expression" dxfId="61" priority="63">
      <formula>BI9="Highlight"</formula>
    </cfRule>
  </conditionalFormatting>
  <conditionalFormatting sqref="Y9:Y23">
    <cfRule type="expression" dxfId="60" priority="62">
      <formula>DO9="Yes"</formula>
    </cfRule>
  </conditionalFormatting>
  <conditionalFormatting sqref="AA9:AA23">
    <cfRule type="expression" dxfId="59" priority="57">
      <formula>BM9="Error"</formula>
    </cfRule>
  </conditionalFormatting>
  <conditionalFormatting sqref="AB9:AB23">
    <cfRule type="expression" dxfId="58" priority="56">
      <formula>BN9="Error"</formula>
    </cfRule>
  </conditionalFormatting>
  <conditionalFormatting sqref="K9:K23">
    <cfRule type="containsErrors" dxfId="57" priority="50">
      <formula>ISERROR(K9)</formula>
    </cfRule>
  </conditionalFormatting>
  <conditionalFormatting sqref="H9:I23">
    <cfRule type="expression" dxfId="56" priority="45">
      <formula>CC9="No"</formula>
    </cfRule>
  </conditionalFormatting>
  <conditionalFormatting sqref="J9:J23">
    <cfRule type="expression" dxfId="55" priority="44">
      <formula>CD9="Yes"</formula>
    </cfRule>
  </conditionalFormatting>
  <conditionalFormatting sqref="R9:R23">
    <cfRule type="expression" dxfId="54" priority="43">
      <formula>CE9="Yes"</formula>
    </cfRule>
  </conditionalFormatting>
  <conditionalFormatting sqref="S9:S23">
    <cfRule type="expression" dxfId="53" priority="42">
      <formula>DW9="Yes"</formula>
    </cfRule>
  </conditionalFormatting>
  <conditionalFormatting sqref="T9:T23 R10:U12">
    <cfRule type="expression" dxfId="52" priority="41">
      <formula>DV9="Yes"</formula>
    </cfRule>
  </conditionalFormatting>
  <conditionalFormatting sqref="P9:Q23">
    <cfRule type="expression" dxfId="51" priority="39">
      <formula>CH9="Error"</formula>
    </cfRule>
  </conditionalFormatting>
  <conditionalFormatting sqref="B44:C52">
    <cfRule type="expression" dxfId="50" priority="36">
      <formula>BQ27="Yes"</formula>
    </cfRule>
  </conditionalFormatting>
  <conditionalFormatting sqref="B44:C52">
    <cfRule type="expression" dxfId="49" priority="35">
      <formula>BR27="Yes"</formula>
    </cfRule>
  </conditionalFormatting>
  <conditionalFormatting sqref="C43">
    <cfRule type="expression" dxfId="48" priority="34">
      <formula>BR26="Yes"</formula>
    </cfRule>
  </conditionalFormatting>
  <conditionalFormatting sqref="C43">
    <cfRule type="expression" dxfId="47" priority="33">
      <formula>BS26="Yes"</formula>
    </cfRule>
  </conditionalFormatting>
  <conditionalFormatting sqref="D43:D52">
    <cfRule type="expression" dxfId="46" priority="32">
      <formula>BS26="Yes"</formula>
    </cfRule>
  </conditionalFormatting>
  <conditionalFormatting sqref="D43:D52">
    <cfRule type="expression" dxfId="45" priority="31">
      <formula>BT26="Yes"</formula>
    </cfRule>
  </conditionalFormatting>
  <conditionalFormatting sqref="D44:D52">
    <cfRule type="expression" dxfId="44" priority="30">
      <formula>BS27="Yes"</formula>
    </cfRule>
  </conditionalFormatting>
  <conditionalFormatting sqref="D44:D52">
    <cfRule type="expression" dxfId="43" priority="29">
      <formula>BT27="Yes"</formula>
    </cfRule>
  </conditionalFormatting>
  <conditionalFormatting sqref="F9:F23">
    <cfRule type="expression" dxfId="42" priority="27">
      <formula>CK9="Failed"</formula>
    </cfRule>
  </conditionalFormatting>
  <conditionalFormatting sqref="N6">
    <cfRule type="notContainsBlanks" dxfId="41" priority="26">
      <formula>LEN(TRIM(N6))&gt;0</formula>
    </cfRule>
  </conditionalFormatting>
  <conditionalFormatting sqref="DK10 Y7">
    <cfRule type="containsText" dxfId="40" priority="21" operator="containsText" text="Layout Code &amp; T Post Quantity Issue">
      <formula>NOT(ISERROR(SEARCH("Layout Code &amp; T Post Quantity Issue",Y7)))</formula>
    </cfRule>
  </conditionalFormatting>
  <conditionalFormatting sqref="AA9:AA23">
    <cfRule type="expression" dxfId="39" priority="17">
      <formula>DR9="Error"</formula>
    </cfRule>
  </conditionalFormatting>
  <conditionalFormatting sqref="AB9:AB23">
    <cfRule type="expression" dxfId="38" priority="16">
      <formula>DS9="Error"</formula>
    </cfRule>
  </conditionalFormatting>
  <conditionalFormatting sqref="Z9:Z23">
    <cfRule type="expression" dxfId="37" priority="15">
      <formula>BL9="Error"</formula>
    </cfRule>
  </conditionalFormatting>
  <conditionalFormatting sqref="Z9:Z23">
    <cfRule type="expression" dxfId="36" priority="14">
      <formula>DQ9="Error"</formula>
    </cfRule>
  </conditionalFormatting>
  <conditionalFormatting sqref="O9:O23">
    <cfRule type="expression" dxfId="35" priority="12">
      <formula>DK9="Layout Code &amp; T Post Quantity Issue"</formula>
    </cfRule>
    <cfRule type="expression" dxfId="34" priority="13">
      <formula>CK9="Failed"</formula>
    </cfRule>
  </conditionalFormatting>
  <conditionalFormatting sqref="V9:V23">
    <cfRule type="expression" dxfId="33" priority="11">
      <formula>BF9="Required"</formula>
    </cfRule>
  </conditionalFormatting>
  <conditionalFormatting sqref="M9:M23">
    <cfRule type="expression" dxfId="32" priority="106">
      <formula>CB9="Yes"</formula>
    </cfRule>
  </conditionalFormatting>
  <conditionalFormatting sqref="P9:Q23">
    <cfRule type="expression" dxfId="31" priority="9">
      <formula>AX9="Yes"</formula>
    </cfRule>
  </conditionalFormatting>
  <conditionalFormatting sqref="W9:W23">
    <cfRule type="expression" dxfId="30" priority="8">
      <formula>AV9="Yes"</formula>
    </cfRule>
  </conditionalFormatting>
  <conditionalFormatting sqref="O9:O23">
    <cfRule type="expression" dxfId="29" priority="7">
      <formula>EC9="ERROR"</formula>
    </cfRule>
  </conditionalFormatting>
  <conditionalFormatting sqref="C9:C23">
    <cfRule type="expression" dxfId="28" priority="6">
      <formula>CT9&lt;250</formula>
    </cfRule>
  </conditionalFormatting>
  <conditionalFormatting sqref="D9:D23">
    <cfRule type="expression" dxfId="27" priority="5">
      <formula>ED9&lt;350</formula>
    </cfRule>
  </conditionalFormatting>
  <conditionalFormatting sqref="U9:U23">
    <cfRule type="expression" dxfId="26" priority="4">
      <formula>DY9="Yes"</formula>
    </cfRule>
  </conditionalFormatting>
  <conditionalFormatting sqref="S9">
    <cfRule type="expression" dxfId="25" priority="2">
      <formula>CF9="Yes"</formula>
    </cfRule>
  </conditionalFormatting>
  <conditionalFormatting sqref="U9">
    <cfRule type="expression" dxfId="24" priority="1">
      <formula>DY9="Yes"</formula>
    </cfRule>
  </conditionalFormatting>
  <dataValidations count="33">
    <dataValidation type="list" allowBlank="1" showInputMessage="1" showErrorMessage="1" sqref="AC9:AC23" xr:uid="{00000000-0002-0000-0900-000000000000}">
      <formula1>INDIRECT(BZ9)</formula1>
    </dataValidation>
    <dataValidation type="list" allowBlank="1" showInputMessage="1" showErrorMessage="1" errorTitle="Invalid Entry" error="Invalid Entry" sqref="H9:I23" xr:uid="{00000000-0002-0000-0900-000001000000}">
      <formula1>INDIRECT(SUBSTITUTE(G9," ","_"))</formula1>
    </dataValidation>
    <dataValidation type="list" allowBlank="1" showInputMessage="1" showErrorMessage="1" errorTitle="Invalid Entry" error="Please select from List!" sqref="J9:J23" xr:uid="{00000000-0002-0000-0900-000002000000}">
      <formula1>INDIRECT(SUBSTITUTE(CY9," ","_"))</formula1>
    </dataValidation>
    <dataValidation type="list" allowBlank="1" showInputMessage="1" showErrorMessage="1" errorTitle="Invalid Entry" error="Invalid Entry" sqref="X9:X23" xr:uid="{00000000-0002-0000-0900-000003000000}">
      <formula1>INDIRECT(DF9)</formula1>
    </dataValidation>
    <dataValidation type="list" allowBlank="1" showInputMessage="1" showErrorMessage="1" errorTitle="Invalid Entry" error="Invalid Entry" sqref="R9:R23" xr:uid="{00000000-0002-0000-0900-000004000000}">
      <formula1>INDIRECT(DL9)</formula1>
    </dataValidation>
    <dataValidation type="list" allowBlank="1" showInputMessage="1" showErrorMessage="1" errorTitle="Invalid Entry" error="Invalid Entry" sqref="S9:S23" xr:uid="{00000000-0002-0000-0900-000005000000}">
      <formula1>INDIRECT(DL9)</formula1>
    </dataValidation>
    <dataValidation type="list" allowBlank="1" showInputMessage="1" showErrorMessage="1" errorTitle="Invalid Entry" error="Invalid Entry" sqref="X43:Y52" xr:uid="{00000000-0002-0000-0900-000006000000}">
      <formula1>INDIRECT(SUBSTITUTE(BF43," ","_"))</formula1>
    </dataValidation>
    <dataValidation type="list" allowBlank="1" showInputMessage="1" showErrorMessage="1" errorTitle="Invalid Entry" error="Invalid Entry" sqref="U43:V52" xr:uid="{00000000-0002-0000-0900-000007000000}">
      <formula1>INDIRECT(SUBSTITUTE(BE43," ","_"))</formula1>
    </dataValidation>
    <dataValidation type="list" allowBlank="1" showInputMessage="1" showErrorMessage="1" errorTitle="Invalid Entry" error="Invalid Entry" sqref="W43:W52" xr:uid="{00000000-0002-0000-0900-000008000000}">
      <formula1>INDIRECT(SUBSTITUTE(BF43," ","_"))</formula1>
    </dataValidation>
    <dataValidation type="list" errorStyle="information" allowBlank="1" showInputMessage="1" showErrorMessage="1" errorTitle="Check Special Layout Code" error="The Layout Codes In This List Are The Most Common Codes._x000a__x000a_When Entering A Different Special Code, Please Refer To The Shutter Manual." sqref="O9:O23" xr:uid="{00000000-0002-0000-0900-000009000000}">
      <formula1>INDIRECT(SUBSTITUTE(DT9," ","_"))</formula1>
    </dataValidation>
    <dataValidation type="list" allowBlank="1" showInputMessage="1" showErrorMessage="1" errorTitle="Invalid Entry" error="Invalid Entry" sqref="N9:N23" xr:uid="{00000000-0002-0000-0900-00000A000000}">
      <formula1>INDIRECT(SUBSTITUTE(DU9," ","_"))</formula1>
    </dataValidation>
    <dataValidation type="list" allowBlank="1" showInputMessage="1" showErrorMessage="1" errorTitle="Invalid Entry" error="Invalid Entry" sqref="M9:M23" xr:uid="{00000000-0002-0000-0900-00000B000000}">
      <formula1>INDIRECT(SUBSTITUTE(DV9," ","_"))</formula1>
    </dataValidation>
    <dataValidation type="list" allowBlank="1" showInputMessage="1" showErrorMessage="1" errorTitle="Invalid Entry" error="Invalid Entry" sqref="I43:I52" xr:uid="{00000000-0002-0000-0900-00000C000000}">
      <formula1>INDIRECT(SUBSTITUTE(AZ26," ","_"))</formula1>
    </dataValidation>
    <dataValidation type="list" allowBlank="1" showInputMessage="1" showErrorMessage="1" errorTitle="Invalid Entry" error="Invalid Entry" sqref="K43:L52" xr:uid="{00000000-0002-0000-0900-00000D000000}">
      <formula1>INDIRECT(BA43)</formula1>
    </dataValidation>
    <dataValidation type="list" allowBlank="1" showInputMessage="1" showErrorMessage="1" errorTitle="Invalid Entry" error="Please select from list!" sqref="AU42:AU52" xr:uid="{00000000-0002-0000-0900-00000E000000}">
      <formula1>Pelmet</formula1>
    </dataValidation>
    <dataValidation allowBlank="1" showInputMessage="1" showErrorMessage="1" errorTitle="Invalid Entry" error="Invalid Entry" sqref="AZ9:AZ23 K9:K23 AU9:AU23" xr:uid="{00000000-0002-0000-0900-00000F000000}"/>
    <dataValidation allowBlank="1" sqref="AF1:AF2 AE9:AF23" xr:uid="{00000000-0002-0000-0900-000010000000}"/>
    <dataValidation type="list" allowBlank="1" showInputMessage="1" errorTitle="Invalid Enrty" error="Please select from List!" sqref="Y9:Y23" xr:uid="{00000000-0002-0000-0900-000011000000}">
      <formula1>"1,2,3,4,5,6"</formula1>
    </dataValidation>
    <dataValidation type="list" allowBlank="1" showInputMessage="1" showErrorMessage="1" errorTitle="Invalid Entry" error="Invalid Entry" sqref="N43:T52" xr:uid="{00000000-0002-0000-0900-000012000000}">
      <formula1>Hardware</formula1>
    </dataValidation>
    <dataValidation allowBlank="1" errorTitle="Invalid Entry" error="Invalid Entry" sqref="M26:T40" xr:uid="{00000000-0002-0000-0900-000013000000}"/>
    <dataValidation type="list" allowBlank="1" showInputMessage="1" showErrorMessage="1" errorTitle="Invalid Entry" error="Invalid Entry" sqref="F26:J40" xr:uid="{00000000-0002-0000-0900-000014000000}">
      <formula1>Special_Comments_2</formula1>
    </dataValidation>
    <dataValidation type="list" allowBlank="1" showInputMessage="1" showErrorMessage="1" errorTitle="Invalid Entry" error="Invalid Entry" sqref="G9:G23" xr:uid="{00000000-0002-0000-0900-000015000000}">
      <formula1>ShutterMaterial</formula1>
    </dataValidation>
    <dataValidation type="whole" errorStyle="information" allowBlank="1" showInputMessage="1" showErrorMessage="1" errorTitle="Be Aware" error="Minimum Height is 350mm._x000a__x000a_Maximum Panel Height is 3000mm." sqref="D9:D23" xr:uid="{00000000-0002-0000-0900-000016000000}">
      <formula1>350</formula1>
      <formula2>3000</formula2>
    </dataValidation>
    <dataValidation type="list" allowBlank="1" showInputMessage="1" showErrorMessage="1" sqref="E9:E23" xr:uid="{00000000-0002-0000-0900-000017000000}">
      <formula1>"IN,OUT,MS"</formula1>
    </dataValidation>
    <dataValidation type="list" allowBlank="1" showInputMessage="1" showErrorMessage="1" errorTitle="Invalid Entry" error="Invalid Entry" sqref="B26:E40" xr:uid="{00000000-0002-0000-0900-000018000000}">
      <formula1>Special_Comments_1</formula1>
    </dataValidation>
    <dataValidation type="whole" errorStyle="warning" allowBlank="1" showInputMessage="1" showErrorMessage="1" errorTitle="Length Warning" error="Please note that only Fascia's are able to be made greater than 3000mm in length._x000a__x000a_Fascia's can be made to a maximum of 3600mm." sqref="C43:C52" xr:uid="{00000000-0002-0000-0900-000019000000}">
      <formula1>0</formula1>
      <formula2>3000</formula2>
    </dataValidation>
    <dataValidation type="list" allowBlank="1" showInputMessage="1" showErrorMessage="1" errorTitle="Invalid Entry" error="Invalid Entry" sqref="K26:L40" xr:uid="{00000000-0002-0000-0900-00001A000000}">
      <formula1>Special_Comments_3</formula1>
    </dataValidation>
    <dataValidation type="list" allowBlank="1" showInputMessage="1" showErrorMessage="1" errorTitle="Invalid Entry" error="Invalid Entry" sqref="D43:D52" xr:uid="{00000000-0002-0000-0900-00001B000000}">
      <formula1>Extras</formula1>
    </dataValidation>
    <dataValidation type="list" allowBlank="1" showInputMessage="1" showErrorMessage="1" errorTitle="Invalid Entry" error="Invalid Entry" sqref="W9:W23" xr:uid="{00000000-0002-0000-0900-00001C000000}">
      <formula1>INDIRECT(AY9)</formula1>
    </dataValidation>
    <dataValidation type="whole" errorStyle="information" allowBlank="1" showInputMessage="1" showErrorMessage="1" errorTitle="Be Aware" error="Minimum Panel Width is 250mm._x000a__x000a_Maximum Panel Width is determined by Material Type &amp; Mounting Method." sqref="C9:C23" xr:uid="{00000000-0002-0000-0900-00001D000000}">
      <formula1>250</formula1>
      <formula2>3600</formula2>
    </dataValidation>
    <dataValidation type="list" allowBlank="1" showInputMessage="1" showErrorMessage="1" errorTitle="Invalid Entry" error="Invalid Entry" sqref="T9:U23" xr:uid="{00000000-0002-0000-0900-00001E000000}">
      <formula1>INDIRECT(EE9)</formula1>
    </dataValidation>
    <dataValidation type="list" allowBlank="1" showInputMessage="1" showErrorMessage="1" errorTitle="Invalid Entry" error="Invalid Entry" sqref="V9:V23" xr:uid="{00000000-0002-0000-0900-00001F000000}">
      <formula1>INDIRECT(EI9)</formula1>
    </dataValidation>
    <dataValidation type="list" allowBlank="1" showInputMessage="1" showErrorMessage="1" errorTitle="Invalid Entry" error="Invalid Entry" sqref="P9:Q23" xr:uid="{00000000-0002-0000-0900-000020000000}">
      <formula1>INDIRECT(EX9)</formula1>
    </dataValidation>
  </dataValidations>
  <printOptions horizontalCentered="1"/>
  <pageMargins left="0.17" right="0.17" top="0.21" bottom="0.21" header="0.17" footer="0.17"/>
  <pageSetup paperSize="9" scale="44"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pageSetUpPr fitToPage="1"/>
  </sheetPr>
  <dimension ref="A1:ABY234"/>
  <sheetViews>
    <sheetView topLeftCell="MC1" zoomScale="130" zoomScaleNormal="130" workbookViewId="0">
      <selection activeCell="MH34" sqref="MH34"/>
    </sheetView>
  </sheetViews>
  <sheetFormatPr defaultColWidth="9.140625" defaultRowHeight="12.75"/>
  <cols>
    <col min="1" max="1" width="24.140625" customWidth="1"/>
    <col min="2" max="2" width="3" customWidth="1"/>
    <col min="3" max="3" width="8.85546875" customWidth="1"/>
    <col min="4" max="4" width="12.140625" customWidth="1"/>
    <col min="5" max="5" width="9.42578125" customWidth="1"/>
    <col min="6" max="6" width="13.5703125" customWidth="1"/>
    <col min="7" max="7" width="16.7109375" customWidth="1"/>
    <col min="8" max="8" width="20.140625" customWidth="1"/>
    <col min="9" max="9" width="3.28515625" customWidth="1"/>
    <col min="10" max="10" width="8.140625" customWidth="1"/>
    <col min="11" max="11" width="25" customWidth="1"/>
    <col min="12" max="12" width="29.7109375" customWidth="1"/>
    <col min="13" max="13" width="8.28515625" customWidth="1"/>
    <col min="14" max="14" width="20.7109375" customWidth="1"/>
    <col min="15" max="15" width="12.7109375" customWidth="1"/>
    <col min="16" max="16" width="12.140625" customWidth="1"/>
    <col min="17" max="17" width="5" customWidth="1"/>
    <col min="18" max="18" width="21.7109375" customWidth="1"/>
    <col min="19" max="19" width="17" customWidth="1"/>
    <col min="20" max="20" width="9.85546875" customWidth="1"/>
    <col min="21" max="21" width="34.5703125" customWidth="1"/>
    <col min="22" max="22" width="77.85546875" customWidth="1"/>
    <col min="23" max="23" width="21.7109375" bestFit="1" customWidth="1"/>
    <col min="24" max="24" width="3.42578125" customWidth="1"/>
    <col min="25" max="27" width="20.7109375" customWidth="1"/>
    <col min="28" max="28" width="27.140625" customWidth="1"/>
    <col min="29" max="29" width="21.140625" customWidth="1"/>
    <col min="30" max="30" width="19.140625" customWidth="1"/>
    <col min="31" max="31" width="23.85546875" customWidth="1"/>
    <col min="32" max="32" width="49.7109375" customWidth="1"/>
    <col min="33" max="33" width="3.85546875" customWidth="1"/>
    <col min="34" max="34" width="49.7109375" customWidth="1"/>
    <col min="35" max="36" width="19.140625" customWidth="1"/>
    <col min="37" max="37" width="22.85546875" customWidth="1"/>
    <col min="38" max="38" width="22.28515625" customWidth="1"/>
    <col min="39" max="39" width="9.140625" customWidth="1"/>
    <col min="40" max="41" width="19.5703125" customWidth="1"/>
    <col min="42" max="44" width="34.28515625" customWidth="1"/>
    <col min="45" max="46" width="9.140625" customWidth="1"/>
    <col min="47" max="47" width="22.140625" customWidth="1"/>
    <col min="48" max="48" width="9.140625" customWidth="1"/>
    <col min="49" max="49" width="122.42578125" customWidth="1"/>
    <col min="50" max="50" width="9.140625" customWidth="1"/>
    <col min="51" max="51" width="18" customWidth="1"/>
    <col min="52" max="52" width="9.140625" customWidth="1"/>
    <col min="53" max="53" width="34.7109375" customWidth="1"/>
    <col min="54" max="54" width="43.28515625" customWidth="1"/>
    <col min="55" max="55" width="19" customWidth="1"/>
    <col min="56" max="56" width="30.28515625" customWidth="1"/>
    <col min="57" max="58" width="18.85546875" customWidth="1"/>
    <col min="59" max="60" width="22.5703125" customWidth="1"/>
    <col min="61" max="61" width="16.28515625" customWidth="1"/>
    <col min="62" max="62" width="19.7109375" customWidth="1"/>
    <col min="63" max="63" width="18.7109375" customWidth="1"/>
    <col min="64" max="64" width="9.140625" customWidth="1"/>
    <col min="65" max="65" width="76" customWidth="1"/>
    <col min="66" max="66" width="9.140625" customWidth="1"/>
    <col min="67" max="67" width="10.140625" customWidth="1"/>
    <col min="68" max="68" width="10.5703125" customWidth="1"/>
    <col min="69" max="69" width="19.28515625" customWidth="1"/>
    <col min="70" max="70" width="9.140625" customWidth="1"/>
    <col min="71" max="71" width="13.140625" customWidth="1"/>
    <col min="72" max="72" width="11.7109375" customWidth="1"/>
    <col min="73" max="73" width="24" customWidth="1"/>
    <col min="74" max="74" width="9.140625" customWidth="1"/>
    <col min="75" max="75" width="14.5703125" customWidth="1"/>
    <col min="76" max="76" width="9.140625" customWidth="1"/>
    <col min="77" max="77" width="20.85546875" customWidth="1"/>
    <col min="78" max="78" width="9.140625" customWidth="1"/>
    <col min="79" max="79" width="20.85546875" customWidth="1"/>
    <col min="80" max="81" width="9.140625" customWidth="1"/>
    <col min="82" max="82" width="24.42578125" customWidth="1"/>
    <col min="83" max="83" width="22" customWidth="1"/>
    <col min="84" max="86" width="17.85546875" customWidth="1"/>
    <col min="87" max="90" width="9.140625" customWidth="1"/>
    <col min="91" max="91" width="10.5703125" customWidth="1"/>
    <col min="92" max="92" width="12.85546875" customWidth="1"/>
    <col min="93" max="93" width="18" customWidth="1"/>
    <col min="94" max="96" width="9.140625" customWidth="1"/>
    <col min="97" max="97" width="15" customWidth="1"/>
    <col min="98" max="98" width="29.7109375" customWidth="1"/>
    <col min="99" max="99" width="17.7109375" customWidth="1"/>
    <col min="100" max="100" width="16.5703125" customWidth="1"/>
    <col min="101" max="101" width="17.85546875" customWidth="1"/>
    <col min="102" max="105" width="17.7109375" customWidth="1"/>
    <col min="106" max="107" width="9.140625" customWidth="1"/>
    <col min="108" max="108" width="12" customWidth="1"/>
    <col min="109" max="109" width="19.7109375" customWidth="1"/>
    <col min="110" max="110" width="9.140625" customWidth="1"/>
    <col min="111" max="111" width="21" customWidth="1"/>
    <col min="112" max="112" width="9.140625" customWidth="1"/>
    <col min="113" max="115" width="24.28515625" customWidth="1"/>
    <col min="116" max="116" width="14.5703125" customWidth="1"/>
    <col min="117" max="118" width="9.140625" customWidth="1"/>
    <col min="119" max="119" width="20.5703125" customWidth="1"/>
    <col min="120" max="120" width="15.140625" customWidth="1"/>
    <col min="121" max="121" width="15.5703125" customWidth="1"/>
    <col min="122" max="122" width="11.140625" style="187" customWidth="1"/>
    <col min="123" max="123" width="18.140625" style="187" customWidth="1"/>
    <col min="124" max="124" width="17.5703125" style="187" customWidth="1"/>
    <col min="125" max="125" width="14.140625" style="187" customWidth="1"/>
    <col min="126" max="126" width="11" style="187" customWidth="1"/>
    <col min="127" max="127" width="16.28515625" style="187" customWidth="1"/>
    <col min="128" max="128" width="9.140625" customWidth="1"/>
    <col min="129" max="129" width="14.140625" style="187" customWidth="1"/>
    <col min="130" max="130" width="16.7109375" style="187" customWidth="1"/>
    <col min="131" max="131" width="16.140625" style="187" customWidth="1"/>
    <col min="132" max="132" width="9.7109375" style="187" customWidth="1"/>
    <col min="133" max="133" width="11" style="187" customWidth="1"/>
    <col min="134" max="134" width="15" style="187" customWidth="1"/>
    <col min="135" max="135" width="9.140625" style="187" customWidth="1"/>
    <col min="136" max="136" width="9.140625" customWidth="1"/>
    <col min="137" max="137" width="11" customWidth="1"/>
    <col min="138" max="139" width="9.140625" customWidth="1"/>
    <col min="140" max="140" width="15.42578125" customWidth="1"/>
    <col min="141" max="141" width="9.140625" customWidth="1"/>
    <col min="142" max="142" width="47.140625" customWidth="1"/>
    <col min="143" max="145" width="55.5703125" bestFit="1" customWidth="1"/>
    <col min="146" max="146" width="9.140625" customWidth="1"/>
    <col min="147" max="147" width="25.5703125" customWidth="1"/>
    <col min="148" max="148" width="24.42578125" customWidth="1"/>
    <col min="149" max="149" width="27" customWidth="1"/>
    <col min="150" max="150" width="24.140625" customWidth="1"/>
    <col min="151" max="151" width="17.5703125" customWidth="1"/>
    <col min="152" max="152" width="9.140625" customWidth="1"/>
    <col min="153" max="153" width="15.42578125" customWidth="1"/>
    <col min="154" max="154" width="15.28515625" customWidth="1"/>
    <col min="155" max="155" width="23.85546875" customWidth="1"/>
    <col min="156" max="156" width="9.140625" customWidth="1"/>
    <col min="157" max="157" width="27.28515625" customWidth="1"/>
    <col min="158" max="158" width="18.85546875" customWidth="1"/>
    <col min="159" max="159" width="21" customWidth="1"/>
    <col min="160" max="161" width="9.140625" customWidth="1"/>
    <col min="162" max="162" width="67.7109375" bestFit="1" customWidth="1"/>
    <col min="163" max="164" width="42.28515625" customWidth="1"/>
    <col min="165" max="165" width="23.42578125" customWidth="1"/>
    <col min="166" max="166" width="25.140625" customWidth="1"/>
    <col min="167" max="167" width="27" customWidth="1"/>
    <col min="168" max="168" width="24.85546875" customWidth="1"/>
    <col min="169" max="170" width="23" customWidth="1"/>
    <col min="171" max="171" width="27" customWidth="1"/>
    <col min="172" max="172" width="44.5703125" customWidth="1"/>
    <col min="173" max="173" width="9.140625" customWidth="1"/>
    <col min="174" max="174" width="40.7109375" customWidth="1"/>
    <col min="175" max="176" width="38" customWidth="1"/>
    <col min="177" max="177" width="36.85546875" customWidth="1"/>
    <col min="178" max="180" width="40.7109375" customWidth="1"/>
    <col min="181" max="181" width="34.28515625" customWidth="1"/>
    <col min="182" max="182" width="27.7109375" customWidth="1"/>
    <col min="183" max="183" width="34.7109375" customWidth="1"/>
    <col min="184" max="184" width="28.140625" customWidth="1"/>
    <col min="185" max="185" width="20.42578125" customWidth="1"/>
    <col min="186" max="187" width="30.28515625" customWidth="1"/>
    <col min="188" max="188" width="30.85546875" customWidth="1"/>
    <col min="189" max="189" width="29.140625" customWidth="1"/>
    <col min="190" max="190" width="32.42578125" customWidth="1"/>
    <col min="191" max="193" width="30.28515625" customWidth="1"/>
    <col min="194" max="194" width="22.5703125" customWidth="1"/>
    <col min="195" max="196" width="34.85546875" customWidth="1"/>
    <col min="197" max="197" width="49.5703125" customWidth="1"/>
    <col min="198" max="198" width="28.28515625" customWidth="1"/>
    <col min="199" max="199" width="20.5703125" customWidth="1"/>
    <col min="200" max="200" width="13.7109375" customWidth="1"/>
    <col min="201" max="201" width="49.7109375" bestFit="1" customWidth="1"/>
    <col min="202" max="202" width="41.42578125" customWidth="1"/>
    <col min="203" max="204" width="30.42578125" customWidth="1"/>
    <col min="205" max="205" width="18.42578125" customWidth="1"/>
    <col min="206" max="206" width="61.28515625" bestFit="1" customWidth="1"/>
    <col min="207" max="207" width="58" customWidth="1"/>
    <col min="208" max="208" width="43.28515625" customWidth="1"/>
    <col min="209" max="209" width="12.42578125" customWidth="1"/>
    <col min="210" max="210" width="14.85546875" customWidth="1"/>
    <col min="211" max="211" width="19.5703125" customWidth="1"/>
    <col min="212" max="212" width="13.140625" customWidth="1"/>
    <col min="213" max="213" width="13.28515625" customWidth="1"/>
    <col min="214" max="214" width="27.28515625" customWidth="1"/>
    <col min="215" max="215" width="21.42578125" customWidth="1"/>
    <col min="216" max="216" width="12.7109375" customWidth="1"/>
    <col min="217" max="217" width="13.5703125" customWidth="1"/>
    <col min="218" max="218" width="12.5703125" customWidth="1"/>
    <col min="219" max="219" width="17.7109375" customWidth="1"/>
    <col min="220" max="220" width="16.28515625" customWidth="1"/>
    <col min="221" max="222" width="19" customWidth="1"/>
    <col min="223" max="223" width="11.7109375" customWidth="1"/>
    <col min="224" max="224" width="14.7109375" customWidth="1"/>
    <col min="225" max="226" width="18.85546875" customWidth="1"/>
    <col min="227" max="227" width="14" customWidth="1"/>
    <col min="228" max="228" width="16.28515625" customWidth="1"/>
    <col min="229" max="229" width="20.42578125" customWidth="1"/>
    <col min="230" max="230" width="9.140625" customWidth="1"/>
    <col min="231" max="231" width="36.85546875" bestFit="1" customWidth="1"/>
    <col min="232" max="232" width="36.85546875" customWidth="1"/>
    <col min="233" max="233" width="24.85546875" customWidth="1"/>
    <col min="234" max="234" width="36.140625" customWidth="1"/>
    <col min="235" max="235" width="36.85546875" customWidth="1"/>
    <col min="236" max="236" width="11.85546875" customWidth="1"/>
    <col min="237" max="238" width="35.42578125" customWidth="1"/>
    <col min="239" max="239" width="10.5703125" customWidth="1"/>
    <col min="240" max="240" width="12.85546875" customWidth="1"/>
    <col min="241" max="241" width="19.85546875" customWidth="1"/>
    <col min="242" max="243" width="18.85546875" customWidth="1"/>
    <col min="244" max="244" width="12.140625" customWidth="1"/>
    <col min="245" max="245" width="9" customWidth="1"/>
    <col min="246" max="246" width="16.85546875" customWidth="1"/>
    <col min="247" max="247" width="14.5703125" customWidth="1"/>
    <col min="248" max="248" width="28" customWidth="1"/>
    <col min="249" max="249" width="13.7109375" customWidth="1"/>
    <col min="250" max="250" width="14.42578125" customWidth="1"/>
    <col min="251" max="251" width="9.5703125" customWidth="1"/>
    <col min="252" max="252" width="13.85546875" customWidth="1"/>
    <col min="253" max="253" width="19.85546875" customWidth="1"/>
    <col min="254" max="254" width="21" customWidth="1"/>
    <col min="255" max="255" width="21.85546875" customWidth="1"/>
    <col min="256" max="256" width="25.140625" bestFit="1" customWidth="1"/>
    <col min="257" max="257" width="25" bestFit="1" customWidth="1"/>
    <col min="258" max="258" width="27.28515625" customWidth="1"/>
    <col min="259" max="259" width="23.85546875" customWidth="1"/>
    <col min="260" max="260" width="14.85546875" customWidth="1"/>
    <col min="261" max="261" width="9.140625" customWidth="1"/>
    <col min="262" max="262" width="11.5703125" customWidth="1"/>
    <col min="263" max="263" width="17.42578125" customWidth="1"/>
    <col min="264" max="264" width="14.7109375" customWidth="1"/>
    <col min="265" max="265" width="13" customWidth="1"/>
    <col min="266" max="266" width="13.28515625" customWidth="1"/>
    <col min="267" max="267" width="14.85546875" customWidth="1"/>
    <col min="268" max="275" width="12.7109375" customWidth="1"/>
    <col min="276" max="276" width="26.28515625" customWidth="1"/>
    <col min="277" max="283" width="12.7109375" customWidth="1"/>
    <col min="284" max="284" width="9.140625" customWidth="1"/>
    <col min="285" max="285" width="38.42578125" customWidth="1"/>
    <col min="286" max="286" width="36.140625" customWidth="1"/>
    <col min="287" max="287" width="9.140625" customWidth="1"/>
    <col min="288" max="288" width="29.140625" customWidth="1"/>
    <col min="289" max="289" width="26.42578125" customWidth="1"/>
    <col min="290" max="290" width="24.140625" customWidth="1"/>
    <col min="291" max="291" width="9.140625" customWidth="1"/>
    <col min="292" max="292" width="16" customWidth="1"/>
    <col min="293" max="293" width="37.140625" customWidth="1"/>
    <col min="294" max="296" width="9.140625" customWidth="1"/>
    <col min="297" max="297" width="17.42578125" customWidth="1"/>
    <col min="298" max="298" width="9.140625" customWidth="1"/>
    <col min="299" max="299" width="31" customWidth="1"/>
    <col min="300" max="301" width="17.42578125" customWidth="1"/>
    <col min="302" max="302" width="21.7109375" customWidth="1"/>
    <col min="303" max="303" width="49.7109375" customWidth="1"/>
    <col min="304" max="304" width="31.7109375" customWidth="1"/>
    <col min="305" max="305" width="27.5703125" customWidth="1"/>
    <col min="306" max="306" width="23.42578125" customWidth="1"/>
    <col min="307" max="307" width="9.140625" customWidth="1"/>
    <col min="308" max="308" width="49.7109375" customWidth="1"/>
    <col min="309" max="309" width="9.140625" customWidth="1"/>
    <col min="310" max="310" width="14.85546875" customWidth="1"/>
    <col min="311" max="311" width="22.5703125" customWidth="1"/>
    <col min="312" max="312" width="11" customWidth="1"/>
    <col min="313" max="313" width="11.7109375" customWidth="1"/>
    <col min="314" max="314" width="16" customWidth="1"/>
    <col min="315" max="315" width="13.28515625" customWidth="1"/>
    <col min="316" max="316" width="24.28515625" customWidth="1"/>
    <col min="317" max="321" width="9.140625" customWidth="1"/>
    <col min="322" max="322" width="15.28515625" customWidth="1"/>
    <col min="323" max="326" width="9.140625" customWidth="1"/>
    <col min="327" max="327" width="17.7109375" customWidth="1"/>
    <col min="328" max="328" width="33.85546875" customWidth="1"/>
    <col min="329" max="329" width="32" customWidth="1"/>
    <col min="330" max="330" width="49.7109375" customWidth="1"/>
    <col min="331" max="331" width="33.85546875" customWidth="1"/>
    <col min="332" max="332" width="33" customWidth="1"/>
    <col min="333" max="333" width="48.85546875" customWidth="1"/>
    <col min="334" max="334" width="8.42578125" customWidth="1"/>
    <col min="335" max="335" width="47.140625" customWidth="1"/>
    <col min="336" max="340" width="27.42578125" style="187" customWidth="1"/>
    <col min="341" max="341" width="18" customWidth="1"/>
    <col min="342" max="342" width="12.28515625" style="187" customWidth="1"/>
    <col min="343" max="345" width="20.5703125" style="187" customWidth="1"/>
    <col min="346" max="346" width="33.85546875" customWidth="1"/>
    <col min="347" max="347" width="32" customWidth="1"/>
    <col min="348" max="348" width="26.42578125" customWidth="1"/>
    <col min="349" max="349" width="20.5703125" customWidth="1"/>
    <col min="350" max="350" width="9.42578125" customWidth="1"/>
    <col min="351" max="351" width="12.28515625" customWidth="1"/>
    <col min="352" max="352" width="23.7109375" customWidth="1"/>
    <col min="353" max="354" width="12.28515625" customWidth="1"/>
    <col min="355" max="358" width="9.140625" customWidth="1"/>
    <col min="359" max="359" width="15.140625" customWidth="1"/>
    <col min="360" max="361" width="9.140625" customWidth="1"/>
    <col min="362" max="362" width="21.42578125" customWidth="1"/>
    <col min="363" max="377" width="9.140625" customWidth="1"/>
    <col min="378" max="378" width="18.7109375" customWidth="1"/>
    <col min="379" max="379" width="20.140625" customWidth="1"/>
    <col min="380" max="380" width="23.28515625" customWidth="1"/>
    <col min="381" max="381" width="23.7109375" customWidth="1"/>
    <col min="382" max="382" width="26.140625" customWidth="1"/>
    <col min="383" max="383" width="25.7109375" customWidth="1"/>
    <col min="384" max="384" width="28" customWidth="1"/>
    <col min="385" max="385" width="23.5703125" customWidth="1"/>
    <col min="386" max="386" width="26" customWidth="1"/>
    <col min="387" max="387" width="26.5703125" customWidth="1"/>
    <col min="388" max="388" width="23.5703125" customWidth="1"/>
    <col min="389" max="389" width="26.28515625" customWidth="1"/>
    <col min="390" max="390" width="20.5703125" customWidth="1"/>
    <col min="391" max="391" width="18.140625" customWidth="1"/>
    <col min="392" max="392" width="22.5703125" customWidth="1"/>
    <col min="393" max="393" width="17.140625" customWidth="1"/>
    <col min="394" max="394" width="16.42578125" customWidth="1"/>
    <col min="395" max="395" width="14.28515625" customWidth="1"/>
    <col min="396" max="396" width="31" customWidth="1"/>
    <col min="397" max="397" width="31" bestFit="1" customWidth="1"/>
    <col min="398" max="398" width="13" customWidth="1"/>
    <col min="399" max="401" width="9.140625" customWidth="1"/>
    <col min="402" max="402" width="20.85546875" customWidth="1"/>
    <col min="403" max="417" width="9.140625" customWidth="1"/>
    <col min="418" max="418" width="7.140625" customWidth="1"/>
    <col min="419" max="419" width="19" customWidth="1"/>
    <col min="420" max="420" width="21.7109375" customWidth="1"/>
    <col min="421" max="421" width="10.42578125" customWidth="1"/>
    <col min="422" max="422" width="7.7109375" customWidth="1"/>
    <col min="423" max="423" width="10.5703125" customWidth="1"/>
    <col min="424" max="424" width="7.7109375" customWidth="1"/>
    <col min="425" max="425" width="19" customWidth="1"/>
    <col min="426" max="426" width="21.7109375" customWidth="1"/>
    <col min="427" max="427" width="9.85546875" customWidth="1"/>
    <col min="428" max="428" width="7.140625" customWidth="1"/>
    <col min="429" max="436" width="9.140625" customWidth="1"/>
    <col min="437" max="437" width="47.5703125" customWidth="1"/>
    <col min="438" max="438" width="24" customWidth="1"/>
    <col min="439" max="439" width="23.42578125" customWidth="1"/>
    <col min="440" max="440" width="19.85546875" customWidth="1"/>
    <col min="441" max="441" width="23.28515625" customWidth="1"/>
    <col min="442" max="442" width="24.7109375" customWidth="1"/>
    <col min="443" max="443" width="19.42578125" customWidth="1"/>
    <col min="444" max="445" width="24.7109375" customWidth="1"/>
    <col min="446" max="446" width="19.42578125" customWidth="1"/>
    <col min="447" max="447" width="23.140625" customWidth="1"/>
    <col min="448" max="448" width="20.42578125" customWidth="1"/>
    <col min="449" max="449" width="30" customWidth="1"/>
    <col min="450" max="450" width="33.28515625" customWidth="1"/>
    <col min="451" max="451" width="9.140625" customWidth="1"/>
    <col min="452" max="452" width="12.5703125" customWidth="1"/>
    <col min="453" max="453" width="49.42578125" bestFit="1" customWidth="1"/>
    <col min="454" max="454" width="56" customWidth="1"/>
    <col min="455" max="455" width="20.85546875" customWidth="1"/>
    <col min="456" max="456" width="49.85546875" customWidth="1"/>
    <col min="457" max="457" width="58.85546875" customWidth="1"/>
    <col min="458" max="458" width="50.5703125" customWidth="1"/>
    <col min="459" max="459" width="51.7109375" customWidth="1"/>
    <col min="460" max="460" width="48.85546875" customWidth="1"/>
    <col min="461" max="461" width="44.5703125" customWidth="1"/>
    <col min="462" max="462" width="43.85546875" customWidth="1"/>
    <col min="463" max="463" width="46.28515625" customWidth="1"/>
    <col min="464" max="464" width="35.5703125" bestFit="1" customWidth="1"/>
    <col min="465" max="465" width="36.85546875" bestFit="1" customWidth="1"/>
    <col min="466" max="469" width="9.140625" customWidth="1"/>
    <col min="470" max="470" width="35.42578125" bestFit="1" customWidth="1"/>
    <col min="471" max="471" width="31.140625" customWidth="1"/>
    <col min="472" max="472" width="20.85546875" customWidth="1"/>
    <col min="473" max="473" width="27.7109375" customWidth="1"/>
    <col min="474" max="475" width="20.85546875" customWidth="1"/>
    <col min="476" max="476" width="29.140625" customWidth="1"/>
    <col min="477" max="478" width="20.85546875" customWidth="1"/>
    <col min="479" max="479" width="29.140625" customWidth="1"/>
    <col min="480" max="482" width="20.85546875" customWidth="1"/>
    <col min="483" max="488" width="9.140625" customWidth="1"/>
    <col min="489" max="490" width="27.5703125" customWidth="1"/>
    <col min="491" max="491" width="22" customWidth="1"/>
    <col min="492" max="492" width="20.85546875" customWidth="1"/>
    <col min="493" max="498" width="9.140625" customWidth="1"/>
    <col min="499" max="499" width="46.140625" customWidth="1"/>
    <col min="500" max="500" width="56" customWidth="1"/>
    <col min="501" max="502" width="40.140625" customWidth="1"/>
    <col min="503" max="504" width="39.85546875" customWidth="1"/>
    <col min="505" max="506" width="40.5703125" customWidth="1"/>
    <col min="507" max="507" width="45.5703125" bestFit="1" customWidth="1"/>
    <col min="508" max="508" width="42.7109375" customWidth="1"/>
    <col min="509" max="509" width="41.140625" customWidth="1"/>
    <col min="510" max="510" width="42.7109375" customWidth="1"/>
    <col min="511" max="511" width="41.140625" customWidth="1"/>
    <col min="512" max="512" width="39.85546875" customWidth="1"/>
    <col min="513" max="513" width="43.140625" customWidth="1"/>
    <col min="514" max="514" width="40.7109375" customWidth="1"/>
    <col min="515" max="521" width="9.140625" customWidth="1"/>
    <col min="522" max="522" width="39.28515625" bestFit="1" customWidth="1"/>
    <col min="523" max="532" width="40.5703125" customWidth="1"/>
    <col min="533" max="533" width="43.7109375" customWidth="1"/>
    <col min="534" max="546" width="40.5703125" customWidth="1"/>
    <col min="547" max="547" width="52.140625" customWidth="1"/>
    <col min="548" max="548" width="42.140625" customWidth="1"/>
    <col min="549" max="549" width="49.5703125" customWidth="1"/>
    <col min="550" max="552" width="47" customWidth="1"/>
    <col min="553" max="554" width="47.7109375" customWidth="1"/>
    <col min="555" max="555" width="46.5703125" customWidth="1"/>
    <col min="556" max="556" width="49.7109375" customWidth="1"/>
    <col min="557" max="557" width="48.28515625" customWidth="1"/>
    <col min="558" max="558" width="55.85546875" customWidth="1"/>
    <col min="559" max="559" width="48.28515625" customWidth="1"/>
    <col min="560" max="560" width="47" customWidth="1"/>
    <col min="561" max="561" width="48.42578125" customWidth="1"/>
    <col min="562" max="564" width="9.140625" customWidth="1"/>
    <col min="565" max="565" width="43.85546875" customWidth="1"/>
    <col min="566" max="566" width="31.28515625" customWidth="1"/>
    <col min="567" max="567" width="21.7109375" customWidth="1"/>
    <col min="568" max="568" width="71.7109375" bestFit="1" customWidth="1"/>
    <col min="569" max="569" width="92.42578125" customWidth="1"/>
    <col min="570" max="570" width="23.140625" customWidth="1"/>
    <col min="571" max="571" width="23.85546875" customWidth="1"/>
    <col min="572" max="572" width="70.5703125" bestFit="1" customWidth="1"/>
    <col min="573" max="573" width="21" customWidth="1"/>
    <col min="574" max="574" width="21.85546875" customWidth="1"/>
    <col min="575" max="575" width="32.140625" customWidth="1"/>
    <col min="576" max="576" width="87.85546875" bestFit="1" customWidth="1"/>
    <col min="577" max="577" width="43.85546875" customWidth="1"/>
    <col min="578" max="578" width="22.28515625" bestFit="1" customWidth="1"/>
    <col min="579" max="583" width="9.140625" customWidth="1"/>
    <col min="584" max="584" width="28.42578125" bestFit="1" customWidth="1"/>
    <col min="585" max="585" width="32" customWidth="1"/>
    <col min="586" max="587" width="31.85546875" customWidth="1"/>
    <col min="588" max="588" width="42.140625" bestFit="1" customWidth="1"/>
    <col min="589" max="589" width="33" customWidth="1"/>
    <col min="590" max="590" width="41.28515625" customWidth="1"/>
    <col min="591" max="591" width="27.7109375" customWidth="1"/>
    <col min="592" max="592" width="30.140625" customWidth="1"/>
    <col min="593" max="593" width="37.28515625" customWidth="1"/>
    <col min="594" max="594" width="28.28515625" customWidth="1"/>
    <col min="595" max="595" width="29" customWidth="1"/>
    <col min="596" max="596" width="39.42578125" customWidth="1"/>
    <col min="597" max="597" width="26.28515625" customWidth="1"/>
    <col min="598" max="598" width="31.140625" customWidth="1"/>
    <col min="599" max="599" width="37.28515625" customWidth="1"/>
    <col min="600" max="600" width="27.7109375" customWidth="1"/>
    <col min="601" max="601" width="30" customWidth="1"/>
    <col min="602" max="602" width="38.5703125" bestFit="1" customWidth="1"/>
    <col min="603" max="603" width="39.28515625" bestFit="1" customWidth="1"/>
    <col min="604" max="604" width="49" bestFit="1" customWidth="1"/>
    <col min="605" max="605" width="40" bestFit="1" customWidth="1"/>
    <col min="606" max="606" width="40.7109375" bestFit="1" customWidth="1"/>
    <col min="607" max="607" width="50.5703125" bestFit="1" customWidth="1"/>
    <col min="608" max="608" width="38" bestFit="1" customWidth="1"/>
    <col min="609" max="609" width="38.7109375" bestFit="1" customWidth="1"/>
    <col min="610" max="610" width="48.42578125" bestFit="1" customWidth="1"/>
    <col min="611" max="611" width="39.42578125" bestFit="1" customWidth="1"/>
    <col min="612" max="612" width="41.5703125" bestFit="1" customWidth="1"/>
    <col min="613" max="613" width="27.42578125" customWidth="1"/>
    <col min="614" max="614" width="29.85546875" customWidth="1"/>
    <col min="615" max="615" width="38" customWidth="1"/>
    <col min="616" max="616" width="28.85546875" customWidth="1"/>
    <col min="617" max="617" width="29.7109375" customWidth="1"/>
    <col min="618" max="618" width="39.42578125" customWidth="1"/>
    <col min="619" max="619" width="26.85546875" customWidth="1"/>
    <col min="620" max="620" width="31.140625" customWidth="1"/>
    <col min="621" max="621" width="37.28515625" customWidth="1"/>
    <col min="622" max="622" width="28.28515625" customWidth="1"/>
    <col min="623" max="623" width="30.5703125" customWidth="1"/>
    <col min="624" max="628" width="9.140625" customWidth="1"/>
    <col min="629" max="629" width="21.28515625" customWidth="1"/>
    <col min="630" max="632" width="38.42578125" customWidth="1"/>
    <col min="633" max="633" width="39" customWidth="1"/>
    <col min="634" max="634" width="45" customWidth="1"/>
    <col min="635" max="640" width="9.140625" customWidth="1"/>
    <col min="641" max="641" width="18" customWidth="1"/>
    <col min="642" max="642" width="9.140625" customWidth="1"/>
    <col min="643" max="643" width="39.28515625" bestFit="1" customWidth="1"/>
    <col min="644" max="644" width="17.85546875" customWidth="1"/>
    <col min="645" max="645" width="19.7109375" bestFit="1" customWidth="1"/>
    <col min="646" max="646" width="25.7109375" bestFit="1" customWidth="1"/>
    <col min="647" max="649" width="25.7109375" customWidth="1"/>
    <col min="650" max="650" width="20.5703125" customWidth="1"/>
    <col min="651" max="652" width="17.42578125" customWidth="1"/>
    <col min="653" max="653" width="18.85546875" customWidth="1"/>
    <col min="654" max="654" width="17.7109375" customWidth="1"/>
    <col min="655" max="655" width="20.7109375" customWidth="1"/>
    <col min="656" max="656" width="18.5703125" customWidth="1"/>
    <col min="657" max="657" width="22.28515625" bestFit="1" customWidth="1"/>
    <col min="658" max="658" width="25" bestFit="1" customWidth="1"/>
    <col min="659" max="659" width="24.85546875" bestFit="1" customWidth="1"/>
    <col min="660" max="660" width="19.7109375" bestFit="1" customWidth="1"/>
    <col min="661" max="661" width="23.5703125" bestFit="1" customWidth="1"/>
    <col min="662" max="662" width="21.7109375" bestFit="1" customWidth="1"/>
    <col min="663" max="663" width="18.7109375" bestFit="1" customWidth="1"/>
    <col min="664" max="664" width="16.42578125" bestFit="1" customWidth="1"/>
    <col min="665" max="665" width="16.42578125" customWidth="1"/>
    <col min="666" max="666" width="22.5703125" bestFit="1" customWidth="1"/>
    <col min="667" max="667" width="39" customWidth="1"/>
    <col min="668" max="668" width="46.28515625" customWidth="1"/>
    <col min="669" max="670" width="9.140625" customWidth="1"/>
    <col min="671" max="671" width="27.5703125" customWidth="1"/>
    <col min="672" max="672" width="21.7109375" customWidth="1"/>
    <col min="673" max="673" width="22.42578125" customWidth="1"/>
    <col min="674" max="674" width="32.7109375" customWidth="1"/>
    <col min="675" max="675" width="23.140625" customWidth="1"/>
    <col min="676" max="676" width="23.85546875" customWidth="1"/>
    <col min="677" max="677" width="34.28515625" customWidth="1"/>
    <col min="678" max="678" width="21" customWidth="1"/>
    <col min="679" max="679" width="21.85546875" customWidth="1"/>
    <col min="680" max="680" width="32.140625" customWidth="1"/>
    <col min="681" max="681" width="22.5703125" customWidth="1"/>
    <col min="682" max="682" width="24.7109375" customWidth="1"/>
    <col min="683" max="683" width="46" bestFit="1" customWidth="1"/>
    <col min="684" max="684" width="9.140625" customWidth="1"/>
    <col min="685" max="685" width="24.28515625" customWidth="1"/>
    <col min="687" max="687" width="27.5703125" bestFit="1" customWidth="1"/>
    <col min="690" max="690" width="14.7109375" bestFit="1" customWidth="1"/>
    <col min="693" max="693" width="27.5703125" bestFit="1" customWidth="1"/>
    <col min="699" max="699" width="27.5703125" bestFit="1" customWidth="1"/>
    <col min="705" max="705" width="27.5703125" bestFit="1" customWidth="1"/>
    <col min="713" max="713" width="17.42578125" bestFit="1" customWidth="1"/>
    <col min="714" max="714" width="19.28515625" customWidth="1"/>
    <col min="715" max="715" width="18.42578125" customWidth="1"/>
    <col min="730" max="730" width="23" customWidth="1"/>
    <col min="731" max="731" width="16" customWidth="1"/>
    <col min="732" max="732" width="29.140625" customWidth="1"/>
    <col min="733" max="733" width="24.5703125" bestFit="1" customWidth="1"/>
    <col min="734" max="734" width="14.140625" bestFit="1" customWidth="1"/>
    <col min="740" max="741" width="17.140625" customWidth="1"/>
    <col min="742" max="742" width="27" bestFit="1" customWidth="1"/>
    <col min="743" max="743" width="32" customWidth="1"/>
    <col min="744" max="749" width="63.42578125" bestFit="1" customWidth="1"/>
  </cols>
  <sheetData>
    <row r="1" spans="1:753" ht="15">
      <c r="A1" t="s">
        <v>127</v>
      </c>
      <c r="B1">
        <v>35</v>
      </c>
      <c r="C1" t="s">
        <v>128</v>
      </c>
      <c r="D1" t="s">
        <v>129</v>
      </c>
      <c r="E1" t="s">
        <v>130</v>
      </c>
      <c r="F1" t="s">
        <v>131</v>
      </c>
      <c r="G1" t="s">
        <v>132</v>
      </c>
      <c r="H1" t="s">
        <v>133</v>
      </c>
      <c r="I1" t="s">
        <v>134</v>
      </c>
      <c r="J1">
        <v>1000</v>
      </c>
      <c r="K1" t="s">
        <v>135</v>
      </c>
      <c r="L1" s="6" t="s">
        <v>139</v>
      </c>
      <c r="M1">
        <v>110</v>
      </c>
      <c r="N1" t="s">
        <v>123</v>
      </c>
      <c r="O1">
        <v>215205</v>
      </c>
      <c r="P1" t="s">
        <v>124</v>
      </c>
      <c r="Q1">
        <v>2234</v>
      </c>
      <c r="R1" t="s">
        <v>125</v>
      </c>
      <c r="S1" t="s">
        <v>126</v>
      </c>
      <c r="T1">
        <v>1973</v>
      </c>
      <c r="V1" s="1" t="s">
        <v>982</v>
      </c>
      <c r="W1" s="35"/>
      <c r="X1" s="35"/>
      <c r="Y1" s="38"/>
      <c r="Z1" s="38" t="s">
        <v>216</v>
      </c>
      <c r="AA1" s="38"/>
      <c r="AB1" s="38"/>
      <c r="AC1" s="38"/>
      <c r="AD1" s="38"/>
      <c r="AE1" s="38"/>
      <c r="AF1" s="38"/>
      <c r="AG1" s="38"/>
      <c r="AH1" s="38"/>
      <c r="AI1" s="38"/>
      <c r="AJ1" s="38" t="s">
        <v>230</v>
      </c>
      <c r="AK1" s="187" t="s">
        <v>948</v>
      </c>
      <c r="AL1" s="38" t="s">
        <v>211</v>
      </c>
      <c r="AN1" s="38" t="s">
        <v>236</v>
      </c>
      <c r="AO1" s="38"/>
      <c r="AP1" s="38" t="s">
        <v>276</v>
      </c>
      <c r="AQ1" s="38" t="s">
        <v>281</v>
      </c>
      <c r="AR1" s="38" t="s">
        <v>288</v>
      </c>
      <c r="AU1" s="807"/>
      <c r="AV1" s="807"/>
      <c r="AW1" s="807"/>
      <c r="AX1" s="807"/>
      <c r="AY1" s="807"/>
      <c r="EW1" t="s">
        <v>150</v>
      </c>
      <c r="FA1" t="s">
        <v>614</v>
      </c>
      <c r="FF1" t="s">
        <v>641</v>
      </c>
      <c r="FG1" s="210" t="s">
        <v>1545</v>
      </c>
      <c r="FH1" s="210" t="s">
        <v>1546</v>
      </c>
      <c r="FI1" s="35" t="s">
        <v>999</v>
      </c>
      <c r="FJ1" t="s">
        <v>644</v>
      </c>
      <c r="FK1" t="s">
        <v>647</v>
      </c>
      <c r="FL1" t="s">
        <v>648</v>
      </c>
      <c r="FM1" t="s">
        <v>645</v>
      </c>
      <c r="FN1" t="s">
        <v>646</v>
      </c>
      <c r="FO1" t="s">
        <v>949</v>
      </c>
      <c r="FP1" t="s">
        <v>664</v>
      </c>
      <c r="FR1" t="s">
        <v>1084</v>
      </c>
      <c r="FS1" t="s">
        <v>696</v>
      </c>
      <c r="FT1" t="s">
        <v>697</v>
      </c>
      <c r="FU1" t="s">
        <v>698</v>
      </c>
      <c r="FV1" t="s">
        <v>699</v>
      </c>
      <c r="FW1" t="s">
        <v>700</v>
      </c>
      <c r="FX1" t="s">
        <v>701</v>
      </c>
      <c r="FY1" s="35" t="s">
        <v>833</v>
      </c>
      <c r="FZ1" t="s">
        <v>702</v>
      </c>
      <c r="GA1" t="s">
        <v>703</v>
      </c>
      <c r="GB1" t="s">
        <v>704</v>
      </c>
      <c r="GC1" t="s">
        <v>705</v>
      </c>
      <c r="GD1" t="s">
        <v>706</v>
      </c>
      <c r="GE1" t="s">
        <v>707</v>
      </c>
      <c r="GF1" t="s">
        <v>708</v>
      </c>
      <c r="GG1" t="s">
        <v>709</v>
      </c>
      <c r="GH1" t="s">
        <v>710</v>
      </c>
      <c r="GI1" t="s">
        <v>711</v>
      </c>
      <c r="GJ1" t="s">
        <v>712</v>
      </c>
      <c r="GK1" t="s">
        <v>713</v>
      </c>
      <c r="GL1" t="s">
        <v>714</v>
      </c>
      <c r="GM1" t="s">
        <v>715</v>
      </c>
      <c r="GN1" t="s">
        <v>716</v>
      </c>
      <c r="GO1" t="s">
        <v>781</v>
      </c>
      <c r="GP1" t="s">
        <v>717</v>
      </c>
      <c r="GQ1" t="s">
        <v>718</v>
      </c>
      <c r="GR1" t="s">
        <v>719</v>
      </c>
      <c r="GS1" s="327" t="s">
        <v>834</v>
      </c>
      <c r="GT1" t="s">
        <v>782</v>
      </c>
      <c r="GU1" t="s">
        <v>720</v>
      </c>
      <c r="GV1" t="s">
        <v>721</v>
      </c>
      <c r="GW1" t="s">
        <v>722</v>
      </c>
      <c r="GX1" s="327" t="s">
        <v>835</v>
      </c>
      <c r="GY1" t="s">
        <v>868</v>
      </c>
      <c r="GZ1" t="s">
        <v>869</v>
      </c>
      <c r="HX1" t="s">
        <v>727</v>
      </c>
      <c r="JH1" s="808" t="s">
        <v>805</v>
      </c>
      <c r="JI1" s="808"/>
      <c r="JJ1" s="808"/>
      <c r="JK1" s="808"/>
      <c r="JL1" s="808"/>
      <c r="JM1" s="808"/>
      <c r="JN1" s="808"/>
      <c r="JO1" s="808"/>
      <c r="JP1" s="808"/>
      <c r="JQ1" s="808"/>
      <c r="JR1" s="808"/>
      <c r="JS1" s="808"/>
      <c r="JT1" s="808"/>
      <c r="JU1" s="808"/>
      <c r="JV1" s="808"/>
      <c r="JW1" s="808"/>
      <c r="KK1" t="s">
        <v>846</v>
      </c>
      <c r="KM1" t="s">
        <v>26</v>
      </c>
      <c r="KN1" t="s">
        <v>867</v>
      </c>
      <c r="KO1" t="s">
        <v>861</v>
      </c>
      <c r="KP1" t="s">
        <v>843</v>
      </c>
      <c r="KQ1" t="s">
        <v>862</v>
      </c>
      <c r="KR1" t="s">
        <v>863</v>
      </c>
      <c r="KS1" t="s">
        <v>857</v>
      </c>
      <c r="KT1" t="s">
        <v>858</v>
      </c>
      <c r="KX1" t="s">
        <v>859</v>
      </c>
      <c r="KY1" t="s">
        <v>860</v>
      </c>
      <c r="LA1" t="s">
        <v>26</v>
      </c>
      <c r="LB1" t="s">
        <v>842</v>
      </c>
      <c r="LC1" t="s">
        <v>843</v>
      </c>
      <c r="LD1" t="s">
        <v>844</v>
      </c>
      <c r="LJ1" t="s">
        <v>802</v>
      </c>
      <c r="LW1" s="186" t="s">
        <v>938</v>
      </c>
      <c r="LX1" s="195" t="s">
        <v>934</v>
      </c>
      <c r="LY1" s="197" t="s">
        <v>935</v>
      </c>
      <c r="LZ1" s="193" t="s">
        <v>936</v>
      </c>
      <c r="MA1" s="191" t="s">
        <v>939</v>
      </c>
      <c r="MB1" s="189" t="s">
        <v>940</v>
      </c>
      <c r="MC1" s="198" t="s">
        <v>947</v>
      </c>
      <c r="ME1" s="187" t="s">
        <v>155</v>
      </c>
      <c r="MH1" t="s">
        <v>14</v>
      </c>
      <c r="MX1" t="s">
        <v>1004</v>
      </c>
      <c r="NO1" s="809" t="s">
        <v>357</v>
      </c>
      <c r="NP1" s="809"/>
      <c r="NQ1" s="809"/>
      <c r="NR1" s="809"/>
      <c r="NS1" s="809"/>
      <c r="NT1" s="809"/>
      <c r="NU1" s="809"/>
      <c r="NV1" s="809"/>
      <c r="NW1" s="809"/>
      <c r="NX1" s="809"/>
      <c r="NY1" s="809"/>
      <c r="NZ1" s="809"/>
      <c r="OA1" s="809"/>
      <c r="OB1" s="809"/>
      <c r="OC1" s="809"/>
      <c r="OD1" s="809"/>
      <c r="OE1" s="809"/>
      <c r="OL1" t="s">
        <v>1079</v>
      </c>
      <c r="PB1" t="s">
        <v>1094</v>
      </c>
      <c r="PC1" t="s">
        <v>1140</v>
      </c>
      <c r="PD1" t="s">
        <v>1131</v>
      </c>
      <c r="PE1" t="s">
        <v>1091</v>
      </c>
      <c r="PF1" t="s">
        <v>1095</v>
      </c>
      <c r="PG1" t="s">
        <v>1092</v>
      </c>
      <c r="PH1" t="s">
        <v>1093</v>
      </c>
      <c r="PI1" t="s">
        <v>1141</v>
      </c>
      <c r="PJ1" t="s">
        <v>1130</v>
      </c>
      <c r="PK1" t="s">
        <v>215</v>
      </c>
      <c r="PL1" t="s">
        <v>1090</v>
      </c>
      <c r="PU1" t="s">
        <v>1129</v>
      </c>
      <c r="PV1" t="s">
        <v>1437</v>
      </c>
      <c r="PW1" t="s">
        <v>1438</v>
      </c>
      <c r="PX1" t="s">
        <v>1152</v>
      </c>
      <c r="PY1" t="s">
        <v>1153</v>
      </c>
      <c r="PZ1" t="s">
        <v>1154</v>
      </c>
      <c r="QA1" t="s">
        <v>1155</v>
      </c>
      <c r="QB1" t="s">
        <v>1156</v>
      </c>
      <c r="QC1" t="s">
        <v>1157</v>
      </c>
      <c r="QD1" t="s">
        <v>1158</v>
      </c>
      <c r="QE1" t="s">
        <v>1159</v>
      </c>
      <c r="QF1" t="s">
        <v>1160</v>
      </c>
      <c r="QG1" t="s">
        <v>1161</v>
      </c>
      <c r="QH1" t="s">
        <v>1169</v>
      </c>
      <c r="QJ1" s="35" t="s">
        <v>1537</v>
      </c>
      <c r="QK1" t="s">
        <v>1216</v>
      </c>
      <c r="QL1" t="s">
        <v>1422</v>
      </c>
      <c r="QM1" t="s">
        <v>1423</v>
      </c>
      <c r="QN1" t="s">
        <v>1408</v>
      </c>
      <c r="QO1" t="s">
        <v>1409</v>
      </c>
      <c r="QP1" t="s">
        <v>1410</v>
      </c>
      <c r="QQ1" t="s">
        <v>1411</v>
      </c>
      <c r="QR1" t="s">
        <v>1412</v>
      </c>
      <c r="QS1" t="s">
        <v>1413</v>
      </c>
      <c r="QT1" t="s">
        <v>1433</v>
      </c>
      <c r="QU1" t="s">
        <v>1414</v>
      </c>
      <c r="QV1" t="s">
        <v>1502</v>
      </c>
      <c r="QW1" t="s">
        <v>1503</v>
      </c>
      <c r="RB1" t="s">
        <v>1173</v>
      </c>
      <c r="RC1" t="s">
        <v>1191</v>
      </c>
      <c r="RD1" t="s">
        <v>1206</v>
      </c>
      <c r="RE1" t="s">
        <v>1213</v>
      </c>
      <c r="RF1" t="s">
        <v>1207</v>
      </c>
      <c r="RG1" t="s">
        <v>1201</v>
      </c>
      <c r="RH1" t="s">
        <v>1212</v>
      </c>
      <c r="RI1" t="s">
        <v>1184</v>
      </c>
      <c r="RJ1" t="s">
        <v>1202</v>
      </c>
      <c r="RK1" t="s">
        <v>1181</v>
      </c>
      <c r="RL1" t="s">
        <v>1182</v>
      </c>
      <c r="RM1" t="s">
        <v>1200</v>
      </c>
      <c r="RN1" t="s">
        <v>1199</v>
      </c>
      <c r="RQ1" s="348" t="s">
        <v>2185</v>
      </c>
      <c r="RU1" t="s">
        <v>1180</v>
      </c>
      <c r="RW1" t="s">
        <v>1193</v>
      </c>
      <c r="RX1" s="237" t="s">
        <v>1198</v>
      </c>
      <c r="SE1" t="s">
        <v>1353</v>
      </c>
      <c r="SF1" t="s">
        <v>1352</v>
      </c>
      <c r="SG1" t="s">
        <v>1351</v>
      </c>
      <c r="SH1" t="s">
        <v>1252</v>
      </c>
      <c r="SI1" t="s">
        <v>1350</v>
      </c>
      <c r="SJ1" t="s">
        <v>1349</v>
      </c>
      <c r="SK1" t="s">
        <v>1348</v>
      </c>
      <c r="SL1" t="s">
        <v>1347</v>
      </c>
      <c r="SM1" t="s">
        <v>1346</v>
      </c>
      <c r="SN1" t="s">
        <v>1345</v>
      </c>
      <c r="SO1" t="s">
        <v>1344</v>
      </c>
      <c r="SP1" t="s">
        <v>1343</v>
      </c>
      <c r="SQ1" t="s">
        <v>1342</v>
      </c>
      <c r="SR1" t="s">
        <v>1341</v>
      </c>
      <c r="SS1" t="s">
        <v>1340</v>
      </c>
      <c r="ST1" t="s">
        <v>1339</v>
      </c>
      <c r="TB1" s="207"/>
      <c r="TC1" s="460" t="s">
        <v>1177</v>
      </c>
      <c r="TD1" s="35" t="s">
        <v>1852</v>
      </c>
      <c r="TE1" s="35" t="s">
        <v>1854</v>
      </c>
      <c r="TF1" s="210" t="s">
        <v>1853</v>
      </c>
      <c r="TG1" s="35" t="s">
        <v>1855</v>
      </c>
      <c r="TH1" s="206" t="s">
        <v>1856</v>
      </c>
      <c r="TI1" s="35" t="s">
        <v>1868</v>
      </c>
      <c r="TJ1" s="35" t="s">
        <v>1869</v>
      </c>
      <c r="TK1" s="35" t="s">
        <v>1870</v>
      </c>
      <c r="TL1" s="35" t="s">
        <v>1871</v>
      </c>
      <c r="TM1" s="460" t="s">
        <v>1178</v>
      </c>
      <c r="TN1" s="460" t="s">
        <v>1185</v>
      </c>
      <c r="TO1" s="460" t="s">
        <v>1189</v>
      </c>
      <c r="TP1" s="460" t="s">
        <v>1187</v>
      </c>
      <c r="TQ1" s="460" t="s">
        <v>1188</v>
      </c>
      <c r="TR1" s="460" t="s">
        <v>2152</v>
      </c>
      <c r="TS1" s="460" t="s">
        <v>2151</v>
      </c>
      <c r="TT1" s="460" t="s">
        <v>2153</v>
      </c>
      <c r="TU1" s="460" t="s">
        <v>2155</v>
      </c>
      <c r="TV1" s="461" t="s">
        <v>1853</v>
      </c>
      <c r="TW1" s="460" t="s">
        <v>2154</v>
      </c>
      <c r="TX1" s="460" t="s">
        <v>2156</v>
      </c>
      <c r="TY1" s="460" t="s">
        <v>1186</v>
      </c>
      <c r="TZ1" s="460" t="s">
        <v>1190</v>
      </c>
      <c r="UA1" s="207" t="s">
        <v>1215</v>
      </c>
      <c r="UB1" s="255" t="s">
        <v>1440</v>
      </c>
      <c r="UC1" t="s">
        <v>1254</v>
      </c>
      <c r="UD1" t="s">
        <v>1261</v>
      </c>
      <c r="UE1" t="s">
        <v>1260</v>
      </c>
      <c r="UF1" t="s">
        <v>1262</v>
      </c>
      <c r="UG1" t="s">
        <v>1263</v>
      </c>
      <c r="UH1" t="s">
        <v>1264</v>
      </c>
      <c r="UI1" t="s">
        <v>1265</v>
      </c>
      <c r="UJ1" t="s">
        <v>1266</v>
      </c>
      <c r="UK1" t="s">
        <v>1267</v>
      </c>
      <c r="UL1" t="s">
        <v>1338</v>
      </c>
      <c r="UM1" t="s">
        <v>1268</v>
      </c>
      <c r="UN1" t="s">
        <v>1269</v>
      </c>
      <c r="UO1" t="s">
        <v>1270</v>
      </c>
      <c r="US1" t="s">
        <v>1296</v>
      </c>
      <c r="UU1" t="s">
        <v>1300</v>
      </c>
      <c r="UV1" t="s">
        <v>1301</v>
      </c>
      <c r="UW1" t="s">
        <v>2326</v>
      </c>
      <c r="UX1" t="s">
        <v>1302</v>
      </c>
      <c r="UY1" t="s">
        <v>1303</v>
      </c>
      <c r="UZ1" t="s">
        <v>2325</v>
      </c>
      <c r="VA1" t="s">
        <v>1304</v>
      </c>
      <c r="VB1" t="s">
        <v>1305</v>
      </c>
      <c r="VC1" t="s">
        <v>2327</v>
      </c>
      <c r="VD1" s="35" t="s">
        <v>2049</v>
      </c>
      <c r="VE1" t="s">
        <v>1306</v>
      </c>
      <c r="VF1" t="s">
        <v>1469</v>
      </c>
      <c r="VL1" s="245"/>
      <c r="VM1" s="245" t="s">
        <v>1174</v>
      </c>
      <c r="VN1" s="245" t="s">
        <v>1175</v>
      </c>
      <c r="VO1" s="245" t="s">
        <v>1851</v>
      </c>
      <c r="VP1" s="245" t="s">
        <v>2136</v>
      </c>
      <c r="VQ1" s="245" t="s">
        <v>1176</v>
      </c>
      <c r="VR1" s="243" t="s">
        <v>1389</v>
      </c>
      <c r="VS1" s="204" t="s">
        <v>1354</v>
      </c>
      <c r="VT1" s="178" t="s">
        <v>1355</v>
      </c>
      <c r="VU1" s="204" t="s">
        <v>1361</v>
      </c>
      <c r="VV1" s="178" t="s">
        <v>1360</v>
      </c>
      <c r="VW1" s="178" t="s">
        <v>1356</v>
      </c>
      <c r="VX1" s="178" t="s">
        <v>1364</v>
      </c>
      <c r="VY1" s="178" t="s">
        <v>1357</v>
      </c>
      <c r="VZ1" s="178" t="s">
        <v>1358</v>
      </c>
      <c r="WA1" s="178" t="s">
        <v>1363</v>
      </c>
      <c r="WB1" s="178" t="s">
        <v>1359</v>
      </c>
      <c r="WC1" s="178" t="s">
        <v>1362</v>
      </c>
      <c r="WD1" s="241" t="s">
        <v>1365</v>
      </c>
      <c r="WE1" s="241" t="s">
        <v>1366</v>
      </c>
      <c r="WF1" s="241" t="s">
        <v>1367</v>
      </c>
      <c r="WG1" s="241" t="s">
        <v>1368</v>
      </c>
      <c r="WH1" s="241" t="s">
        <v>1369</v>
      </c>
      <c r="WI1" s="241" t="s">
        <v>1370</v>
      </c>
      <c r="WJ1" s="241" t="s">
        <v>1371</v>
      </c>
      <c r="WK1" s="241" t="s">
        <v>1372</v>
      </c>
      <c r="WL1" s="241" t="s">
        <v>1373</v>
      </c>
      <c r="WM1" s="241" t="s">
        <v>1374</v>
      </c>
      <c r="WN1" s="241" t="s">
        <v>1375</v>
      </c>
      <c r="WO1" s="242" t="s">
        <v>1376</v>
      </c>
      <c r="WP1" s="242" t="s">
        <v>1377</v>
      </c>
      <c r="WQ1" s="242" t="s">
        <v>1378</v>
      </c>
      <c r="WR1" s="242" t="s">
        <v>1379</v>
      </c>
      <c r="WS1" s="242" t="s">
        <v>1380</v>
      </c>
      <c r="WT1" s="242" t="s">
        <v>1381</v>
      </c>
      <c r="WU1" s="242" t="s">
        <v>1382</v>
      </c>
      <c r="WV1" s="242" t="s">
        <v>1383</v>
      </c>
      <c r="WW1" s="242" t="s">
        <v>1384</v>
      </c>
      <c r="WX1" s="242" t="s">
        <v>1385</v>
      </c>
      <c r="WY1" s="242" t="s">
        <v>1386</v>
      </c>
      <c r="XF1" t="s">
        <v>1390</v>
      </c>
      <c r="XG1" t="s">
        <v>1392</v>
      </c>
      <c r="XH1" s="178" t="s">
        <v>1932</v>
      </c>
      <c r="XI1" t="s">
        <v>1391</v>
      </c>
      <c r="XJ1" t="s">
        <v>2222</v>
      </c>
      <c r="XQ1" t="s">
        <v>1393</v>
      </c>
      <c r="XT1" s="207" t="s">
        <v>1177</v>
      </c>
      <c r="XU1" s="207" t="s">
        <v>2153</v>
      </c>
      <c r="XV1" s="207" t="s">
        <v>2155</v>
      </c>
      <c r="XW1" s="207" t="s">
        <v>2154</v>
      </c>
      <c r="XX1" s="207" t="s">
        <v>2152</v>
      </c>
      <c r="XY1" s="207" t="s">
        <v>2151</v>
      </c>
      <c r="XZ1" s="207" t="s">
        <v>1178</v>
      </c>
      <c r="YA1" s="207" t="s">
        <v>1185</v>
      </c>
      <c r="YB1" s="207" t="s">
        <v>1189</v>
      </c>
      <c r="YC1" s="207" t="s">
        <v>1187</v>
      </c>
      <c r="YD1" s="207" t="s">
        <v>1188</v>
      </c>
      <c r="YE1" s="207" t="s">
        <v>1186</v>
      </c>
      <c r="YF1" s="207" t="s">
        <v>1190</v>
      </c>
      <c r="YG1" s="207" t="s">
        <v>1852</v>
      </c>
      <c r="YH1" s="207" t="s">
        <v>1854</v>
      </c>
      <c r="YI1" s="207" t="s">
        <v>1853</v>
      </c>
      <c r="YJ1" s="207" t="s">
        <v>1855</v>
      </c>
      <c r="YK1" s="207" t="s">
        <v>1856</v>
      </c>
      <c r="YL1" s="207" t="s">
        <v>1868</v>
      </c>
      <c r="YM1" s="207" t="s">
        <v>1869</v>
      </c>
      <c r="YN1" s="207" t="s">
        <v>1870</v>
      </c>
      <c r="YO1" s="207" t="s">
        <v>2156</v>
      </c>
      <c r="YP1" s="207" t="s">
        <v>1871</v>
      </c>
      <c r="YQ1" s="207" t="s">
        <v>1215</v>
      </c>
      <c r="YR1" s="207" t="s">
        <v>1440</v>
      </c>
      <c r="YV1" t="s">
        <v>1395</v>
      </c>
      <c r="YW1" t="s">
        <v>1396</v>
      </c>
      <c r="YX1" t="s">
        <v>1441</v>
      </c>
      <c r="YY1" t="s">
        <v>1397</v>
      </c>
      <c r="YZ1" t="s">
        <v>1398</v>
      </c>
      <c r="ZA1" t="s">
        <v>1442</v>
      </c>
      <c r="ZB1" t="s">
        <v>1399</v>
      </c>
      <c r="ZC1" t="s">
        <v>1400</v>
      </c>
      <c r="ZD1" t="s">
        <v>1443</v>
      </c>
      <c r="ZE1" t="s">
        <v>1401</v>
      </c>
      <c r="ZF1" t="s">
        <v>1402</v>
      </c>
      <c r="ZG1" t="s">
        <v>1470</v>
      </c>
      <c r="ZI1" s="199" t="s">
        <v>1174</v>
      </c>
      <c r="ZK1" s="199" t="s">
        <v>1453</v>
      </c>
      <c r="ZL1" s="199" t="s">
        <v>1404</v>
      </c>
      <c r="ZM1" s="199" t="s">
        <v>2335</v>
      </c>
      <c r="ZN1" s="199" t="s">
        <v>2336</v>
      </c>
      <c r="ZO1" s="199" t="s">
        <v>2337</v>
      </c>
      <c r="ZP1" s="199" t="s">
        <v>2338</v>
      </c>
      <c r="ZQ1" s="199" t="s">
        <v>1474</v>
      </c>
      <c r="ZR1" s="199" t="s">
        <v>1404</v>
      </c>
      <c r="ZS1" s="199" t="s">
        <v>2335</v>
      </c>
      <c r="ZT1" s="199" t="s">
        <v>2336</v>
      </c>
      <c r="ZU1" s="199" t="s">
        <v>2337</v>
      </c>
      <c r="ZV1" s="199" t="s">
        <v>2338</v>
      </c>
      <c r="ZW1" s="199" t="s">
        <v>1473</v>
      </c>
      <c r="ZX1" s="199" t="s">
        <v>1404</v>
      </c>
      <c r="ZY1" s="199" t="s">
        <v>2335</v>
      </c>
      <c r="ZZ1" s="199" t="s">
        <v>2336</v>
      </c>
      <c r="AAA1" s="199" t="s">
        <v>2337</v>
      </c>
      <c r="AAB1" s="199" t="s">
        <v>2338</v>
      </c>
      <c r="AAC1" s="199" t="s">
        <v>1987</v>
      </c>
      <c r="AAD1" s="199" t="s">
        <v>1404</v>
      </c>
      <c r="AAE1" s="199" t="s">
        <v>2335</v>
      </c>
      <c r="AAF1" s="199" t="s">
        <v>2336</v>
      </c>
      <c r="AAG1" s="199" t="s">
        <v>2337</v>
      </c>
      <c r="AAH1" s="199" t="s">
        <v>2338</v>
      </c>
      <c r="AAL1" t="s">
        <v>404</v>
      </c>
      <c r="AAM1" t="s">
        <v>405</v>
      </c>
      <c r="ABB1" t="s">
        <v>1476</v>
      </c>
      <c r="ABC1" t="s">
        <v>955</v>
      </c>
      <c r="ABD1" t="s">
        <v>1479</v>
      </c>
      <c r="ABE1" t="s">
        <v>1480</v>
      </c>
      <c r="ABF1" t="s">
        <v>1478</v>
      </c>
      <c r="ABL1" t="s">
        <v>955</v>
      </c>
      <c r="ABN1" t="s">
        <v>1481</v>
      </c>
      <c r="ABO1" t="s">
        <v>1482</v>
      </c>
      <c r="ABP1" t="s">
        <v>1483</v>
      </c>
      <c r="ABQ1" t="s">
        <v>1484</v>
      </c>
      <c r="ABR1" t="s">
        <v>1485</v>
      </c>
      <c r="ABS1" t="s">
        <v>1486</v>
      </c>
      <c r="ABT1" t="s">
        <v>1487</v>
      </c>
      <c r="ABU1" t="s">
        <v>1488</v>
      </c>
      <c r="ABV1" t="s">
        <v>584</v>
      </c>
      <c r="ABW1" t="s">
        <v>1490</v>
      </c>
      <c r="ABX1" t="s">
        <v>1491</v>
      </c>
      <c r="ABY1" t="s">
        <v>1492</v>
      </c>
    </row>
    <row r="2" spans="1:753">
      <c r="A2" t="s">
        <v>31</v>
      </c>
      <c r="B2">
        <v>36</v>
      </c>
      <c r="C2" t="s">
        <v>32</v>
      </c>
      <c r="D2" t="s">
        <v>33</v>
      </c>
      <c r="E2" t="s">
        <v>34</v>
      </c>
      <c r="F2" t="s">
        <v>35</v>
      </c>
      <c r="G2" t="s">
        <v>36</v>
      </c>
      <c r="H2" t="s">
        <v>37</v>
      </c>
      <c r="I2" t="s">
        <v>38</v>
      </c>
      <c r="J2">
        <v>8000</v>
      </c>
      <c r="K2" t="s">
        <v>39</v>
      </c>
      <c r="L2" s="6" t="s">
        <v>140</v>
      </c>
      <c r="M2">
        <v>180</v>
      </c>
      <c r="N2" t="s">
        <v>3</v>
      </c>
      <c r="O2">
        <v>215206</v>
      </c>
      <c r="P2" t="s">
        <v>12</v>
      </c>
      <c r="Q2">
        <v>2236</v>
      </c>
      <c r="R2" t="s">
        <v>60</v>
      </c>
      <c r="S2" t="s">
        <v>27</v>
      </c>
      <c r="T2">
        <v>1974</v>
      </c>
      <c r="V2" s="2"/>
      <c r="W2" s="39" t="s">
        <v>217</v>
      </c>
      <c r="Y2" s="39" t="s">
        <v>212</v>
      </c>
      <c r="Z2" s="39" t="s">
        <v>213</v>
      </c>
      <c r="AA2" s="39" t="s">
        <v>214</v>
      </c>
      <c r="AB2" s="39" t="s">
        <v>215</v>
      </c>
      <c r="AC2" s="39"/>
      <c r="AD2" s="39" t="s">
        <v>22</v>
      </c>
      <c r="AE2" s="39" t="s">
        <v>69</v>
      </c>
      <c r="AF2" s="39" t="s">
        <v>223</v>
      </c>
      <c r="AG2" s="39"/>
      <c r="AH2" s="39" t="s">
        <v>224</v>
      </c>
      <c r="AJ2" t="s">
        <v>26</v>
      </c>
      <c r="AK2" s="203" t="s">
        <v>332</v>
      </c>
      <c r="AL2" t="s">
        <v>273</v>
      </c>
      <c r="AN2" t="s">
        <v>252</v>
      </c>
      <c r="AP2" t="s">
        <v>2286</v>
      </c>
      <c r="AQ2" t="s">
        <v>2296</v>
      </c>
      <c r="AR2" t="s">
        <v>2291</v>
      </c>
      <c r="AU2" s="38"/>
      <c r="AV2" s="39"/>
      <c r="AW2" s="38"/>
      <c r="AX2" s="39"/>
      <c r="AY2" s="38"/>
      <c r="BA2" s="38" t="s">
        <v>208</v>
      </c>
      <c r="BC2" s="38" t="s">
        <v>298</v>
      </c>
      <c r="BD2" s="274" t="s">
        <v>1541</v>
      </c>
      <c r="BE2" s="38" t="s">
        <v>872</v>
      </c>
      <c r="BF2" s="328" t="s">
        <v>1774</v>
      </c>
      <c r="BG2" s="328" t="s">
        <v>1775</v>
      </c>
      <c r="BH2" s="328" t="s">
        <v>873</v>
      </c>
      <c r="BI2" s="38" t="s">
        <v>305</v>
      </c>
      <c r="BK2" s="38" t="s">
        <v>315</v>
      </c>
      <c r="BM2" s="274" t="s">
        <v>321</v>
      </c>
      <c r="BN2" t="s">
        <v>969</v>
      </c>
      <c r="BO2" s="274" t="s">
        <v>1538</v>
      </c>
      <c r="BP2" s="38" t="s">
        <v>227</v>
      </c>
      <c r="BQ2" s="38" t="s">
        <v>299</v>
      </c>
      <c r="BS2" s="274" t="s">
        <v>1539</v>
      </c>
      <c r="BT2" s="38" t="s">
        <v>334</v>
      </c>
      <c r="BU2" s="38" t="s">
        <v>335</v>
      </c>
      <c r="BW2" s="38" t="s">
        <v>349</v>
      </c>
      <c r="BY2" s="38" t="s">
        <v>362</v>
      </c>
      <c r="CA2" s="38" t="s">
        <v>363</v>
      </c>
      <c r="CD2" t="s">
        <v>370</v>
      </c>
      <c r="CE2" t="s">
        <v>372</v>
      </c>
      <c r="CF2" s="35" t="s">
        <v>454</v>
      </c>
      <c r="CG2" s="35" t="s">
        <v>455</v>
      </c>
      <c r="CH2" s="35" t="s">
        <v>456</v>
      </c>
      <c r="CJ2" t="s">
        <v>389</v>
      </c>
      <c r="CM2" s="210" t="s">
        <v>1540</v>
      </c>
      <c r="CN2" s="35" t="s">
        <v>399</v>
      </c>
      <c r="CO2" s="35" t="s">
        <v>400</v>
      </c>
      <c r="CQ2" s="35" t="s">
        <v>402</v>
      </c>
      <c r="CS2" s="35" t="s">
        <v>404</v>
      </c>
      <c r="CT2" s="35" t="s">
        <v>405</v>
      </c>
      <c r="CU2" s="35" t="s">
        <v>410</v>
      </c>
      <c r="CV2" s="35" t="s">
        <v>411</v>
      </c>
      <c r="CX2" s="35" t="s">
        <v>418</v>
      </c>
      <c r="CY2" s="35" t="s">
        <v>417</v>
      </c>
      <c r="CZ2" t="s">
        <v>1085</v>
      </c>
      <c r="DA2" s="35" t="s">
        <v>419</v>
      </c>
      <c r="DD2" s="35" t="s">
        <v>424</v>
      </c>
      <c r="DE2" s="35" t="s">
        <v>425</v>
      </c>
      <c r="DG2" s="35" t="s">
        <v>449</v>
      </c>
      <c r="DI2" s="35" t="s">
        <v>460</v>
      </c>
      <c r="DJ2" s="35" t="s">
        <v>461</v>
      </c>
      <c r="DK2" s="35" t="s">
        <v>462</v>
      </c>
      <c r="DL2" s="35" t="s">
        <v>459</v>
      </c>
      <c r="DO2" s="35" t="s">
        <v>542</v>
      </c>
      <c r="DR2" s="182"/>
      <c r="DS2" s="182"/>
      <c r="DT2" s="182"/>
      <c r="DU2" s="182"/>
      <c r="DV2" s="182"/>
      <c r="DW2" s="182"/>
      <c r="DX2" s="110"/>
      <c r="DY2" s="182"/>
      <c r="DZ2" s="182"/>
      <c r="EA2" s="182" t="s">
        <v>357</v>
      </c>
      <c r="EB2" s="182"/>
      <c r="EC2" s="182"/>
      <c r="ED2" s="182"/>
      <c r="EE2" s="182"/>
      <c r="EF2" s="110"/>
      <c r="EG2" s="35"/>
      <c r="EJ2" t="s">
        <v>596</v>
      </c>
      <c r="EM2" t="s">
        <v>606</v>
      </c>
      <c r="EN2" t="s">
        <v>607</v>
      </c>
      <c r="EO2" t="s">
        <v>791</v>
      </c>
      <c r="EQ2" t="s">
        <v>943</v>
      </c>
      <c r="ER2" t="s">
        <v>942</v>
      </c>
      <c r="ES2" s="210" t="s">
        <v>1542</v>
      </c>
      <c r="ET2" t="s">
        <v>941</v>
      </c>
      <c r="EU2" s="210" t="s">
        <v>1541</v>
      </c>
      <c r="EW2" s="210" t="s">
        <v>1543</v>
      </c>
      <c r="EX2" t="s">
        <v>610</v>
      </c>
      <c r="EY2" t="s">
        <v>611</v>
      </c>
      <c r="FA2" s="210" t="s">
        <v>552</v>
      </c>
      <c r="FB2" s="210" t="s">
        <v>615</v>
      </c>
      <c r="FC2" t="s">
        <v>306</v>
      </c>
      <c r="FD2" t="s">
        <v>22</v>
      </c>
      <c r="FF2" t="s">
        <v>618</v>
      </c>
      <c r="FG2" t="s">
        <v>306</v>
      </c>
      <c r="FH2" t="s">
        <v>306</v>
      </c>
      <c r="FI2" s="35" t="s">
        <v>306</v>
      </c>
      <c r="FJ2" t="s">
        <v>306</v>
      </c>
      <c r="FK2" t="s">
        <v>306</v>
      </c>
      <c r="FL2" t="s">
        <v>312</v>
      </c>
      <c r="FM2" t="s">
        <v>312</v>
      </c>
      <c r="FN2" t="s">
        <v>311</v>
      </c>
      <c r="FO2" t="s">
        <v>332</v>
      </c>
      <c r="FP2" t="s">
        <v>665</v>
      </c>
      <c r="FR2" s="210" t="s">
        <v>1538</v>
      </c>
      <c r="FS2" s="210" t="s">
        <v>1538</v>
      </c>
      <c r="FT2" s="210" t="s">
        <v>1538</v>
      </c>
      <c r="FU2" s="210" t="s">
        <v>1538</v>
      </c>
      <c r="FV2" s="210" t="s">
        <v>1538</v>
      </c>
      <c r="FW2" s="210" t="s">
        <v>1538</v>
      </c>
      <c r="FX2" s="210" t="s">
        <v>1538</v>
      </c>
      <c r="FY2" s="210" t="s">
        <v>1538</v>
      </c>
      <c r="FZ2" s="210" t="s">
        <v>1538</v>
      </c>
      <c r="GA2" s="210" t="s">
        <v>1538</v>
      </c>
      <c r="GB2" s="210" t="s">
        <v>1538</v>
      </c>
      <c r="GC2" s="210" t="s">
        <v>1538</v>
      </c>
      <c r="GD2" t="s">
        <v>227</v>
      </c>
      <c r="GE2" s="210" t="s">
        <v>1538</v>
      </c>
      <c r="GF2" s="210" t="s">
        <v>1538</v>
      </c>
      <c r="GG2" s="210" t="s">
        <v>1538</v>
      </c>
      <c r="GH2" s="210" t="s">
        <v>1538</v>
      </c>
      <c r="GI2" s="210" t="s">
        <v>1538</v>
      </c>
      <c r="GJ2" s="210" t="s">
        <v>1538</v>
      </c>
      <c r="GK2" s="210" t="s">
        <v>1538</v>
      </c>
      <c r="GL2" s="210" t="s">
        <v>1538</v>
      </c>
      <c r="GM2" s="210" t="s">
        <v>1538</v>
      </c>
      <c r="GN2" s="210" t="s">
        <v>1538</v>
      </c>
      <c r="GO2" s="210" t="s">
        <v>1538</v>
      </c>
      <c r="GP2" s="210" t="s">
        <v>1538</v>
      </c>
      <c r="GQ2" s="210" t="s">
        <v>1538</v>
      </c>
      <c r="GR2" s="210" t="s">
        <v>1538</v>
      </c>
      <c r="GS2" s="210" t="s">
        <v>1538</v>
      </c>
      <c r="GT2" s="210" t="s">
        <v>1538</v>
      </c>
      <c r="GU2" s="210" t="s">
        <v>1538</v>
      </c>
      <c r="GV2" s="210" t="s">
        <v>1538</v>
      </c>
      <c r="GW2" s="210" t="s">
        <v>1538</v>
      </c>
      <c r="GX2" s="210" t="s">
        <v>1538</v>
      </c>
      <c r="GY2" s="210" t="s">
        <v>1538</v>
      </c>
      <c r="GZ2" t="s">
        <v>227</v>
      </c>
      <c r="HA2" t="s">
        <v>738</v>
      </c>
      <c r="HB2" t="s">
        <v>739</v>
      </c>
      <c r="HC2" t="s">
        <v>740</v>
      </c>
      <c r="HD2" t="s">
        <v>741</v>
      </c>
      <c r="HE2" t="s">
        <v>742</v>
      </c>
      <c r="HF2" s="210" t="s">
        <v>1550</v>
      </c>
      <c r="HG2" t="s">
        <v>743</v>
      </c>
      <c r="HH2" t="s">
        <v>744</v>
      </c>
      <c r="HI2" t="s">
        <v>745</v>
      </c>
      <c r="HJ2" t="s">
        <v>746</v>
      </c>
      <c r="HK2" t="s">
        <v>747</v>
      </c>
      <c r="HL2" t="s">
        <v>748</v>
      </c>
      <c r="HM2" t="s">
        <v>737</v>
      </c>
      <c r="HN2" t="s">
        <v>881</v>
      </c>
      <c r="HO2" t="s">
        <v>736</v>
      </c>
      <c r="HP2" t="s">
        <v>735</v>
      </c>
      <c r="HQ2" t="s">
        <v>734</v>
      </c>
      <c r="HR2" t="s">
        <v>880</v>
      </c>
      <c r="HS2" t="s">
        <v>749</v>
      </c>
      <c r="HT2" t="s">
        <v>750</v>
      </c>
      <c r="HU2" t="s">
        <v>751</v>
      </c>
      <c r="HX2" t="s">
        <v>754</v>
      </c>
      <c r="HZ2" t="s">
        <v>778</v>
      </c>
      <c r="IA2" t="s">
        <v>777</v>
      </c>
      <c r="IB2" t="s">
        <v>756</v>
      </c>
      <c r="IC2" t="s">
        <v>776</v>
      </c>
      <c r="ID2" t="s">
        <v>769</v>
      </c>
      <c r="IE2" t="s">
        <v>391</v>
      </c>
      <c r="IF2" t="s">
        <v>669</v>
      </c>
      <c r="IG2" t="s">
        <v>771</v>
      </c>
      <c r="IH2" t="s">
        <v>772</v>
      </c>
      <c r="II2" t="s">
        <v>773</v>
      </c>
      <c r="IJ2" t="s">
        <v>758</v>
      </c>
      <c r="IK2" t="s">
        <v>674</v>
      </c>
      <c r="IL2" s="210" t="s">
        <v>770</v>
      </c>
      <c r="IM2" t="s">
        <v>774</v>
      </c>
      <c r="IN2" t="s">
        <v>775</v>
      </c>
      <c r="IO2" t="s">
        <v>683</v>
      </c>
      <c r="IP2" t="s">
        <v>760</v>
      </c>
      <c r="IQ2" t="s">
        <v>761</v>
      </c>
      <c r="IR2" s="210" t="s">
        <v>762</v>
      </c>
      <c r="IS2" s="210" t="s">
        <v>768</v>
      </c>
      <c r="IT2" t="s">
        <v>763</v>
      </c>
      <c r="IU2" t="s">
        <v>764</v>
      </c>
      <c r="IV2" t="s">
        <v>765</v>
      </c>
      <c r="IW2" t="s">
        <v>1497</v>
      </c>
      <c r="IX2" s="210" t="s">
        <v>1549</v>
      </c>
      <c r="IY2" t="s">
        <v>780</v>
      </c>
      <c r="IZ2" t="s">
        <v>788</v>
      </c>
      <c r="JA2" t="s">
        <v>954</v>
      </c>
      <c r="JB2" t="s">
        <v>797</v>
      </c>
      <c r="JC2" t="s">
        <v>798</v>
      </c>
      <c r="JD2" t="s">
        <v>799</v>
      </c>
      <c r="JE2" t="s">
        <v>800</v>
      </c>
      <c r="JF2" t="s">
        <v>801</v>
      </c>
      <c r="JG2" t="s">
        <v>1001</v>
      </c>
      <c r="JH2" t="s">
        <v>806</v>
      </c>
      <c r="JI2" t="s">
        <v>807</v>
      </c>
      <c r="JJ2" t="s">
        <v>808</v>
      </c>
      <c r="JK2" t="s">
        <v>809</v>
      </c>
      <c r="JL2" t="s">
        <v>810</v>
      </c>
      <c r="JM2" t="s">
        <v>811</v>
      </c>
      <c r="JN2" t="s">
        <v>812</v>
      </c>
      <c r="JO2" t="s">
        <v>813</v>
      </c>
      <c r="JP2" t="s">
        <v>814</v>
      </c>
      <c r="JQ2" t="s">
        <v>815</v>
      </c>
      <c r="JR2" t="s">
        <v>816</v>
      </c>
      <c r="JS2" t="s">
        <v>817</v>
      </c>
      <c r="JT2" t="s">
        <v>818</v>
      </c>
      <c r="JU2" t="s">
        <v>819</v>
      </c>
      <c r="JV2" t="s">
        <v>820</v>
      </c>
      <c r="JW2" t="s">
        <v>821</v>
      </c>
      <c r="JX2" t="s">
        <v>951</v>
      </c>
      <c r="JY2" s="241" t="s">
        <v>1527</v>
      </c>
      <c r="JZ2" t="s">
        <v>822</v>
      </c>
      <c r="KB2" s="210" t="s">
        <v>1547</v>
      </c>
      <c r="KC2" s="210" t="s">
        <v>1548</v>
      </c>
      <c r="KD2" t="s">
        <v>831</v>
      </c>
      <c r="KF2" t="s">
        <v>838</v>
      </c>
      <c r="KK2" t="s">
        <v>26</v>
      </c>
      <c r="KM2" t="s">
        <v>847</v>
      </c>
      <c r="KN2" t="s">
        <v>26</v>
      </c>
      <c r="KO2" t="s">
        <v>848</v>
      </c>
      <c r="KP2" t="s">
        <v>849</v>
      </c>
      <c r="KQ2" t="s">
        <v>852</v>
      </c>
      <c r="KR2" t="s">
        <v>851</v>
      </c>
      <c r="KS2" t="s">
        <v>855</v>
      </c>
      <c r="KT2" t="s">
        <v>856</v>
      </c>
      <c r="KV2" t="s">
        <v>223</v>
      </c>
      <c r="KX2" t="s">
        <v>26</v>
      </c>
      <c r="KY2" t="s">
        <v>849</v>
      </c>
      <c r="KZ2" t="s">
        <v>857</v>
      </c>
      <c r="LA2" t="s">
        <v>26</v>
      </c>
      <c r="LB2" t="s">
        <v>867</v>
      </c>
      <c r="LC2" t="s">
        <v>843</v>
      </c>
      <c r="LD2" t="s">
        <v>862</v>
      </c>
      <c r="LJ2" t="s">
        <v>421</v>
      </c>
      <c r="LK2">
        <v>0</v>
      </c>
      <c r="LO2" t="s">
        <v>845</v>
      </c>
      <c r="LP2" t="s">
        <v>336</v>
      </c>
      <c r="LQ2" t="s">
        <v>338</v>
      </c>
      <c r="LR2" t="s">
        <v>340</v>
      </c>
      <c r="LS2" t="s">
        <v>344</v>
      </c>
      <c r="LT2" t="s">
        <v>346</v>
      </c>
      <c r="LU2" t="s">
        <v>347</v>
      </c>
      <c r="LV2" t="s">
        <v>26</v>
      </c>
      <c r="LW2" s="194" t="s">
        <v>300</v>
      </c>
      <c r="LX2" s="186" t="s">
        <v>421</v>
      </c>
      <c r="LY2" s="234" t="s">
        <v>1073</v>
      </c>
      <c r="LZ2" s="186" t="s">
        <v>518</v>
      </c>
      <c r="MA2" s="186" t="s">
        <v>484</v>
      </c>
      <c r="MB2" s="186" t="s">
        <v>332</v>
      </c>
      <c r="MC2" s="186" t="s">
        <v>332</v>
      </c>
      <c r="MD2" s="200" t="s">
        <v>886</v>
      </c>
      <c r="ME2" s="200" t="s">
        <v>944</v>
      </c>
      <c r="MF2" s="201" t="s">
        <v>945</v>
      </c>
      <c r="MG2" s="202" t="s">
        <v>946</v>
      </c>
      <c r="MI2" t="s">
        <v>308</v>
      </c>
      <c r="MJ2" s="187" t="s">
        <v>22</v>
      </c>
      <c r="MK2" t="s">
        <v>301</v>
      </c>
      <c r="ML2" t="s">
        <v>22</v>
      </c>
      <c r="MN2" t="s">
        <v>983</v>
      </c>
      <c r="MP2" t="s">
        <v>987</v>
      </c>
      <c r="MQ2" t="s">
        <v>988</v>
      </c>
      <c r="MR2" t="s">
        <v>989</v>
      </c>
      <c r="MS2" t="s">
        <v>990</v>
      </c>
      <c r="MU2" t="s">
        <v>1000</v>
      </c>
      <c r="MX2" t="s">
        <v>421</v>
      </c>
      <c r="MY2">
        <v>1</v>
      </c>
      <c r="NO2" s="232" t="s">
        <v>1038</v>
      </c>
      <c r="NP2" s="232" t="s">
        <v>1039</v>
      </c>
      <c r="NQ2" s="232" t="s">
        <v>1040</v>
      </c>
      <c r="NR2" s="232" t="s">
        <v>1041</v>
      </c>
      <c r="NS2" s="232" t="s">
        <v>1042</v>
      </c>
      <c r="NT2" s="232" t="s">
        <v>1043</v>
      </c>
      <c r="NU2" s="232" t="s">
        <v>1044</v>
      </c>
      <c r="NV2" s="232" t="s">
        <v>1045</v>
      </c>
      <c r="NW2" s="232" t="s">
        <v>1046</v>
      </c>
      <c r="NX2" s="232" t="s">
        <v>1047</v>
      </c>
      <c r="NY2" s="232" t="s">
        <v>1048</v>
      </c>
      <c r="NZ2" s="232" t="s">
        <v>1049</v>
      </c>
      <c r="OA2" s="232" t="s">
        <v>1050</v>
      </c>
      <c r="OB2" s="232" t="s">
        <v>1051</v>
      </c>
      <c r="OC2" s="232" t="s">
        <v>1052</v>
      </c>
      <c r="OD2" s="232" t="s">
        <v>1053</v>
      </c>
      <c r="OE2" s="232" t="s">
        <v>1054</v>
      </c>
      <c r="OF2" s="233" t="s">
        <v>1071</v>
      </c>
      <c r="OG2" s="241" t="s">
        <v>1528</v>
      </c>
      <c r="OL2" t="s">
        <v>1080</v>
      </c>
      <c r="PB2" t="s">
        <v>1096</v>
      </c>
      <c r="PC2" t="s">
        <v>1096</v>
      </c>
      <c r="PD2" t="s">
        <v>1096</v>
      </c>
      <c r="PE2" t="s">
        <v>1097</v>
      </c>
      <c r="PG2" t="s">
        <v>1096</v>
      </c>
      <c r="PH2" t="s">
        <v>1098</v>
      </c>
      <c r="PI2" t="s">
        <v>1099</v>
      </c>
      <c r="PJ2" t="s">
        <v>1099</v>
      </c>
      <c r="PL2" t="s">
        <v>1096</v>
      </c>
      <c r="PU2" t="s">
        <v>21</v>
      </c>
      <c r="PV2" t="s">
        <v>332</v>
      </c>
      <c r="PW2" t="s">
        <v>69</v>
      </c>
      <c r="PX2" t="s">
        <v>26</v>
      </c>
      <c r="PY2" t="s">
        <v>377</v>
      </c>
      <c r="PZ2" t="s">
        <v>377</v>
      </c>
      <c r="QA2" t="s">
        <v>332</v>
      </c>
      <c r="QB2" t="s">
        <v>69</v>
      </c>
      <c r="QC2" t="s">
        <v>69</v>
      </c>
      <c r="QD2" t="s">
        <v>332</v>
      </c>
      <c r="QE2" t="s">
        <v>26</v>
      </c>
      <c r="QF2" t="s">
        <v>26</v>
      </c>
      <c r="QG2" t="s">
        <v>1163</v>
      </c>
      <c r="QH2" t="s">
        <v>113</v>
      </c>
      <c r="QI2" t="s">
        <v>22</v>
      </c>
      <c r="QJ2" t="s">
        <v>21</v>
      </c>
      <c r="QK2" t="s">
        <v>21</v>
      </c>
      <c r="QL2" t="s">
        <v>847</v>
      </c>
      <c r="QM2" t="s">
        <v>847</v>
      </c>
      <c r="QN2" t="s">
        <v>332</v>
      </c>
      <c r="QO2" t="s">
        <v>332</v>
      </c>
      <c r="QP2" t="s">
        <v>332</v>
      </c>
      <c r="QQ2" t="s">
        <v>332</v>
      </c>
      <c r="QR2" t="s">
        <v>332</v>
      </c>
      <c r="QS2" t="s">
        <v>332</v>
      </c>
      <c r="QT2" t="s">
        <v>332</v>
      </c>
      <c r="QU2" t="s">
        <v>332</v>
      </c>
      <c r="QV2" t="s">
        <v>332</v>
      </c>
      <c r="QW2" t="s">
        <v>332</v>
      </c>
      <c r="RB2" t="s">
        <v>1174</v>
      </c>
      <c r="RC2" t="s">
        <v>1177</v>
      </c>
      <c r="RD2" t="s">
        <v>1177</v>
      </c>
      <c r="RE2" t="s">
        <v>1215</v>
      </c>
      <c r="RF2" t="s">
        <v>1177</v>
      </c>
      <c r="RG2" t="s">
        <v>1177</v>
      </c>
      <c r="RH2" t="s">
        <v>1215</v>
      </c>
      <c r="RI2" t="s">
        <v>1177</v>
      </c>
      <c r="RJ2" t="s">
        <v>1177</v>
      </c>
      <c r="RK2" t="s">
        <v>1215</v>
      </c>
      <c r="RL2" t="s">
        <v>1177</v>
      </c>
      <c r="RM2" t="s">
        <v>1177</v>
      </c>
      <c r="RN2" t="s">
        <v>1177</v>
      </c>
      <c r="RQ2" t="s">
        <v>1175</v>
      </c>
      <c r="RU2" t="s">
        <v>1206</v>
      </c>
      <c r="RV2" t="str">
        <f>$RB$1</f>
        <v>CellularBlindProduct</v>
      </c>
      <c r="RW2" t="s">
        <v>21</v>
      </c>
      <c r="RX2" s="237" t="s">
        <v>847</v>
      </c>
      <c r="SE2" s="435" t="s">
        <v>1217</v>
      </c>
      <c r="SF2" s="435" t="s">
        <v>1217</v>
      </c>
      <c r="SG2" s="435" t="s">
        <v>1218</v>
      </c>
      <c r="SH2" s="435" t="s">
        <v>1218</v>
      </c>
      <c r="SI2" s="435" t="s">
        <v>1218</v>
      </c>
      <c r="SJ2" s="435" t="s">
        <v>1218</v>
      </c>
      <c r="SK2" s="435" t="s">
        <v>1988</v>
      </c>
      <c r="SL2" s="435" t="s">
        <v>1219</v>
      </c>
      <c r="SM2" s="435" t="s">
        <v>1217</v>
      </c>
      <c r="SN2" s="435" t="s">
        <v>1219</v>
      </c>
      <c r="SO2" s="435" t="s">
        <v>1220</v>
      </c>
      <c r="SP2" s="435" t="s">
        <v>1219</v>
      </c>
      <c r="SQ2" s="435" t="s">
        <v>1220</v>
      </c>
      <c r="SR2" s="435" t="s">
        <v>1221</v>
      </c>
      <c r="SS2" t="s">
        <v>1217</v>
      </c>
      <c r="ST2" t="s">
        <v>1218</v>
      </c>
      <c r="TB2" s="207" t="s">
        <v>1174</v>
      </c>
      <c r="TC2" s="199" t="str">
        <f>SH1</f>
        <v xml:space="preserve"> 25mm Single Cellular Blind Blockout Standard</v>
      </c>
      <c r="TD2" s="199" t="s">
        <v>332</v>
      </c>
      <c r="TE2" s="199" t="s">
        <v>332</v>
      </c>
      <c r="TF2" s="199" t="s">
        <v>332</v>
      </c>
      <c r="TG2" s="199" t="s">
        <v>332</v>
      </c>
      <c r="TH2" s="199" t="s">
        <v>332</v>
      </c>
      <c r="TI2" s="199" t="s">
        <v>332</v>
      </c>
      <c r="TJ2" s="199" t="s">
        <v>332</v>
      </c>
      <c r="TK2" s="199" t="s">
        <v>332</v>
      </c>
      <c r="TL2" s="199" t="s">
        <v>332</v>
      </c>
      <c r="TM2" s="199" t="str">
        <f>SF1</f>
        <v xml:space="preserve"> 25mm Single Cellular Blind Translucent Standard</v>
      </c>
      <c r="TN2" s="199" t="s">
        <v>332</v>
      </c>
      <c r="TO2" s="199" t="s">
        <v>332</v>
      </c>
      <c r="TP2" s="199" t="str">
        <f>SQ1</f>
        <v xml:space="preserve"> 25mm Single Cellular Blind Translucent Paisley</v>
      </c>
      <c r="TQ2" s="199" t="str">
        <f>SJ1</f>
        <v xml:space="preserve"> 25mm Single Cellular Blind Translucent Sheer</v>
      </c>
      <c r="TR2" s="199" t="s">
        <v>332</v>
      </c>
      <c r="TS2" s="199" t="s">
        <v>332</v>
      </c>
      <c r="TT2" s="199" t="s">
        <v>332</v>
      </c>
      <c r="TU2" s="199" t="s">
        <v>332</v>
      </c>
      <c r="TV2" s="199" t="s">
        <v>332</v>
      </c>
      <c r="TW2" s="199" t="s">
        <v>332</v>
      </c>
      <c r="TX2" s="199" t="s">
        <v>332</v>
      </c>
      <c r="TY2" s="199" t="str">
        <f>SP1</f>
        <v xml:space="preserve"> 25mm Single Cellular Blind Translucent Thatched</v>
      </c>
      <c r="TZ2" s="199" t="str">
        <f>SL1</f>
        <v xml:space="preserve"> 25mm Single Cellular Blind Translucent Woven</v>
      </c>
      <c r="UA2" s="199" t="str">
        <f>$SH$1</f>
        <v xml:space="preserve"> 25mm Single Cellular Blind Blockout Standard</v>
      </c>
      <c r="UB2" s="199" t="str">
        <f>$XF$1</f>
        <v>Cellular Colour 2 25mm Single Cellular Blind</v>
      </c>
      <c r="UC2" s="435" t="s">
        <v>1271</v>
      </c>
      <c r="UD2" s="435" t="s">
        <v>1271</v>
      </c>
      <c r="UE2" s="435" t="s">
        <v>1255</v>
      </c>
      <c r="UF2" s="435" t="s">
        <v>1255</v>
      </c>
      <c r="UG2" s="35" t="s">
        <v>2017</v>
      </c>
      <c r="UH2" s="204" t="s">
        <v>1307</v>
      </c>
      <c r="UI2" s="35" t="s">
        <v>1312</v>
      </c>
      <c r="UJ2" s="35" t="s">
        <v>1317</v>
      </c>
      <c r="UK2" s="35" t="s">
        <v>1322</v>
      </c>
      <c r="UL2" s="204" t="s">
        <v>1317</v>
      </c>
      <c r="UM2" s="204" t="s">
        <v>1322</v>
      </c>
      <c r="UN2" s="35" t="s">
        <v>1291</v>
      </c>
      <c r="UO2" s="241" t="s">
        <v>1271</v>
      </c>
      <c r="US2" t="s">
        <v>1297</v>
      </c>
      <c r="UT2" t="s">
        <v>1206</v>
      </c>
      <c r="UU2" t="s">
        <v>332</v>
      </c>
      <c r="UV2" t="s">
        <v>332</v>
      </c>
      <c r="UW2" t="s">
        <v>332</v>
      </c>
      <c r="UX2" t="s">
        <v>332</v>
      </c>
      <c r="UY2" t="s">
        <v>332</v>
      </c>
      <c r="UZ2" t="s">
        <v>332</v>
      </c>
      <c r="VA2" t="s">
        <v>332</v>
      </c>
      <c r="VB2" t="s">
        <v>332</v>
      </c>
      <c r="VC2" t="s">
        <v>332</v>
      </c>
      <c r="VD2" s="35" t="s">
        <v>1451</v>
      </c>
      <c r="VE2" t="s">
        <v>1449</v>
      </c>
      <c r="VF2" t="s">
        <v>332</v>
      </c>
      <c r="VL2" s="245" t="s">
        <v>1206</v>
      </c>
      <c r="VM2" s="245" t="str">
        <f>VS1</f>
        <v>Corded Standard 25mm Single</v>
      </c>
      <c r="VN2" s="245" t="str">
        <f>WD1</f>
        <v>Corded Standard 38mm Single</v>
      </c>
      <c r="VO2" s="245" t="str">
        <f>WD47</f>
        <v>Corded Standard 45mm Single</v>
      </c>
      <c r="VP2" s="245" t="str">
        <f>WD83</f>
        <v>Corded Standard 45mm Single Cell In A Cell</v>
      </c>
      <c r="VQ2" s="245" t="str">
        <f>WO1</f>
        <v>Corded Standard 38mm Double</v>
      </c>
      <c r="VR2" t="s">
        <v>1177</v>
      </c>
      <c r="VS2" s="204" t="s">
        <v>1177</v>
      </c>
      <c r="VT2" t="s">
        <v>1215</v>
      </c>
      <c r="VU2" s="204" t="s">
        <v>1177</v>
      </c>
      <c r="VV2" t="s">
        <v>1177</v>
      </c>
      <c r="VW2" t="s">
        <v>1215</v>
      </c>
      <c r="VX2" t="s">
        <v>1177</v>
      </c>
      <c r="VY2" t="s">
        <v>1177</v>
      </c>
      <c r="VZ2" t="s">
        <v>1215</v>
      </c>
      <c r="WA2" t="s">
        <v>1177</v>
      </c>
      <c r="WB2" t="s">
        <v>1177</v>
      </c>
      <c r="WC2" t="s">
        <v>1177</v>
      </c>
      <c r="WD2" t="s">
        <v>1177</v>
      </c>
      <c r="WE2" t="s">
        <v>1215</v>
      </c>
      <c r="WF2" t="s">
        <v>1177</v>
      </c>
      <c r="WG2" t="s">
        <v>1177</v>
      </c>
      <c r="WH2" t="s">
        <v>1215</v>
      </c>
      <c r="WI2" t="s">
        <v>1177</v>
      </c>
      <c r="WJ2" t="s">
        <v>1177</v>
      </c>
      <c r="WK2" t="s">
        <v>1215</v>
      </c>
      <c r="WL2" t="s">
        <v>1177</v>
      </c>
      <c r="WM2" t="s">
        <v>1177</v>
      </c>
      <c r="WN2" t="s">
        <v>1177</v>
      </c>
      <c r="WO2" t="s">
        <v>1177</v>
      </c>
      <c r="WP2" t="s">
        <v>1215</v>
      </c>
      <c r="WQ2" t="s">
        <v>1177</v>
      </c>
      <c r="WR2" t="s">
        <v>1177</v>
      </c>
      <c r="WS2" t="s">
        <v>1215</v>
      </c>
      <c r="WT2" t="s">
        <v>1177</v>
      </c>
      <c r="WU2" t="s">
        <v>1177</v>
      </c>
      <c r="WV2" t="s">
        <v>1215</v>
      </c>
      <c r="WW2" t="s">
        <v>1177</v>
      </c>
      <c r="WX2" t="s">
        <v>1177</v>
      </c>
      <c r="WY2" t="s">
        <v>1177</v>
      </c>
      <c r="XF2" s="435" t="s">
        <v>1271</v>
      </c>
      <c r="XG2" s="435" t="s">
        <v>1271</v>
      </c>
      <c r="XH2" s="435" t="s">
        <v>1933</v>
      </c>
      <c r="XI2" s="241" t="s">
        <v>1271</v>
      </c>
      <c r="XJ2" t="s">
        <v>2204</v>
      </c>
      <c r="XQ2" t="s">
        <v>332</v>
      </c>
      <c r="XS2" s="207" t="s">
        <v>1174</v>
      </c>
      <c r="XT2" s="248" t="str">
        <f t="shared" ref="XT2:XZ6" si="0">$XQ$1</f>
        <v>Cellular Colour 2 NA</v>
      </c>
      <c r="XU2" s="248" t="str">
        <f t="shared" si="0"/>
        <v>Cellular Colour 2 NA</v>
      </c>
      <c r="XV2" s="248" t="str">
        <f t="shared" si="0"/>
        <v>Cellular Colour 2 NA</v>
      </c>
      <c r="XW2" s="248" t="str">
        <f t="shared" si="0"/>
        <v>Cellular Colour 2 NA</v>
      </c>
      <c r="XX2" s="248" t="str">
        <f t="shared" si="0"/>
        <v>Cellular Colour 2 NA</v>
      </c>
      <c r="XY2" s="248" t="str">
        <f t="shared" si="0"/>
        <v>Cellular Colour 2 NA</v>
      </c>
      <c r="XZ2" s="248" t="str">
        <f t="shared" si="0"/>
        <v>Cellular Colour 2 NA</v>
      </c>
      <c r="YA2" s="248" t="str">
        <f t="shared" ref="YA2:YP6" si="1">$XQ$1</f>
        <v>Cellular Colour 2 NA</v>
      </c>
      <c r="YB2" s="248" t="str">
        <f t="shared" si="1"/>
        <v>Cellular Colour 2 NA</v>
      </c>
      <c r="YC2" s="248" t="str">
        <f t="shared" si="1"/>
        <v>Cellular Colour 2 NA</v>
      </c>
      <c r="YD2" s="248" t="str">
        <f t="shared" si="1"/>
        <v>Cellular Colour 2 NA</v>
      </c>
      <c r="YE2" s="248" t="str">
        <f t="shared" si="1"/>
        <v>Cellular Colour 2 NA</v>
      </c>
      <c r="YF2" s="248" t="str">
        <f t="shared" si="1"/>
        <v>Cellular Colour 2 NA</v>
      </c>
      <c r="YG2" s="248" t="str">
        <f t="shared" si="1"/>
        <v>Cellular Colour 2 NA</v>
      </c>
      <c r="YH2" s="248" t="str">
        <f t="shared" si="1"/>
        <v>Cellular Colour 2 NA</v>
      </c>
      <c r="YI2" s="248" t="str">
        <f t="shared" si="1"/>
        <v>Cellular Colour 2 NA</v>
      </c>
      <c r="YJ2" s="248" t="str">
        <f t="shared" si="1"/>
        <v>Cellular Colour 2 NA</v>
      </c>
      <c r="YK2" s="248" t="str">
        <f t="shared" si="1"/>
        <v>Cellular Colour 2 NA</v>
      </c>
      <c r="YL2" s="248" t="str">
        <f t="shared" si="1"/>
        <v>Cellular Colour 2 NA</v>
      </c>
      <c r="YM2" s="248" t="str">
        <f t="shared" si="1"/>
        <v>Cellular Colour 2 NA</v>
      </c>
      <c r="YN2" s="248" t="str">
        <f t="shared" si="1"/>
        <v>Cellular Colour 2 NA</v>
      </c>
      <c r="YO2" s="248" t="str">
        <f t="shared" si="1"/>
        <v>Cellular Colour 2 NA</v>
      </c>
      <c r="YP2" s="248" t="str">
        <f t="shared" si="1"/>
        <v>Cellular Colour 2 NA</v>
      </c>
      <c r="YQ2" s="199" t="str">
        <f>$XF$1</f>
        <v>Cellular Colour 2 25mm Single Cellular Blind</v>
      </c>
      <c r="YR2" s="199" t="str">
        <f>$SH$1</f>
        <v xml:space="preserve"> 25mm Single Cellular Blind Blockout Standard</v>
      </c>
      <c r="YU2" t="s">
        <v>1206</v>
      </c>
      <c r="YV2" s="35" t="s">
        <v>21</v>
      </c>
      <c r="YW2" s="206" t="s">
        <v>1194</v>
      </c>
      <c r="YX2" s="206" t="s">
        <v>1194</v>
      </c>
      <c r="YY2" s="35" t="s">
        <v>25</v>
      </c>
      <c r="YZ2" s="35" t="s">
        <v>25</v>
      </c>
      <c r="ZA2" s="35" t="s">
        <v>25</v>
      </c>
      <c r="ZB2" s="35" t="s">
        <v>21</v>
      </c>
      <c r="ZC2" s="35" t="s">
        <v>1196</v>
      </c>
      <c r="ZD2" s="35" t="s">
        <v>1196</v>
      </c>
      <c r="ZE2" s="35" t="s">
        <v>332</v>
      </c>
      <c r="ZF2" s="35" t="s">
        <v>332</v>
      </c>
      <c r="ZG2" t="s">
        <v>21</v>
      </c>
      <c r="ZI2" s="206" t="s">
        <v>1175</v>
      </c>
      <c r="ZK2" s="199" t="s">
        <v>1206</v>
      </c>
      <c r="ZL2" s="199">
        <v>10.8</v>
      </c>
      <c r="ZM2" s="199">
        <v>200</v>
      </c>
      <c r="ZN2" s="199">
        <v>3000</v>
      </c>
      <c r="ZO2" s="199">
        <v>300</v>
      </c>
      <c r="ZP2" s="199">
        <v>3600</v>
      </c>
      <c r="ZQ2" s="199" t="s">
        <v>1206</v>
      </c>
      <c r="ZR2" s="199">
        <v>7.5</v>
      </c>
      <c r="ZS2" s="199">
        <v>200</v>
      </c>
      <c r="ZT2" s="199">
        <v>3000</v>
      </c>
      <c r="ZU2" s="199">
        <v>300</v>
      </c>
      <c r="ZV2" s="199">
        <v>2500</v>
      </c>
      <c r="ZW2" s="199" t="s">
        <v>1206</v>
      </c>
      <c r="ZX2" s="199">
        <v>7.5</v>
      </c>
      <c r="ZY2" s="199">
        <v>200</v>
      </c>
      <c r="ZZ2" s="199">
        <v>3000</v>
      </c>
      <c r="AAA2" s="199">
        <v>300</v>
      </c>
      <c r="AAB2" s="199">
        <v>2500</v>
      </c>
      <c r="AAC2" s="353" t="s">
        <v>1206</v>
      </c>
      <c r="AAD2" s="353">
        <v>10.8</v>
      </c>
      <c r="AAE2" s="353">
        <v>200</v>
      </c>
      <c r="AAF2" s="353">
        <v>3000</v>
      </c>
      <c r="AAG2" s="353">
        <v>300</v>
      </c>
      <c r="AAH2" s="199">
        <v>3600</v>
      </c>
      <c r="AAK2" t="s">
        <v>1094</v>
      </c>
      <c r="AAL2" t="str">
        <f>$CS$17</f>
        <v>Oval Bottom Rail 2</v>
      </c>
      <c r="AAM2" t="str">
        <f>$CT$2</f>
        <v>Sewn In Pocket</v>
      </c>
      <c r="ABB2" t="s">
        <v>1094</v>
      </c>
      <c r="ABC2">
        <v>2</v>
      </c>
      <c r="ABD2" t="s">
        <v>767</v>
      </c>
      <c r="ABE2" t="s">
        <v>332</v>
      </c>
      <c r="ABF2" t="s">
        <v>405</v>
      </c>
      <c r="ABL2">
        <v>2</v>
      </c>
      <c r="ABM2" t="s">
        <v>1481</v>
      </c>
      <c r="ABN2" t="s">
        <v>1507</v>
      </c>
      <c r="ABO2" t="s">
        <v>1508</v>
      </c>
      <c r="ABP2" t="s">
        <v>1509</v>
      </c>
      <c r="ABQ2" t="s">
        <v>1510</v>
      </c>
      <c r="ABR2" t="s">
        <v>1511</v>
      </c>
      <c r="ABS2" t="s">
        <v>1512</v>
      </c>
      <c r="ABT2" t="s">
        <v>1513</v>
      </c>
      <c r="ABU2" t="s">
        <v>1514</v>
      </c>
      <c r="ABW2">
        <v>2</v>
      </c>
      <c r="ABX2">
        <v>1200</v>
      </c>
      <c r="ABY2">
        <v>3000</v>
      </c>
    </row>
    <row r="3" spans="1:753" ht="15">
      <c r="A3" t="s">
        <v>17</v>
      </c>
      <c r="B3">
        <v>37</v>
      </c>
      <c r="C3" t="s">
        <v>42</v>
      </c>
      <c r="D3" t="s">
        <v>43</v>
      </c>
      <c r="E3" t="s">
        <v>44</v>
      </c>
      <c r="F3" t="s">
        <v>45</v>
      </c>
      <c r="G3" t="s">
        <v>46</v>
      </c>
      <c r="H3" t="s">
        <v>47</v>
      </c>
      <c r="I3" t="s">
        <v>18</v>
      </c>
      <c r="J3">
        <v>8100</v>
      </c>
      <c r="K3" t="s">
        <v>48</v>
      </c>
      <c r="L3" t="s">
        <v>136</v>
      </c>
      <c r="M3">
        <v>800</v>
      </c>
      <c r="N3" t="s">
        <v>4</v>
      </c>
      <c r="O3">
        <v>217049</v>
      </c>
      <c r="P3" t="s">
        <v>10</v>
      </c>
      <c r="Q3">
        <v>2237</v>
      </c>
      <c r="R3" t="s">
        <v>41</v>
      </c>
      <c r="S3" t="s">
        <v>28</v>
      </c>
      <c r="T3">
        <v>2129</v>
      </c>
      <c r="V3" s="1"/>
      <c r="W3" t="s">
        <v>212</v>
      </c>
      <c r="Y3" t="s">
        <v>237</v>
      </c>
      <c r="Z3" t="s">
        <v>240</v>
      </c>
      <c r="AA3" s="35" t="s">
        <v>438</v>
      </c>
      <c r="AB3" t="s">
        <v>1142</v>
      </c>
      <c r="AD3" t="s">
        <v>218</v>
      </c>
      <c r="AE3" t="s">
        <v>332</v>
      </c>
      <c r="AF3" t="s">
        <v>26</v>
      </c>
      <c r="AH3" t="s">
        <v>26</v>
      </c>
      <c r="AI3" t="s">
        <v>225</v>
      </c>
      <c r="AJ3" t="s">
        <v>231</v>
      </c>
      <c r="AL3" t="s">
        <v>271</v>
      </c>
      <c r="AN3" t="s">
        <v>837</v>
      </c>
      <c r="AP3" t="s">
        <v>2287</v>
      </c>
      <c r="AQ3" t="s">
        <v>2297</v>
      </c>
      <c r="AR3" t="s">
        <v>2292</v>
      </c>
      <c r="AW3" s="36"/>
      <c r="BA3" t="s">
        <v>2051</v>
      </c>
      <c r="BC3" s="210" t="s">
        <v>1541</v>
      </c>
      <c r="BD3" t="s">
        <v>554</v>
      </c>
      <c r="BE3" t="s">
        <v>551</v>
      </c>
      <c r="BF3" s="327" t="s">
        <v>551</v>
      </c>
      <c r="BG3" s="327" t="s">
        <v>551</v>
      </c>
      <c r="BH3" s="327" t="s">
        <v>551</v>
      </c>
      <c r="BI3" t="s">
        <v>300</v>
      </c>
      <c r="BK3" t="s">
        <v>306</v>
      </c>
      <c r="BM3" t="s">
        <v>331</v>
      </c>
      <c r="BN3" t="s">
        <v>332</v>
      </c>
      <c r="BS3" t="s">
        <v>332</v>
      </c>
      <c r="BT3" t="s">
        <v>69</v>
      </c>
      <c r="BU3" t="s">
        <v>332</v>
      </c>
      <c r="BW3" t="s">
        <v>352</v>
      </c>
      <c r="BY3" t="s">
        <v>360</v>
      </c>
      <c r="CA3" t="s">
        <v>359</v>
      </c>
      <c r="CD3" t="s">
        <v>371</v>
      </c>
      <c r="CE3" t="s">
        <v>371</v>
      </c>
      <c r="CF3" t="s">
        <v>386</v>
      </c>
      <c r="CG3" t="s">
        <v>386</v>
      </c>
      <c r="CH3" t="s">
        <v>386</v>
      </c>
      <c r="CJ3" t="s">
        <v>22</v>
      </c>
      <c r="CM3" t="s">
        <v>352</v>
      </c>
      <c r="CN3" t="s">
        <v>352</v>
      </c>
      <c r="CO3" t="s">
        <v>352</v>
      </c>
      <c r="CQ3" t="s">
        <v>403</v>
      </c>
      <c r="CS3" t="s">
        <v>408</v>
      </c>
      <c r="CT3" t="s">
        <v>332</v>
      </c>
      <c r="CU3" t="s">
        <v>322</v>
      </c>
      <c r="CV3" t="s">
        <v>332</v>
      </c>
      <c r="CX3" t="s">
        <v>352</v>
      </c>
      <c r="CY3" t="s">
        <v>352</v>
      </c>
      <c r="CZ3" t="s">
        <v>352</v>
      </c>
      <c r="DA3" t="s">
        <v>421</v>
      </c>
      <c r="DB3">
        <v>1</v>
      </c>
      <c r="DD3" t="s">
        <v>22</v>
      </c>
      <c r="DE3" t="s">
        <v>332</v>
      </c>
      <c r="DG3" t="s">
        <v>384</v>
      </c>
      <c r="DI3" t="s">
        <v>543</v>
      </c>
      <c r="DJ3" t="s">
        <v>438</v>
      </c>
      <c r="DK3" t="s">
        <v>438</v>
      </c>
      <c r="DL3" t="s">
        <v>322</v>
      </c>
      <c r="DN3" s="106"/>
      <c r="DO3" s="205" t="s">
        <v>154</v>
      </c>
      <c r="DP3" s="205" t="s">
        <v>955</v>
      </c>
      <c r="DQ3" s="207" t="s">
        <v>956</v>
      </c>
      <c r="DR3" s="182" t="s">
        <v>564</v>
      </c>
      <c r="DS3" s="182" t="s">
        <v>565</v>
      </c>
      <c r="DT3" s="182" t="s">
        <v>566</v>
      </c>
      <c r="DU3" s="182" t="s">
        <v>567</v>
      </c>
      <c r="DV3" s="182" t="s">
        <v>568</v>
      </c>
      <c r="DW3" s="182" t="s">
        <v>569</v>
      </c>
      <c r="DX3" s="110" t="s">
        <v>953</v>
      </c>
      <c r="DY3" s="182" t="s">
        <v>570</v>
      </c>
      <c r="DZ3" s="182" t="s">
        <v>571</v>
      </c>
      <c r="EA3" s="182" t="s">
        <v>572</v>
      </c>
      <c r="EB3" s="182" t="s">
        <v>573</v>
      </c>
      <c r="EC3" s="182" t="s">
        <v>574</v>
      </c>
      <c r="ED3" s="182" t="s">
        <v>575</v>
      </c>
      <c r="EE3" s="182" t="s">
        <v>952</v>
      </c>
      <c r="EF3" s="110"/>
      <c r="EG3" s="35" t="s">
        <v>357</v>
      </c>
      <c r="EJ3" t="s">
        <v>26</v>
      </c>
      <c r="EK3" t="s">
        <v>69</v>
      </c>
      <c r="EM3" t="s">
        <v>599</v>
      </c>
      <c r="EN3" t="s">
        <v>599</v>
      </c>
      <c r="EO3" t="s">
        <v>599</v>
      </c>
      <c r="EQ3" t="s">
        <v>22</v>
      </c>
      <c r="ER3" t="s">
        <v>22</v>
      </c>
      <c r="ES3" t="s">
        <v>332</v>
      </c>
      <c r="ET3" t="s">
        <v>332</v>
      </c>
      <c r="EU3" t="s">
        <v>872</v>
      </c>
      <c r="EW3" t="s">
        <v>608</v>
      </c>
      <c r="EX3" t="s">
        <v>608</v>
      </c>
      <c r="EY3" t="s">
        <v>609</v>
      </c>
      <c r="FA3" s="210" t="s">
        <v>553</v>
      </c>
      <c r="FB3" s="210" t="s">
        <v>615</v>
      </c>
      <c r="FC3" t="s">
        <v>307</v>
      </c>
      <c r="FD3" t="s">
        <v>22</v>
      </c>
      <c r="FF3" t="s">
        <v>619</v>
      </c>
      <c r="FG3" t="s">
        <v>307</v>
      </c>
      <c r="FH3" t="s">
        <v>307</v>
      </c>
      <c r="FJ3" t="s">
        <v>307</v>
      </c>
      <c r="FK3" t="s">
        <v>307</v>
      </c>
      <c r="FM3" t="s">
        <v>577</v>
      </c>
      <c r="FP3" t="s">
        <v>666</v>
      </c>
      <c r="FR3" t="s">
        <v>227</v>
      </c>
      <c r="FS3" t="s">
        <v>227</v>
      </c>
      <c r="FT3" t="s">
        <v>227</v>
      </c>
      <c r="FU3" t="s">
        <v>227</v>
      </c>
      <c r="FV3" t="s">
        <v>227</v>
      </c>
      <c r="FW3" t="s">
        <v>227</v>
      </c>
      <c r="FX3" t="s">
        <v>227</v>
      </c>
      <c r="FY3" t="s">
        <v>227</v>
      </c>
      <c r="FZ3" t="s">
        <v>227</v>
      </c>
      <c r="GA3" t="s">
        <v>227</v>
      </c>
      <c r="GB3" t="s">
        <v>227</v>
      </c>
      <c r="GC3" t="s">
        <v>227</v>
      </c>
      <c r="GE3" t="s">
        <v>227</v>
      </c>
      <c r="GG3" t="s">
        <v>227</v>
      </c>
      <c r="GH3" t="s">
        <v>227</v>
      </c>
      <c r="GI3" t="s">
        <v>227</v>
      </c>
      <c r="GJ3" t="s">
        <v>227</v>
      </c>
      <c r="GK3" t="s">
        <v>227</v>
      </c>
      <c r="GL3" t="s">
        <v>227</v>
      </c>
      <c r="GM3" t="s">
        <v>227</v>
      </c>
      <c r="GN3" t="s">
        <v>227</v>
      </c>
      <c r="GO3" t="s">
        <v>227</v>
      </c>
      <c r="GP3" t="s">
        <v>227</v>
      </c>
      <c r="GQ3" t="s">
        <v>227</v>
      </c>
      <c r="GR3" t="s">
        <v>227</v>
      </c>
      <c r="GS3" s="327" t="s">
        <v>227</v>
      </c>
      <c r="GT3" t="s">
        <v>227</v>
      </c>
      <c r="GU3" t="s">
        <v>227</v>
      </c>
      <c r="GV3" t="s">
        <v>227</v>
      </c>
      <c r="GW3" t="s">
        <v>227</v>
      </c>
      <c r="GX3" s="327" t="s">
        <v>227</v>
      </c>
      <c r="GY3" t="s">
        <v>227</v>
      </c>
      <c r="HA3" t="s">
        <v>608</v>
      </c>
      <c r="HB3" t="s">
        <v>608</v>
      </c>
      <c r="HC3" t="s">
        <v>608</v>
      </c>
      <c r="HD3" t="s">
        <v>608</v>
      </c>
      <c r="HE3" t="s">
        <v>608</v>
      </c>
      <c r="HF3" t="s">
        <v>608</v>
      </c>
      <c r="HG3" t="s">
        <v>608</v>
      </c>
      <c r="HH3" t="s">
        <v>608</v>
      </c>
      <c r="HI3" t="s">
        <v>608</v>
      </c>
      <c r="HJ3" t="s">
        <v>608</v>
      </c>
      <c r="HK3" t="s">
        <v>608</v>
      </c>
      <c r="HL3" t="s">
        <v>608</v>
      </c>
      <c r="HM3" t="s">
        <v>608</v>
      </c>
      <c r="HN3" t="s">
        <v>608</v>
      </c>
      <c r="HO3" t="s">
        <v>608</v>
      </c>
      <c r="HP3" t="s">
        <v>608</v>
      </c>
      <c r="HQ3" t="s">
        <v>608</v>
      </c>
      <c r="HR3" t="s">
        <v>608</v>
      </c>
      <c r="HS3" t="s">
        <v>609</v>
      </c>
      <c r="HT3" t="s">
        <v>609</v>
      </c>
      <c r="HU3" t="s">
        <v>609</v>
      </c>
      <c r="HX3" t="s">
        <v>755</v>
      </c>
      <c r="HZ3" t="s">
        <v>26</v>
      </c>
      <c r="IA3" t="s">
        <v>26</v>
      </c>
      <c r="IB3" t="s">
        <v>322</v>
      </c>
      <c r="IC3" t="s">
        <v>26</v>
      </c>
      <c r="ID3" t="s">
        <v>328</v>
      </c>
      <c r="IE3" t="s">
        <v>322</v>
      </c>
      <c r="IF3" t="s">
        <v>766</v>
      </c>
      <c r="IG3" t="s">
        <v>766</v>
      </c>
      <c r="IH3" t="s">
        <v>766</v>
      </c>
      <c r="II3" t="s">
        <v>766</v>
      </c>
      <c r="IJ3" t="s">
        <v>322</v>
      </c>
      <c r="IK3" t="s">
        <v>322</v>
      </c>
      <c r="IL3" t="s">
        <v>331</v>
      </c>
      <c r="IM3" t="s">
        <v>767</v>
      </c>
      <c r="IN3" t="s">
        <v>322</v>
      </c>
      <c r="IO3" t="s">
        <v>326</v>
      </c>
      <c r="IP3" t="s">
        <v>322</v>
      </c>
      <c r="IQ3" t="s">
        <v>322</v>
      </c>
      <c r="IR3" t="s">
        <v>331</v>
      </c>
      <c r="IS3" t="s">
        <v>331</v>
      </c>
      <c r="IT3" t="s">
        <v>26</v>
      </c>
      <c r="IU3" t="s">
        <v>26</v>
      </c>
      <c r="IV3" t="s">
        <v>26</v>
      </c>
      <c r="IW3" t="s">
        <v>328</v>
      </c>
      <c r="IX3" s="210" t="s">
        <v>554</v>
      </c>
      <c r="IY3" t="s">
        <v>549</v>
      </c>
      <c r="IZ3" t="s">
        <v>22</v>
      </c>
      <c r="JA3" t="s">
        <v>332</v>
      </c>
      <c r="JB3" t="s">
        <v>332</v>
      </c>
      <c r="JC3" t="s">
        <v>332</v>
      </c>
      <c r="JD3" t="s">
        <v>332</v>
      </c>
      <c r="JE3" t="s">
        <v>795</v>
      </c>
      <c r="JF3" t="s">
        <v>332</v>
      </c>
      <c r="JG3" t="s">
        <v>332</v>
      </c>
      <c r="JH3" t="s">
        <v>69</v>
      </c>
      <c r="JI3" t="s">
        <v>22</v>
      </c>
      <c r="JJ3" t="s">
        <v>22</v>
      </c>
      <c r="JK3" t="s">
        <v>22</v>
      </c>
      <c r="JL3" t="s">
        <v>22</v>
      </c>
      <c r="JM3" t="s">
        <v>22</v>
      </c>
      <c r="JN3" t="s">
        <v>22</v>
      </c>
      <c r="JO3" t="s">
        <v>22</v>
      </c>
      <c r="JP3" t="s">
        <v>22</v>
      </c>
      <c r="JQ3" t="s">
        <v>22</v>
      </c>
      <c r="JR3" t="s">
        <v>22</v>
      </c>
      <c r="JS3" t="s">
        <v>69</v>
      </c>
      <c r="JT3" t="s">
        <v>22</v>
      </c>
      <c r="JU3" t="s">
        <v>22</v>
      </c>
      <c r="JV3" t="s">
        <v>22</v>
      </c>
      <c r="JW3" t="s">
        <v>22</v>
      </c>
      <c r="JX3" t="s">
        <v>332</v>
      </c>
      <c r="JY3" s="241" t="s">
        <v>22</v>
      </c>
      <c r="KB3" s="210" t="s">
        <v>554</v>
      </c>
      <c r="KC3" s="210" t="s">
        <v>554</v>
      </c>
      <c r="KD3" t="s">
        <v>551</v>
      </c>
      <c r="KF3" t="s">
        <v>232</v>
      </c>
      <c r="KG3" t="s">
        <v>656</v>
      </c>
      <c r="KK3" t="s">
        <v>842</v>
      </c>
      <c r="KN3" t="s">
        <v>848</v>
      </c>
      <c r="KP3" t="s">
        <v>850</v>
      </c>
      <c r="KQ3" t="s">
        <v>851</v>
      </c>
      <c r="KR3" t="s">
        <v>853</v>
      </c>
      <c r="KS3" t="s">
        <v>856</v>
      </c>
      <c r="KV3" t="s">
        <v>26</v>
      </c>
      <c r="KY3" t="s">
        <v>850</v>
      </c>
      <c r="KZ3" t="s">
        <v>858</v>
      </c>
      <c r="LA3" t="s">
        <v>26</v>
      </c>
      <c r="LB3" t="s">
        <v>861</v>
      </c>
      <c r="LC3" t="s">
        <v>843</v>
      </c>
      <c r="LD3" t="s">
        <v>863</v>
      </c>
      <c r="LJ3" t="s">
        <v>422</v>
      </c>
      <c r="LK3">
        <v>0</v>
      </c>
      <c r="LP3" t="s">
        <v>337</v>
      </c>
      <c r="LQ3" t="s">
        <v>339</v>
      </c>
      <c r="LR3" t="s">
        <v>341</v>
      </c>
      <c r="LS3" t="s">
        <v>345</v>
      </c>
      <c r="LU3" t="s">
        <v>348</v>
      </c>
      <c r="LW3" s="196" t="s">
        <v>301</v>
      </c>
      <c r="LX3" s="186" t="s">
        <v>888</v>
      </c>
      <c r="LY3" s="234" t="s">
        <v>1074</v>
      </c>
      <c r="LZ3" s="186" t="s">
        <v>463</v>
      </c>
      <c r="MA3" s="186" t="s">
        <v>485</v>
      </c>
      <c r="MB3" s="186"/>
      <c r="MD3" s="201" t="s">
        <v>870</v>
      </c>
      <c r="ME3" s="187" t="s">
        <v>301</v>
      </c>
      <c r="MF3" s="187" t="s">
        <v>301</v>
      </c>
      <c r="MG3" s="187" t="s">
        <v>332</v>
      </c>
      <c r="MI3" t="s">
        <v>318</v>
      </c>
      <c r="MJ3" s="187" t="s">
        <v>22</v>
      </c>
      <c r="MK3" t="s">
        <v>304</v>
      </c>
      <c r="ML3" t="s">
        <v>69</v>
      </c>
      <c r="MN3" t="s">
        <v>2284</v>
      </c>
      <c r="MP3" t="s">
        <v>991</v>
      </c>
      <c r="MQ3" t="s">
        <v>992</v>
      </c>
      <c r="MR3" t="s">
        <v>29</v>
      </c>
      <c r="MS3" t="s">
        <v>993</v>
      </c>
      <c r="MU3" t="s">
        <v>322</v>
      </c>
      <c r="MX3" t="s">
        <v>1002</v>
      </c>
      <c r="MY3">
        <v>2</v>
      </c>
      <c r="NN3" t="s">
        <v>306</v>
      </c>
      <c r="NO3" s="232" t="s">
        <v>69</v>
      </c>
      <c r="NP3" s="232" t="s">
        <v>22</v>
      </c>
      <c r="NQ3" s="232" t="s">
        <v>22</v>
      </c>
      <c r="NR3" s="232" t="s">
        <v>22</v>
      </c>
      <c r="NS3" s="232" t="s">
        <v>22</v>
      </c>
      <c r="NT3" s="232" t="s">
        <v>22</v>
      </c>
      <c r="NU3" s="232" t="s">
        <v>22</v>
      </c>
      <c r="NV3" s="232" t="s">
        <v>22</v>
      </c>
      <c r="NW3" s="232" t="s">
        <v>22</v>
      </c>
      <c r="NX3" s="232" t="s">
        <v>22</v>
      </c>
      <c r="NY3" s="232" t="s">
        <v>22</v>
      </c>
      <c r="NZ3" s="232" t="s">
        <v>22</v>
      </c>
      <c r="OA3" s="232" t="s">
        <v>22</v>
      </c>
      <c r="OB3" s="232" t="s">
        <v>22</v>
      </c>
      <c r="OC3" s="232" t="s">
        <v>22</v>
      </c>
      <c r="OD3" s="232" t="s">
        <v>22</v>
      </c>
      <c r="OE3" s="232" t="s">
        <v>332</v>
      </c>
      <c r="OF3" t="s">
        <v>69</v>
      </c>
      <c r="OG3" s="241" t="s">
        <v>22</v>
      </c>
      <c r="OL3" t="s">
        <v>360</v>
      </c>
      <c r="PB3" t="s">
        <v>1100</v>
      </c>
      <c r="PC3" t="s">
        <v>1101</v>
      </c>
      <c r="PD3" t="s">
        <v>1101</v>
      </c>
      <c r="PE3" t="s">
        <v>1096</v>
      </c>
      <c r="PG3" t="s">
        <v>1102</v>
      </c>
      <c r="PH3" t="s">
        <v>409</v>
      </c>
      <c r="PI3" t="s">
        <v>1103</v>
      </c>
      <c r="PJ3" t="s">
        <v>1103</v>
      </c>
      <c r="PL3" t="s">
        <v>1098</v>
      </c>
      <c r="PU3" t="s">
        <v>28</v>
      </c>
      <c r="PW3" t="s">
        <v>22</v>
      </c>
      <c r="PX3" t="s">
        <v>113</v>
      </c>
      <c r="PY3" t="s">
        <v>409</v>
      </c>
      <c r="PZ3" t="s">
        <v>409</v>
      </c>
      <c r="QB3" t="s">
        <v>22</v>
      </c>
      <c r="QC3" t="s">
        <v>22</v>
      </c>
      <c r="QE3" t="s">
        <v>843</v>
      </c>
      <c r="QF3" t="s">
        <v>842</v>
      </c>
      <c r="QG3" t="s">
        <v>1103</v>
      </c>
      <c r="QH3" t="s">
        <v>26</v>
      </c>
      <c r="QI3" t="s">
        <v>22</v>
      </c>
      <c r="QJ3" t="s">
        <v>28</v>
      </c>
      <c r="QK3" t="s">
        <v>28</v>
      </c>
      <c r="QL3" t="s">
        <v>1416</v>
      </c>
      <c r="QM3" t="s">
        <v>1416</v>
      </c>
      <c r="RB3" t="s">
        <v>1175</v>
      </c>
      <c r="RC3" t="s">
        <v>1178</v>
      </c>
      <c r="RD3" t="s">
        <v>1178</v>
      </c>
      <c r="RF3" t="s">
        <v>1178</v>
      </c>
      <c r="RG3" t="s">
        <v>1178</v>
      </c>
      <c r="RI3" t="s">
        <v>1178</v>
      </c>
      <c r="RJ3" t="s">
        <v>1178</v>
      </c>
      <c r="RL3" t="s">
        <v>1178</v>
      </c>
      <c r="RM3" t="s">
        <v>1178</v>
      </c>
      <c r="RN3" t="s">
        <v>1178</v>
      </c>
      <c r="RU3" t="s">
        <v>1213</v>
      </c>
      <c r="RV3" t="str">
        <f t="shared" ref="RV3:RV13" si="2">$RB$1</f>
        <v>CellularBlindProduct</v>
      </c>
      <c r="RW3" t="s">
        <v>28</v>
      </c>
      <c r="RX3" s="237">
        <v>1</v>
      </c>
      <c r="SE3" s="435" t="s">
        <v>1218</v>
      </c>
      <c r="SF3" s="435" t="s">
        <v>1218</v>
      </c>
      <c r="SG3" s="435" t="s">
        <v>1988</v>
      </c>
      <c r="SH3" s="435" t="s">
        <v>1219</v>
      </c>
      <c r="SI3" s="435" t="s">
        <v>1988</v>
      </c>
      <c r="SJ3" s="435" t="s">
        <v>1988</v>
      </c>
      <c r="SK3" s="435" t="s">
        <v>1989</v>
      </c>
      <c r="SL3" s="435" t="s">
        <v>1221</v>
      </c>
      <c r="SM3" s="435" t="s">
        <v>1219</v>
      </c>
      <c r="SN3" s="435" t="s">
        <v>1221</v>
      </c>
      <c r="SO3" s="435" t="s">
        <v>1221</v>
      </c>
      <c r="SP3" s="435" t="s">
        <v>1221</v>
      </c>
      <c r="SQ3" s="435" t="s">
        <v>1221</v>
      </c>
      <c r="SR3" s="435" t="s">
        <v>1162</v>
      </c>
      <c r="SS3" t="s">
        <v>1218</v>
      </c>
      <c r="ST3" t="s">
        <v>1162</v>
      </c>
      <c r="TB3" s="207" t="s">
        <v>1175</v>
      </c>
      <c r="TC3" s="199" t="str">
        <f>SG1</f>
        <v xml:space="preserve"> 38mm Single Cellular Blind Blockout Standard</v>
      </c>
      <c r="TD3" s="199" t="str">
        <f>SE86</f>
        <v xml:space="preserve"> 38mm Single Cell Blockout Bamboo Print</v>
      </c>
      <c r="TE3" s="199" t="str">
        <f>SI79</f>
        <v xml:space="preserve"> 38mm Single Cell Translucent Bamboo Print</v>
      </c>
      <c r="TF3" s="199" t="str">
        <f>$SF$75</f>
        <v xml:space="preserve"> 38mm Single Cell Translucent Crepe Woven</v>
      </c>
      <c r="TG3" s="199" t="str">
        <f>SG87</f>
        <v xml:space="preserve"> 38mm Single Cell Translucent Sheer A</v>
      </c>
      <c r="TH3" s="199" t="str">
        <f>SJ79</f>
        <v xml:space="preserve"> 38mm Single Cell Translucent Slub Woven</v>
      </c>
      <c r="TI3" s="199" t="s">
        <v>332</v>
      </c>
      <c r="TJ3" s="199" t="s">
        <v>332</v>
      </c>
      <c r="TK3" s="199" t="s">
        <v>332</v>
      </c>
      <c r="TL3" s="199" t="s">
        <v>332</v>
      </c>
      <c r="TM3" s="199" t="str">
        <f>SE1</f>
        <v xml:space="preserve"> 38mm Single Cellular Blind Translucent Standard</v>
      </c>
      <c r="TN3" s="199" t="str">
        <f>SR1</f>
        <v xml:space="preserve"> 38mm Single Cellular Blind Translucent Crush</v>
      </c>
      <c r="TO3" s="199" t="str">
        <f>SM1</f>
        <v xml:space="preserve"> 38mm Single Cellular Blind Translucent Linen</v>
      </c>
      <c r="TP3" s="199" t="str">
        <f>SO1</f>
        <v xml:space="preserve"> 38mm Single Cellular Blind Translucent Paisley</v>
      </c>
      <c r="TQ3" s="199" t="str">
        <f>SI1</f>
        <v xml:space="preserve"> 38mm Single Cellular Blind Translucent Sheer</v>
      </c>
      <c r="TR3" s="199" t="s">
        <v>332</v>
      </c>
      <c r="TS3" s="199" t="s">
        <v>332</v>
      </c>
      <c r="TT3" s="199" t="s">
        <v>332</v>
      </c>
      <c r="TU3" s="199" t="s">
        <v>332</v>
      </c>
      <c r="TV3" s="199" t="s">
        <v>332</v>
      </c>
      <c r="TW3" s="199" t="s">
        <v>332</v>
      </c>
      <c r="TX3" s="199" t="s">
        <v>332</v>
      </c>
      <c r="TY3" s="199" t="str">
        <f>SN1</f>
        <v xml:space="preserve"> 38mm Single Cellular Blind Translucent Thatched</v>
      </c>
      <c r="TZ3" s="199" t="str">
        <f>SK1</f>
        <v xml:space="preserve"> 38mm Single Cellular Blind Translucent Woven</v>
      </c>
      <c r="UA3" s="434" t="str">
        <f>$SG$146</f>
        <v xml:space="preserve"> 38mm Single Cellular Blind Day Night Blockout Colours</v>
      </c>
      <c r="UB3" s="206" t="str">
        <f>$XG$1</f>
        <v>Cellular Colour 2 38mm Single Cellular Blind</v>
      </c>
      <c r="UC3" s="435" t="s">
        <v>1272</v>
      </c>
      <c r="UD3" s="435" t="s">
        <v>1272</v>
      </c>
      <c r="UE3" s="435" t="s">
        <v>2027</v>
      </c>
      <c r="UF3" s="435" t="s">
        <v>2027</v>
      </c>
      <c r="UG3" s="35" t="s">
        <v>2018</v>
      </c>
      <c r="UH3" s="204" t="s">
        <v>1308</v>
      </c>
      <c r="UI3" s="35" t="s">
        <v>1313</v>
      </c>
      <c r="UJ3" s="35" t="s">
        <v>1318</v>
      </c>
      <c r="UK3" s="35" t="s">
        <v>1323</v>
      </c>
      <c r="UL3" s="204" t="s">
        <v>1318</v>
      </c>
      <c r="UM3" s="204" t="s">
        <v>1323</v>
      </c>
      <c r="UN3" s="35" t="s">
        <v>1292</v>
      </c>
      <c r="UO3" s="241" t="s">
        <v>1272</v>
      </c>
      <c r="US3" t="s">
        <v>1298</v>
      </c>
      <c r="UT3" t="s">
        <v>1213</v>
      </c>
      <c r="VD3" s="35" t="s">
        <v>1452</v>
      </c>
      <c r="VE3" t="s">
        <v>1450</v>
      </c>
      <c r="VL3" s="245" t="s">
        <v>1213</v>
      </c>
      <c r="VM3" s="245" t="str">
        <f>VT1</f>
        <v>Corded Day Night 25mm Single</v>
      </c>
      <c r="VN3" s="245" t="str">
        <f>WE1</f>
        <v>Corded Day Night 38mm Single</v>
      </c>
      <c r="VO3" s="245" t="str">
        <f>WE47</f>
        <v>Corded Day Night 45mm Single</v>
      </c>
      <c r="VP3" s="245" t="str">
        <f>WE83</f>
        <v>Corded Day Night 45mm Single Cell In A Cell</v>
      </c>
      <c r="VQ3" s="245" t="str">
        <f>WP1</f>
        <v>Corded Day Night 38mm Double</v>
      </c>
      <c r="VR3" t="s">
        <v>1178</v>
      </c>
      <c r="VS3" s="204" t="s">
        <v>1178</v>
      </c>
      <c r="VT3" t="s">
        <v>1440</v>
      </c>
      <c r="VU3" s="204" t="s">
        <v>1178</v>
      </c>
      <c r="VV3" t="s">
        <v>1178</v>
      </c>
      <c r="VW3" t="s">
        <v>1440</v>
      </c>
      <c r="VX3" t="s">
        <v>1178</v>
      </c>
      <c r="VY3" t="s">
        <v>1178</v>
      </c>
      <c r="VZ3" t="s">
        <v>1440</v>
      </c>
      <c r="WA3" t="s">
        <v>1178</v>
      </c>
      <c r="WB3" t="s">
        <v>1178</v>
      </c>
      <c r="WC3" t="s">
        <v>1178</v>
      </c>
      <c r="WD3" s="178" t="s">
        <v>1852</v>
      </c>
      <c r="WE3" t="s">
        <v>1440</v>
      </c>
      <c r="WF3" t="s">
        <v>1852</v>
      </c>
      <c r="WG3" t="s">
        <v>1852</v>
      </c>
      <c r="WH3" t="s">
        <v>1440</v>
      </c>
      <c r="WI3" t="s">
        <v>1852</v>
      </c>
      <c r="WJ3" t="s">
        <v>1852</v>
      </c>
      <c r="WK3" t="s">
        <v>1440</v>
      </c>
      <c r="WL3" t="s">
        <v>1852</v>
      </c>
      <c r="WM3" t="s">
        <v>1852</v>
      </c>
      <c r="WN3" t="s">
        <v>1852</v>
      </c>
      <c r="WO3" t="s">
        <v>1178</v>
      </c>
      <c r="WP3" t="s">
        <v>1440</v>
      </c>
      <c r="WQ3" t="s">
        <v>1178</v>
      </c>
      <c r="WR3" t="s">
        <v>1178</v>
      </c>
      <c r="WS3" t="s">
        <v>1440</v>
      </c>
      <c r="WT3" t="s">
        <v>1178</v>
      </c>
      <c r="WU3" t="s">
        <v>1178</v>
      </c>
      <c r="WV3" t="s">
        <v>1440</v>
      </c>
      <c r="WW3" t="s">
        <v>1178</v>
      </c>
      <c r="WX3" t="s">
        <v>1178</v>
      </c>
      <c r="WY3" t="s">
        <v>1178</v>
      </c>
      <c r="XF3" s="435" t="s">
        <v>1272</v>
      </c>
      <c r="XG3" s="435" t="s">
        <v>1272</v>
      </c>
      <c r="XH3" s="435" t="s">
        <v>1934</v>
      </c>
      <c r="XI3" s="241" t="s">
        <v>1272</v>
      </c>
      <c r="XJ3" t="s">
        <v>1274</v>
      </c>
      <c r="XS3" s="207" t="s">
        <v>1175</v>
      </c>
      <c r="XT3" s="248" t="str">
        <f t="shared" si="0"/>
        <v>Cellular Colour 2 NA</v>
      </c>
      <c r="XU3" s="248" t="str">
        <f t="shared" si="0"/>
        <v>Cellular Colour 2 NA</v>
      </c>
      <c r="XV3" s="248" t="str">
        <f t="shared" si="0"/>
        <v>Cellular Colour 2 NA</v>
      </c>
      <c r="XW3" s="248" t="str">
        <f t="shared" si="0"/>
        <v>Cellular Colour 2 NA</v>
      </c>
      <c r="XX3" s="248" t="str">
        <f t="shared" si="0"/>
        <v>Cellular Colour 2 NA</v>
      </c>
      <c r="XY3" s="248" t="str">
        <f t="shared" si="0"/>
        <v>Cellular Colour 2 NA</v>
      </c>
      <c r="XZ3" s="248" t="str">
        <f t="shared" si="0"/>
        <v>Cellular Colour 2 NA</v>
      </c>
      <c r="YA3" s="248" t="str">
        <f t="shared" si="1"/>
        <v>Cellular Colour 2 NA</v>
      </c>
      <c r="YB3" s="248" t="str">
        <f t="shared" si="1"/>
        <v>Cellular Colour 2 NA</v>
      </c>
      <c r="YC3" s="248" t="str">
        <f t="shared" si="1"/>
        <v>Cellular Colour 2 NA</v>
      </c>
      <c r="YD3" s="248" t="str">
        <f t="shared" si="1"/>
        <v>Cellular Colour 2 NA</v>
      </c>
      <c r="YE3" s="248" t="str">
        <f t="shared" si="1"/>
        <v>Cellular Colour 2 NA</v>
      </c>
      <c r="YF3" s="248" t="str">
        <f t="shared" si="1"/>
        <v>Cellular Colour 2 NA</v>
      </c>
      <c r="YG3" s="248" t="str">
        <f t="shared" si="1"/>
        <v>Cellular Colour 2 NA</v>
      </c>
      <c r="YH3" s="248" t="str">
        <f t="shared" si="1"/>
        <v>Cellular Colour 2 NA</v>
      </c>
      <c r="YI3" s="248" t="str">
        <f t="shared" si="1"/>
        <v>Cellular Colour 2 NA</v>
      </c>
      <c r="YJ3" s="248" t="str">
        <f t="shared" si="1"/>
        <v>Cellular Colour 2 NA</v>
      </c>
      <c r="YK3" s="248" t="str">
        <f t="shared" si="1"/>
        <v>Cellular Colour 2 NA</v>
      </c>
      <c r="YL3" s="248" t="str">
        <f t="shared" si="1"/>
        <v>Cellular Colour 2 NA</v>
      </c>
      <c r="YM3" s="248" t="str">
        <f t="shared" si="1"/>
        <v>Cellular Colour 2 NA</v>
      </c>
      <c r="YN3" s="248" t="str">
        <f t="shared" si="1"/>
        <v>Cellular Colour 2 NA</v>
      </c>
      <c r="YO3" s="248" t="str">
        <f t="shared" si="1"/>
        <v>Cellular Colour 2 NA</v>
      </c>
      <c r="YP3" s="248" t="str">
        <f t="shared" si="1"/>
        <v>Cellular Colour 2 NA</v>
      </c>
      <c r="YQ3" s="199" t="str">
        <f>$XG$1</f>
        <v>Cellular Colour 2 38mm Single Cellular Blind</v>
      </c>
      <c r="YR3" s="199" t="str">
        <f>$SG$146</f>
        <v xml:space="preserve"> 38mm Single Cellular Blind Day Night Blockout Colours</v>
      </c>
      <c r="YU3" t="s">
        <v>1213</v>
      </c>
      <c r="YV3" s="35" t="s">
        <v>28</v>
      </c>
      <c r="YW3" s="206" t="s">
        <v>1195</v>
      </c>
      <c r="YX3" s="206" t="s">
        <v>1195</v>
      </c>
      <c r="ZB3" s="35" t="s">
        <v>28</v>
      </c>
      <c r="ZC3" s="35" t="s">
        <v>1197</v>
      </c>
      <c r="ZD3" s="35" t="s">
        <v>1197</v>
      </c>
      <c r="ZE3" s="35"/>
      <c r="ZF3" s="35"/>
      <c r="ZG3" t="s">
        <v>28</v>
      </c>
      <c r="ZI3" s="199" t="s">
        <v>1176</v>
      </c>
      <c r="ZK3" s="199" t="s">
        <v>1213</v>
      </c>
      <c r="ZL3" s="199">
        <v>5.5</v>
      </c>
      <c r="ZM3" s="199">
        <v>450</v>
      </c>
      <c r="ZN3" s="199">
        <v>3000</v>
      </c>
      <c r="ZO3" s="199">
        <v>300</v>
      </c>
      <c r="ZP3" s="199">
        <v>3600</v>
      </c>
      <c r="ZQ3" s="199" t="s">
        <v>1213</v>
      </c>
      <c r="ZR3" s="206">
        <v>4.5599999999999996</v>
      </c>
      <c r="ZS3" s="206">
        <v>450</v>
      </c>
      <c r="ZT3" s="206">
        <v>3000</v>
      </c>
      <c r="ZU3" s="199">
        <v>300</v>
      </c>
      <c r="ZV3" s="199">
        <v>2500</v>
      </c>
      <c r="ZW3" s="199" t="s">
        <v>1213</v>
      </c>
      <c r="ZX3" s="206">
        <v>4.5599999999999996</v>
      </c>
      <c r="ZY3" s="206">
        <v>450</v>
      </c>
      <c r="ZZ3" s="199">
        <v>3000</v>
      </c>
      <c r="AAA3" s="199">
        <v>300</v>
      </c>
      <c r="AAB3" s="199">
        <v>2500</v>
      </c>
      <c r="AAC3" s="353" t="s">
        <v>1213</v>
      </c>
      <c r="AAD3" s="353">
        <v>5.5</v>
      </c>
      <c r="AAE3" s="353">
        <v>450</v>
      </c>
      <c r="AAF3" s="353">
        <v>3000</v>
      </c>
      <c r="AAG3" s="353">
        <v>300</v>
      </c>
      <c r="AAH3" s="199">
        <v>3600</v>
      </c>
      <c r="AAK3" t="s">
        <v>1131</v>
      </c>
      <c r="AAL3" t="str">
        <f>$CS$17</f>
        <v>Oval Bottom Rail 2</v>
      </c>
      <c r="AAM3" t="str">
        <f t="shared" ref="AAM3:AAM15" si="3">$CT$2</f>
        <v>Sewn In Pocket</v>
      </c>
      <c r="ABB3" t="s">
        <v>1131</v>
      </c>
      <c r="ABC3">
        <v>3</v>
      </c>
      <c r="ABD3" t="s">
        <v>408</v>
      </c>
      <c r="ABL3">
        <v>3</v>
      </c>
      <c r="ABM3" t="s">
        <v>1482</v>
      </c>
      <c r="ABN3" t="s">
        <v>1515</v>
      </c>
      <c r="ABO3" t="s">
        <v>1516</v>
      </c>
      <c r="ABP3" t="s">
        <v>1517</v>
      </c>
      <c r="ABQ3" t="s">
        <v>1518</v>
      </c>
      <c r="ABR3" t="s">
        <v>1519</v>
      </c>
      <c r="ABW3">
        <v>3</v>
      </c>
      <c r="ABX3">
        <v>1200</v>
      </c>
      <c r="ABY3">
        <v>3000</v>
      </c>
    </row>
    <row r="4" spans="1:753" ht="15">
      <c r="A4" t="s">
        <v>51</v>
      </c>
      <c r="B4">
        <v>38</v>
      </c>
      <c r="C4" t="s">
        <v>52</v>
      </c>
      <c r="D4" t="s">
        <v>53</v>
      </c>
      <c r="E4" t="s">
        <v>54</v>
      </c>
      <c r="F4" t="s">
        <v>55</v>
      </c>
      <c r="G4" t="s">
        <v>56</v>
      </c>
      <c r="H4" t="s">
        <v>57</v>
      </c>
      <c r="I4" t="s">
        <v>38</v>
      </c>
      <c r="J4">
        <v>8000</v>
      </c>
      <c r="K4" t="s">
        <v>58</v>
      </c>
      <c r="L4" t="s">
        <v>30</v>
      </c>
      <c r="M4">
        <v>801</v>
      </c>
      <c r="N4" t="s">
        <v>5</v>
      </c>
      <c r="O4">
        <v>217050</v>
      </c>
      <c r="P4" t="s">
        <v>11</v>
      </c>
      <c r="Q4">
        <v>2238</v>
      </c>
      <c r="R4" t="s">
        <v>50</v>
      </c>
      <c r="S4" t="s">
        <v>21</v>
      </c>
      <c r="T4">
        <v>2130</v>
      </c>
      <c r="V4" s="2"/>
      <c r="W4" t="s">
        <v>213</v>
      </c>
      <c r="Y4" t="s">
        <v>366</v>
      </c>
      <c r="Z4" t="s">
        <v>241</v>
      </c>
      <c r="AA4" s="35" t="s">
        <v>437</v>
      </c>
      <c r="AB4" t="s">
        <v>1143</v>
      </c>
      <c r="AD4" t="s">
        <v>219</v>
      </c>
      <c r="AF4" t="s">
        <v>336</v>
      </c>
      <c r="AH4" t="s">
        <v>344</v>
      </c>
      <c r="AI4" t="s">
        <v>226</v>
      </c>
      <c r="AJ4" t="s">
        <v>232</v>
      </c>
      <c r="AL4" t="s">
        <v>275</v>
      </c>
      <c r="AN4" t="s">
        <v>254</v>
      </c>
      <c r="AP4" t="s">
        <v>2288</v>
      </c>
      <c r="AR4" s="35" t="s">
        <v>2293</v>
      </c>
      <c r="AW4" s="36"/>
      <c r="BA4" t="s">
        <v>2050</v>
      </c>
      <c r="BC4" t="s">
        <v>872</v>
      </c>
      <c r="BD4" t="s">
        <v>563</v>
      </c>
      <c r="BE4" t="s">
        <v>550</v>
      </c>
      <c r="BF4" s="327" t="s">
        <v>550</v>
      </c>
      <c r="BG4" s="327" t="s">
        <v>550</v>
      </c>
      <c r="BH4" s="327" t="s">
        <v>550</v>
      </c>
      <c r="BI4" t="s">
        <v>301</v>
      </c>
      <c r="BK4" t="s">
        <v>307</v>
      </c>
      <c r="BM4" t="s">
        <v>328</v>
      </c>
      <c r="BT4" t="s">
        <v>22</v>
      </c>
      <c r="BW4" t="s">
        <v>350</v>
      </c>
      <c r="BY4" t="s">
        <v>361</v>
      </c>
      <c r="CA4" t="s">
        <v>358</v>
      </c>
      <c r="CE4" t="s">
        <v>373</v>
      </c>
      <c r="CG4" t="s">
        <v>405</v>
      </c>
      <c r="CH4" t="s">
        <v>405</v>
      </c>
      <c r="CJ4" t="s">
        <v>69</v>
      </c>
      <c r="CN4" t="s">
        <v>350</v>
      </c>
      <c r="CO4" t="s">
        <v>350</v>
      </c>
      <c r="CQ4" t="s">
        <v>22</v>
      </c>
      <c r="CS4" t="s">
        <v>407</v>
      </c>
      <c r="CU4" t="s">
        <v>409</v>
      </c>
      <c r="CX4" t="s">
        <v>350</v>
      </c>
      <c r="CY4" t="s">
        <v>350</v>
      </c>
      <c r="DA4" t="s">
        <v>422</v>
      </c>
      <c r="DB4">
        <v>1</v>
      </c>
      <c r="DD4" t="s">
        <v>69</v>
      </c>
      <c r="DG4" t="s">
        <v>447</v>
      </c>
      <c r="DI4" t="s">
        <v>544</v>
      </c>
      <c r="DJ4" t="s">
        <v>437</v>
      </c>
      <c r="DK4" t="s">
        <v>437</v>
      </c>
      <c r="DL4" t="s">
        <v>409</v>
      </c>
      <c r="DN4" s="106"/>
      <c r="DO4" s="199" t="s">
        <v>421</v>
      </c>
      <c r="DP4" s="199">
        <v>1</v>
      </c>
      <c r="DQ4" s="199">
        <f>LEN(DO4)-LEN(SUBSTITUTE(DO4,"T",""))</f>
        <v>0</v>
      </c>
      <c r="DR4" s="187" t="s">
        <v>22</v>
      </c>
      <c r="DS4" s="187" t="s">
        <v>22</v>
      </c>
      <c r="DT4" s="187" t="s">
        <v>392</v>
      </c>
      <c r="DU4" s="187" t="s">
        <v>391</v>
      </c>
      <c r="DV4" s="187" t="s">
        <v>22</v>
      </c>
      <c r="DW4" s="187" t="s">
        <v>69</v>
      </c>
      <c r="DX4" s="187" t="s">
        <v>332</v>
      </c>
      <c r="DY4" s="187" t="s">
        <v>22</v>
      </c>
      <c r="DZ4" s="187" t="s">
        <v>22</v>
      </c>
      <c r="EA4" s="187" t="s">
        <v>22</v>
      </c>
      <c r="EB4" s="187" t="s">
        <v>22</v>
      </c>
      <c r="EC4" s="187" t="s">
        <v>22</v>
      </c>
      <c r="ED4" s="187" t="s">
        <v>69</v>
      </c>
      <c r="EE4" s="187" t="s">
        <v>332</v>
      </c>
      <c r="EG4" t="s">
        <v>22</v>
      </c>
      <c r="EJ4" t="s">
        <v>586</v>
      </c>
      <c r="EK4" t="s">
        <v>22</v>
      </c>
      <c r="EL4" t="s">
        <v>655</v>
      </c>
      <c r="EM4" t="s">
        <v>598</v>
      </c>
      <c r="EN4" t="s">
        <v>598</v>
      </c>
      <c r="EO4" t="s">
        <v>598</v>
      </c>
      <c r="ER4" t="s">
        <v>69</v>
      </c>
      <c r="EU4" t="s">
        <v>873</v>
      </c>
      <c r="EW4" t="s">
        <v>609</v>
      </c>
      <c r="EX4" t="s">
        <v>609</v>
      </c>
      <c r="FA4" s="210" t="s">
        <v>554</v>
      </c>
      <c r="FB4" s="210" t="s">
        <v>615</v>
      </c>
      <c r="FC4" t="s">
        <v>316</v>
      </c>
      <c r="FD4" t="s">
        <v>22</v>
      </c>
      <c r="FF4" t="s">
        <v>620</v>
      </c>
      <c r="FG4" t="s">
        <v>316</v>
      </c>
      <c r="FH4" t="s">
        <v>316</v>
      </c>
      <c r="FJ4" t="s">
        <v>316</v>
      </c>
      <c r="FK4" t="s">
        <v>316</v>
      </c>
      <c r="FM4" t="s">
        <v>314</v>
      </c>
      <c r="FP4" t="s">
        <v>667</v>
      </c>
      <c r="HA4" t="s">
        <v>609</v>
      </c>
      <c r="HB4" t="s">
        <v>609</v>
      </c>
      <c r="HC4" t="s">
        <v>609</v>
      </c>
      <c r="HD4" t="s">
        <v>609</v>
      </c>
      <c r="HE4" t="s">
        <v>609</v>
      </c>
      <c r="HF4" t="s">
        <v>609</v>
      </c>
      <c r="HG4" t="s">
        <v>609</v>
      </c>
      <c r="HH4" t="s">
        <v>609</v>
      </c>
      <c r="HI4" t="s">
        <v>609</v>
      </c>
      <c r="HJ4" t="s">
        <v>609</v>
      </c>
      <c r="HK4" t="s">
        <v>609</v>
      </c>
      <c r="HL4" t="s">
        <v>609</v>
      </c>
      <c r="HM4" t="s">
        <v>609</v>
      </c>
      <c r="HN4" t="s">
        <v>609</v>
      </c>
      <c r="HO4" t="s">
        <v>609</v>
      </c>
      <c r="HP4" t="s">
        <v>609</v>
      </c>
      <c r="HQ4" t="s">
        <v>609</v>
      </c>
      <c r="HR4" t="s">
        <v>609</v>
      </c>
      <c r="HX4" t="s">
        <v>756</v>
      </c>
      <c r="ID4" t="s">
        <v>327</v>
      </c>
      <c r="IF4" t="s">
        <v>322</v>
      </c>
      <c r="IG4" t="s">
        <v>322</v>
      </c>
      <c r="IH4" t="s">
        <v>322</v>
      </c>
      <c r="II4" t="s">
        <v>322</v>
      </c>
      <c r="IL4" t="s">
        <v>328</v>
      </c>
      <c r="IM4" t="s">
        <v>322</v>
      </c>
      <c r="IN4" t="s">
        <v>406</v>
      </c>
      <c r="IO4" t="s">
        <v>322</v>
      </c>
      <c r="IR4" t="s">
        <v>328</v>
      </c>
      <c r="IS4" t="s">
        <v>328</v>
      </c>
      <c r="IW4" t="s">
        <v>327</v>
      </c>
      <c r="IX4" s="210" t="s">
        <v>563</v>
      </c>
      <c r="IY4" t="s">
        <v>550</v>
      </c>
      <c r="JE4" t="s">
        <v>796</v>
      </c>
      <c r="JH4" t="s">
        <v>390</v>
      </c>
      <c r="JI4" t="s">
        <v>69</v>
      </c>
      <c r="JJ4" t="s">
        <v>69</v>
      </c>
      <c r="JK4" t="s">
        <v>69</v>
      </c>
      <c r="JL4" t="s">
        <v>69</v>
      </c>
      <c r="JM4" t="s">
        <v>69</v>
      </c>
      <c r="JN4" t="s">
        <v>69</v>
      </c>
      <c r="JO4" t="s">
        <v>69</v>
      </c>
      <c r="JP4" t="s">
        <v>69</v>
      </c>
      <c r="JQ4" t="s">
        <v>69</v>
      </c>
      <c r="JR4" t="s">
        <v>69</v>
      </c>
      <c r="JS4" t="s">
        <v>390</v>
      </c>
      <c r="JT4" t="s">
        <v>69</v>
      </c>
      <c r="JU4" t="s">
        <v>69</v>
      </c>
      <c r="JV4" t="s">
        <v>69</v>
      </c>
      <c r="JW4" t="s">
        <v>69</v>
      </c>
      <c r="JY4" s="241" t="s">
        <v>69</v>
      </c>
      <c r="KB4" s="210" t="s">
        <v>553</v>
      </c>
      <c r="KC4" s="210" t="s">
        <v>563</v>
      </c>
      <c r="KD4" t="s">
        <v>550</v>
      </c>
      <c r="KF4" t="s">
        <v>233</v>
      </c>
      <c r="KG4" t="s">
        <v>656</v>
      </c>
      <c r="KK4" t="s">
        <v>843</v>
      </c>
      <c r="KQ4" t="s">
        <v>854</v>
      </c>
      <c r="KV4" t="s">
        <v>336</v>
      </c>
      <c r="LJ4" t="s">
        <v>420</v>
      </c>
      <c r="LK4">
        <v>0</v>
      </c>
      <c r="LR4" t="s">
        <v>342</v>
      </c>
      <c r="LW4" s="192" t="s">
        <v>303</v>
      </c>
      <c r="LX4" s="186" t="s">
        <v>528</v>
      </c>
      <c r="LY4" s="186" t="s">
        <v>484</v>
      </c>
      <c r="LZ4" s="186" t="s">
        <v>464</v>
      </c>
      <c r="MA4" s="186" t="s">
        <v>486</v>
      </c>
      <c r="MB4" s="186"/>
      <c r="MD4" s="202" t="s">
        <v>887</v>
      </c>
      <c r="ME4" s="187" t="s">
        <v>304</v>
      </c>
      <c r="MF4" s="187" t="s">
        <v>300</v>
      </c>
      <c r="MI4" t="s">
        <v>319</v>
      </c>
      <c r="MJ4" s="187" t="s">
        <v>22</v>
      </c>
      <c r="MK4" t="s">
        <v>300</v>
      </c>
      <c r="ML4" t="s">
        <v>22</v>
      </c>
      <c r="MN4" t="s">
        <v>2285</v>
      </c>
      <c r="MP4" t="s">
        <v>994</v>
      </c>
      <c r="MQ4" t="s">
        <v>995</v>
      </c>
      <c r="MR4" t="s">
        <v>23</v>
      </c>
      <c r="MS4" t="s">
        <v>996</v>
      </c>
      <c r="MU4" t="s">
        <v>406</v>
      </c>
      <c r="MX4" t="s">
        <v>1003</v>
      </c>
      <c r="MY4">
        <v>2</v>
      </c>
      <c r="NN4" t="s">
        <v>307</v>
      </c>
      <c r="NO4" s="232" t="s">
        <v>390</v>
      </c>
      <c r="NP4" s="232" t="s">
        <v>69</v>
      </c>
      <c r="NQ4" s="232" t="s">
        <v>69</v>
      </c>
      <c r="NR4" s="232" t="s">
        <v>69</v>
      </c>
      <c r="NS4" s="232" t="s">
        <v>69</v>
      </c>
      <c r="NT4" s="232" t="s">
        <v>69</v>
      </c>
      <c r="NU4" s="232" t="s">
        <v>69</v>
      </c>
      <c r="NV4" s="232" t="s">
        <v>69</v>
      </c>
      <c r="NW4" s="232" t="s">
        <v>69</v>
      </c>
      <c r="NX4" s="232" t="s">
        <v>69</v>
      </c>
      <c r="NY4" s="232" t="s">
        <v>69</v>
      </c>
      <c r="NZ4" s="232"/>
      <c r="OA4" s="232"/>
      <c r="OB4" s="232"/>
      <c r="OC4" s="232"/>
      <c r="OD4" s="232"/>
      <c r="OE4" s="232"/>
      <c r="OF4" t="s">
        <v>390</v>
      </c>
      <c r="OG4" s="241" t="s">
        <v>69</v>
      </c>
      <c r="OL4" t="s">
        <v>361</v>
      </c>
      <c r="PB4" t="s">
        <v>1104</v>
      </c>
      <c r="PC4" t="s">
        <v>1105</v>
      </c>
      <c r="PD4" t="s">
        <v>1105</v>
      </c>
      <c r="PE4" t="s">
        <v>1106</v>
      </c>
      <c r="PG4" t="s">
        <v>1107</v>
      </c>
      <c r="PH4" t="s">
        <v>1108</v>
      </c>
      <c r="PI4" t="s">
        <v>1109</v>
      </c>
      <c r="PJ4" t="s">
        <v>1109</v>
      </c>
      <c r="PL4" t="s">
        <v>1110</v>
      </c>
      <c r="PU4" t="s">
        <v>1454</v>
      </c>
      <c r="PX4" t="s">
        <v>69</v>
      </c>
      <c r="PY4" t="s">
        <v>322</v>
      </c>
      <c r="PZ4" t="s">
        <v>322</v>
      </c>
      <c r="QF4" t="s">
        <v>843</v>
      </c>
      <c r="QG4" t="s">
        <v>1162</v>
      </c>
      <c r="QH4" t="s">
        <v>69</v>
      </c>
      <c r="QI4" t="s">
        <v>69</v>
      </c>
      <c r="QK4" t="s">
        <v>1465</v>
      </c>
      <c r="QL4" t="s">
        <v>1417</v>
      </c>
      <c r="QM4" t="s">
        <v>1417</v>
      </c>
      <c r="RB4" t="s">
        <v>1851</v>
      </c>
      <c r="RC4" t="s">
        <v>1185</v>
      </c>
      <c r="RD4" t="s">
        <v>1185</v>
      </c>
      <c r="RF4" t="s">
        <v>1185</v>
      </c>
      <c r="RG4" t="s">
        <v>1185</v>
      </c>
      <c r="RI4" t="s">
        <v>1185</v>
      </c>
      <c r="RJ4" t="s">
        <v>1185</v>
      </c>
      <c r="RL4" t="s">
        <v>1185</v>
      </c>
      <c r="RM4" t="s">
        <v>1185</v>
      </c>
      <c r="RN4" t="s">
        <v>1185</v>
      </c>
      <c r="RU4" t="s">
        <v>1207</v>
      </c>
      <c r="RV4" t="str">
        <f t="shared" si="2"/>
        <v>CellularBlindProduct</v>
      </c>
      <c r="RW4" s="35" t="s">
        <v>25</v>
      </c>
      <c r="RX4" s="237">
        <v>2</v>
      </c>
      <c r="SE4" s="435" t="s">
        <v>1988</v>
      </c>
      <c r="SF4" s="435" t="s">
        <v>1219</v>
      </c>
      <c r="SG4" s="435" t="s">
        <v>1998</v>
      </c>
      <c r="SH4" s="435" t="s">
        <v>377</v>
      </c>
      <c r="SI4" s="435" t="s">
        <v>1219</v>
      </c>
      <c r="SJ4" s="435" t="s">
        <v>1219</v>
      </c>
      <c r="SK4" s="435" t="s">
        <v>1219</v>
      </c>
      <c r="SL4" s="435" t="s">
        <v>1162</v>
      </c>
      <c r="SM4" s="435" t="s">
        <v>1221</v>
      </c>
      <c r="SN4" s="435" t="s">
        <v>1222</v>
      </c>
      <c r="SO4" s="435" t="s">
        <v>1222</v>
      </c>
      <c r="SP4" s="435" t="s">
        <v>1222</v>
      </c>
      <c r="SQ4" s="435" t="s">
        <v>1222</v>
      </c>
      <c r="SR4" s="435" t="s">
        <v>1222</v>
      </c>
      <c r="SS4" t="s">
        <v>1219</v>
      </c>
      <c r="ST4" t="s">
        <v>1223</v>
      </c>
      <c r="TB4" s="207" t="s">
        <v>1851</v>
      </c>
      <c r="TC4" s="199" t="str">
        <f>SE111</f>
        <v xml:space="preserve"> 45mm Single Cell Blockout Standard</v>
      </c>
      <c r="TD4" s="199" t="s">
        <v>332</v>
      </c>
      <c r="TE4" s="199" t="s">
        <v>332</v>
      </c>
      <c r="TF4" s="199" t="str">
        <f>$SH$214</f>
        <v xml:space="preserve"> 45mm Single Cell Translucent Crepe Woven</v>
      </c>
      <c r="TG4" s="199" t="s">
        <v>332</v>
      </c>
      <c r="TH4" s="199" t="s">
        <v>332</v>
      </c>
      <c r="TI4" s="199" t="str">
        <f>SG112</f>
        <v xml:space="preserve"> 45mm Single Cell Translucent Lux_Linen</v>
      </c>
      <c r="TJ4" s="199" t="str">
        <f>SH100</f>
        <v xml:space="preserve"> 45mm Single Cell Translucent Marble</v>
      </c>
      <c r="TK4" s="199" t="str">
        <f>SI104</f>
        <v xml:space="preserve"> 45mm Single Cell Translucent Sala</v>
      </c>
      <c r="TL4" s="199" t="str">
        <f>SK104</f>
        <v xml:space="preserve"> 45mm Single Cell Translucent Woodgrain</v>
      </c>
      <c r="TM4" s="199" t="str">
        <f>SF108</f>
        <v xml:space="preserve"> 45mm Single Cell Translucent Standard</v>
      </c>
      <c r="TN4" s="199" t="s">
        <v>332</v>
      </c>
      <c r="TO4" s="199" t="s">
        <v>332</v>
      </c>
      <c r="TP4" s="199" t="s">
        <v>332</v>
      </c>
      <c r="TQ4" s="199" t="str">
        <f>SJ104</f>
        <v xml:space="preserve"> 45mm Single Cell Translucent Sheer</v>
      </c>
      <c r="TR4" s="199" t="str">
        <f>SF214</f>
        <v xml:space="preserve"> 45mm Single Cell Blockout Marble</v>
      </c>
      <c r="TS4" s="199" t="str">
        <f>SE214</f>
        <v xml:space="preserve"> 45mm Single Cell Blockout Sala</v>
      </c>
      <c r="TT4" s="199" t="str">
        <f>SG214</f>
        <v xml:space="preserve"> 45mm Single Cell Blockout Woodgrain</v>
      </c>
      <c r="TU4" s="199" t="str">
        <f>SJ214</f>
        <v xml:space="preserve"> 45mm Single Cell Blockout Woodgrain Linen</v>
      </c>
      <c r="TV4" s="199" t="str">
        <f>$SH$214</f>
        <v xml:space="preserve"> 45mm Single Cell Translucent Crepe Woven</v>
      </c>
      <c r="TW4" s="199" t="str">
        <f>SK214</f>
        <v xml:space="preserve"> 45mm Single Cell Blockout Lux_Linen</v>
      </c>
      <c r="TX4" s="199" t="str">
        <f>SI214</f>
        <v xml:space="preserve"> 45mm Single Cell Translucent Woodgrain Linen</v>
      </c>
      <c r="TY4" s="199" t="s">
        <v>332</v>
      </c>
      <c r="TZ4" s="199" t="s">
        <v>332</v>
      </c>
      <c r="UA4" s="433" t="str">
        <f>$SE$146</f>
        <v xml:space="preserve"> 45mm Single Cellular Blind Day Night Blockout Colours</v>
      </c>
      <c r="UB4" s="206" t="str">
        <f>XH1</f>
        <v>Cellular Colour 2 45mm Single Cellular Blind</v>
      </c>
      <c r="UC4" s="435" t="s">
        <v>2004</v>
      </c>
      <c r="UD4" s="435" t="s">
        <v>1273</v>
      </c>
      <c r="UE4" s="435" t="s">
        <v>2028</v>
      </c>
      <c r="UF4" s="435" t="s">
        <v>2028</v>
      </c>
      <c r="UG4" s="35" t="s">
        <v>1307</v>
      </c>
      <c r="UH4" s="204" t="s">
        <v>1309</v>
      </c>
      <c r="UI4" s="35" t="s">
        <v>1314</v>
      </c>
      <c r="UJ4" s="35" t="s">
        <v>1319</v>
      </c>
      <c r="UK4" s="35" t="s">
        <v>1324</v>
      </c>
      <c r="UL4" s="204" t="s">
        <v>1319</v>
      </c>
      <c r="UM4" s="204" t="s">
        <v>1324</v>
      </c>
      <c r="UN4" s="35" t="s">
        <v>1293</v>
      </c>
      <c r="UO4" s="241" t="s">
        <v>1273</v>
      </c>
      <c r="US4" t="s">
        <v>1132</v>
      </c>
      <c r="UT4" t="s">
        <v>1207</v>
      </c>
      <c r="VD4" s="35" t="s">
        <v>1811</v>
      </c>
      <c r="VL4" s="245" t="s">
        <v>1207</v>
      </c>
      <c r="VM4" s="245" t="str">
        <f>VU1</f>
        <v>Corded Top Down Bottom Up 25mm Single</v>
      </c>
      <c r="VN4" s="245" t="str">
        <f>WF1</f>
        <v>Corded Top Down Bottom Up 38mm Single</v>
      </c>
      <c r="VO4" s="245" t="str">
        <f>WF47</f>
        <v>Corded Top Down Bottom Up 45mm Single</v>
      </c>
      <c r="VP4" s="245" t="str">
        <f>WF83</f>
        <v>Corded Top Down Bottom Up 45mm Single Cell In A Cell</v>
      </c>
      <c r="VQ4" s="245" t="str">
        <f>WQ1</f>
        <v>Corded Top Down Bottom Up 38mm Double</v>
      </c>
      <c r="VR4" t="s">
        <v>1185</v>
      </c>
      <c r="VS4" s="204" t="s">
        <v>1187</v>
      </c>
      <c r="VU4" s="204" t="s">
        <v>1187</v>
      </c>
      <c r="VV4" t="s">
        <v>1187</v>
      </c>
      <c r="VX4" t="s">
        <v>1187</v>
      </c>
      <c r="VY4" t="s">
        <v>1187</v>
      </c>
      <c r="WA4" t="s">
        <v>1187</v>
      </c>
      <c r="WB4" t="s">
        <v>1187</v>
      </c>
      <c r="WC4" t="s">
        <v>1187</v>
      </c>
      <c r="WD4" t="s">
        <v>1178</v>
      </c>
      <c r="WF4" t="s">
        <v>1178</v>
      </c>
      <c r="WG4" t="s">
        <v>1178</v>
      </c>
      <c r="WI4" t="s">
        <v>1178</v>
      </c>
      <c r="WJ4" t="s">
        <v>1178</v>
      </c>
      <c r="WL4" t="s">
        <v>1178</v>
      </c>
      <c r="WM4" t="s">
        <v>1178</v>
      </c>
      <c r="WN4" t="s">
        <v>1178</v>
      </c>
      <c r="XF4" s="435" t="s">
        <v>1273</v>
      </c>
      <c r="XG4" s="435" t="s">
        <v>2004</v>
      </c>
      <c r="XH4" s="435" t="s">
        <v>1276</v>
      </c>
      <c r="XI4" s="241" t="s">
        <v>1273</v>
      </c>
      <c r="XJ4" t="s">
        <v>2205</v>
      </c>
      <c r="XS4" s="207" t="s">
        <v>1851</v>
      </c>
      <c r="XT4" s="248" t="str">
        <f t="shared" si="0"/>
        <v>Cellular Colour 2 NA</v>
      </c>
      <c r="XU4" s="248" t="str">
        <f t="shared" si="0"/>
        <v>Cellular Colour 2 NA</v>
      </c>
      <c r="XV4" s="248" t="str">
        <f t="shared" si="0"/>
        <v>Cellular Colour 2 NA</v>
      </c>
      <c r="XW4" s="248" t="str">
        <f t="shared" si="0"/>
        <v>Cellular Colour 2 NA</v>
      </c>
      <c r="XX4" s="248" t="str">
        <f t="shared" si="0"/>
        <v>Cellular Colour 2 NA</v>
      </c>
      <c r="XY4" s="248" t="str">
        <f t="shared" si="0"/>
        <v>Cellular Colour 2 NA</v>
      </c>
      <c r="XZ4" s="248" t="str">
        <f t="shared" si="0"/>
        <v>Cellular Colour 2 NA</v>
      </c>
      <c r="YA4" s="248" t="str">
        <f t="shared" si="1"/>
        <v>Cellular Colour 2 NA</v>
      </c>
      <c r="YB4" s="248" t="str">
        <f t="shared" si="1"/>
        <v>Cellular Colour 2 NA</v>
      </c>
      <c r="YC4" s="248" t="str">
        <f t="shared" si="1"/>
        <v>Cellular Colour 2 NA</v>
      </c>
      <c r="YD4" s="248" t="str">
        <f t="shared" si="1"/>
        <v>Cellular Colour 2 NA</v>
      </c>
      <c r="YE4" s="248" t="str">
        <f t="shared" si="1"/>
        <v>Cellular Colour 2 NA</v>
      </c>
      <c r="YF4" s="248" t="str">
        <f t="shared" si="1"/>
        <v>Cellular Colour 2 NA</v>
      </c>
      <c r="YG4" s="248" t="str">
        <f t="shared" si="1"/>
        <v>Cellular Colour 2 NA</v>
      </c>
      <c r="YH4" s="248" t="str">
        <f t="shared" si="1"/>
        <v>Cellular Colour 2 NA</v>
      </c>
      <c r="YI4" s="248" t="str">
        <f t="shared" si="1"/>
        <v>Cellular Colour 2 NA</v>
      </c>
      <c r="YJ4" s="248" t="str">
        <f t="shared" si="1"/>
        <v>Cellular Colour 2 NA</v>
      </c>
      <c r="YK4" s="248" t="str">
        <f t="shared" si="1"/>
        <v>Cellular Colour 2 NA</v>
      </c>
      <c r="YL4" s="248" t="str">
        <f t="shared" si="1"/>
        <v>Cellular Colour 2 NA</v>
      </c>
      <c r="YM4" s="248" t="str">
        <f t="shared" si="1"/>
        <v>Cellular Colour 2 NA</v>
      </c>
      <c r="YN4" s="248" t="str">
        <f t="shared" si="1"/>
        <v>Cellular Colour 2 NA</v>
      </c>
      <c r="YO4" s="248" t="str">
        <f t="shared" si="1"/>
        <v>Cellular Colour 2 NA</v>
      </c>
      <c r="YP4" s="248" t="str">
        <f t="shared" si="1"/>
        <v>Cellular Colour 2 NA</v>
      </c>
      <c r="YQ4" s="199" t="str">
        <f>$XH$1</f>
        <v>Cellular Colour 2 45mm Single Cellular Blind</v>
      </c>
      <c r="YR4" s="199" t="str">
        <f>SE146</f>
        <v xml:space="preserve"> 45mm Single Cellular Blind Day Night Blockout Colours</v>
      </c>
      <c r="YU4" t="s">
        <v>1207</v>
      </c>
      <c r="YW4" s="206" t="s">
        <v>1196</v>
      </c>
      <c r="YX4" s="206" t="s">
        <v>1196</v>
      </c>
      <c r="ZI4" t="s">
        <v>1851</v>
      </c>
      <c r="ZK4" s="199" t="s">
        <v>1207</v>
      </c>
      <c r="ZL4" s="199">
        <v>10.8</v>
      </c>
      <c r="ZM4" s="199">
        <v>450</v>
      </c>
      <c r="ZN4" s="199">
        <v>3000</v>
      </c>
      <c r="ZO4" s="199">
        <v>300</v>
      </c>
      <c r="ZP4" s="199">
        <v>3600</v>
      </c>
      <c r="ZQ4" s="199" t="s">
        <v>1207</v>
      </c>
      <c r="ZR4" s="199">
        <v>7.5</v>
      </c>
      <c r="ZS4" s="199">
        <v>450</v>
      </c>
      <c r="ZT4" s="199">
        <v>3000</v>
      </c>
      <c r="ZU4" s="199">
        <v>300</v>
      </c>
      <c r="ZV4" s="199">
        <v>2500</v>
      </c>
      <c r="ZW4" s="199" t="s">
        <v>1207</v>
      </c>
      <c r="ZX4" s="199">
        <v>7.5</v>
      </c>
      <c r="ZY4" s="199">
        <v>450</v>
      </c>
      <c r="ZZ4" s="199">
        <v>3000</v>
      </c>
      <c r="AAA4" s="199">
        <v>300</v>
      </c>
      <c r="AAB4" s="199">
        <v>2500</v>
      </c>
      <c r="AAC4" s="353" t="s">
        <v>1207</v>
      </c>
      <c r="AAD4" s="353">
        <v>10.8</v>
      </c>
      <c r="AAE4" s="353">
        <v>450</v>
      </c>
      <c r="AAF4" s="353">
        <v>3000</v>
      </c>
      <c r="AAG4" s="353">
        <v>300</v>
      </c>
      <c r="AAH4" s="199">
        <v>3600</v>
      </c>
      <c r="AAK4" t="s">
        <v>1140</v>
      </c>
      <c r="AAL4" t="str">
        <f t="shared" ref="AAL4:AAL9" si="4">$CS$17</f>
        <v>Oval Bottom Rail 2</v>
      </c>
      <c r="AAM4" t="str">
        <f t="shared" si="3"/>
        <v>Sewn In Pocket</v>
      </c>
      <c r="ABB4" t="s">
        <v>1140</v>
      </c>
      <c r="ABC4">
        <v>4</v>
      </c>
      <c r="ABD4" t="s">
        <v>407</v>
      </c>
      <c r="ABL4">
        <v>4</v>
      </c>
      <c r="ABM4" t="s">
        <v>1483</v>
      </c>
      <c r="ABO4" t="s">
        <v>1525</v>
      </c>
      <c r="ABQ4" t="s">
        <v>1520</v>
      </c>
      <c r="ABW4">
        <v>4</v>
      </c>
      <c r="ABX4">
        <v>1600</v>
      </c>
      <c r="ABY4">
        <v>5500</v>
      </c>
    </row>
    <row r="5" spans="1:753" ht="15">
      <c r="L5" t="s">
        <v>137</v>
      </c>
      <c r="M5">
        <v>803</v>
      </c>
      <c r="N5" t="s">
        <v>6</v>
      </c>
      <c r="O5">
        <v>217051</v>
      </c>
      <c r="P5" t="s">
        <v>13</v>
      </c>
      <c r="Q5">
        <v>2295</v>
      </c>
      <c r="R5" t="s">
        <v>62</v>
      </c>
      <c r="S5" t="s">
        <v>21</v>
      </c>
      <c r="T5">
        <v>1979</v>
      </c>
      <c r="V5" s="1"/>
      <c r="W5" t="s">
        <v>214</v>
      </c>
      <c r="Y5" t="s">
        <v>367</v>
      </c>
      <c r="Z5" t="s">
        <v>242</v>
      </c>
      <c r="AA5" s="35" t="s">
        <v>446</v>
      </c>
      <c r="AB5" t="s">
        <v>1144</v>
      </c>
      <c r="AD5" t="s">
        <v>220</v>
      </c>
      <c r="AF5" t="s">
        <v>337</v>
      </c>
      <c r="AH5" t="s">
        <v>345</v>
      </c>
      <c r="AJ5" t="s">
        <v>233</v>
      </c>
      <c r="AL5" t="s">
        <v>270</v>
      </c>
      <c r="AN5" t="s">
        <v>255</v>
      </c>
      <c r="AP5" t="s">
        <v>2289</v>
      </c>
      <c r="AR5" s="35" t="s">
        <v>2294</v>
      </c>
      <c r="AW5" s="36"/>
      <c r="BA5" t="s">
        <v>1818</v>
      </c>
      <c r="BC5" s="327" t="s">
        <v>1774</v>
      </c>
      <c r="BD5" t="s">
        <v>1544</v>
      </c>
      <c r="BE5" t="s">
        <v>874</v>
      </c>
      <c r="BF5" s="327" t="s">
        <v>874</v>
      </c>
      <c r="BG5" s="327" t="s">
        <v>874</v>
      </c>
      <c r="BH5" s="327" t="s">
        <v>549</v>
      </c>
      <c r="BI5" t="s">
        <v>302</v>
      </c>
      <c r="BK5" t="s">
        <v>316</v>
      </c>
      <c r="BM5" t="s">
        <v>377</v>
      </c>
      <c r="BW5" t="s">
        <v>351</v>
      </c>
      <c r="CJ5" t="s">
        <v>390</v>
      </c>
      <c r="CN5" t="s">
        <v>351</v>
      </c>
      <c r="CO5" t="s">
        <v>351</v>
      </c>
      <c r="CS5" t="s">
        <v>330</v>
      </c>
      <c r="CU5" t="s">
        <v>377</v>
      </c>
      <c r="CX5" t="s">
        <v>351</v>
      </c>
      <c r="CY5" t="s">
        <v>351</v>
      </c>
      <c r="DA5" t="s">
        <v>420</v>
      </c>
      <c r="DB5">
        <v>2</v>
      </c>
      <c r="DG5" t="s">
        <v>385</v>
      </c>
      <c r="DI5" t="s">
        <v>545</v>
      </c>
      <c r="DJ5" t="s">
        <v>446</v>
      </c>
      <c r="DK5" t="s">
        <v>446</v>
      </c>
      <c r="DL5" t="s">
        <v>377</v>
      </c>
      <c r="DN5" s="106"/>
      <c r="DO5" s="199" t="s">
        <v>422</v>
      </c>
      <c r="DP5" s="199">
        <v>1</v>
      </c>
      <c r="DQ5" s="199">
        <f t="shared" ref="DQ5:DQ68" si="5">LEN(DO5)-LEN(SUBSTITUTE(DO5,"T",""))</f>
        <v>0</v>
      </c>
      <c r="DR5" s="187" t="s">
        <v>69</v>
      </c>
      <c r="DS5" s="187" t="s">
        <v>69</v>
      </c>
      <c r="DT5" s="187" t="s">
        <v>387</v>
      </c>
      <c r="DU5" s="187" t="s">
        <v>392</v>
      </c>
      <c r="DY5" s="187" t="s">
        <v>69</v>
      </c>
      <c r="DZ5" s="187" t="s">
        <v>69</v>
      </c>
      <c r="EG5" t="s">
        <v>69</v>
      </c>
      <c r="EJ5" t="s">
        <v>587</v>
      </c>
      <c r="EK5" t="s">
        <v>22</v>
      </c>
      <c r="EL5" t="s">
        <v>656</v>
      </c>
      <c r="EM5" t="s">
        <v>792</v>
      </c>
      <c r="EN5" t="s">
        <v>792</v>
      </c>
      <c r="EO5" t="s">
        <v>792</v>
      </c>
      <c r="EU5" s="327" t="s">
        <v>1774</v>
      </c>
      <c r="EW5" t="s">
        <v>583</v>
      </c>
      <c r="EX5" t="s">
        <v>583</v>
      </c>
      <c r="FA5" s="210" t="s">
        <v>555</v>
      </c>
      <c r="FB5" s="210" t="s">
        <v>69</v>
      </c>
      <c r="FC5" t="s">
        <v>308</v>
      </c>
      <c r="FD5" t="s">
        <v>22</v>
      </c>
      <c r="FF5" t="s">
        <v>621</v>
      </c>
      <c r="FG5" t="s">
        <v>308</v>
      </c>
      <c r="FH5" t="s">
        <v>308</v>
      </c>
      <c r="FJ5" t="s">
        <v>308</v>
      </c>
      <c r="FK5" t="s">
        <v>308</v>
      </c>
      <c r="FM5" t="s">
        <v>313</v>
      </c>
      <c r="FP5" t="s">
        <v>391</v>
      </c>
      <c r="HA5" t="s">
        <v>583</v>
      </c>
      <c r="HB5" t="s">
        <v>583</v>
      </c>
      <c r="HC5" t="s">
        <v>583</v>
      </c>
      <c r="HQ5" t="s">
        <v>583</v>
      </c>
      <c r="HX5" t="s">
        <v>757</v>
      </c>
      <c r="ID5" t="s">
        <v>326</v>
      </c>
      <c r="IL5" t="s">
        <v>377</v>
      </c>
      <c r="IR5" t="s">
        <v>377</v>
      </c>
      <c r="IS5" t="s">
        <v>377</v>
      </c>
      <c r="IW5" t="s">
        <v>326</v>
      </c>
      <c r="IX5" s="210" t="s">
        <v>1544</v>
      </c>
      <c r="IY5" t="s">
        <v>551</v>
      </c>
      <c r="JH5" t="s">
        <v>393</v>
      </c>
      <c r="JI5" t="s">
        <v>390</v>
      </c>
      <c r="JJ5" t="s">
        <v>390</v>
      </c>
      <c r="JK5" t="s">
        <v>390</v>
      </c>
      <c r="JL5" t="s">
        <v>390</v>
      </c>
      <c r="JM5" t="s">
        <v>390</v>
      </c>
      <c r="JN5" t="s">
        <v>390</v>
      </c>
      <c r="JO5" t="s">
        <v>390</v>
      </c>
      <c r="JP5" t="s">
        <v>390</v>
      </c>
      <c r="JQ5" t="s">
        <v>390</v>
      </c>
      <c r="JR5" t="s">
        <v>390</v>
      </c>
      <c r="JT5" t="s">
        <v>390</v>
      </c>
      <c r="JU5" t="s">
        <v>390</v>
      </c>
      <c r="JV5" t="s">
        <v>390</v>
      </c>
      <c r="JW5" t="s">
        <v>390</v>
      </c>
      <c r="JY5" s="241" t="s">
        <v>390</v>
      </c>
      <c r="KB5" s="210" t="s">
        <v>555</v>
      </c>
      <c r="KC5" s="210" t="s">
        <v>1544</v>
      </c>
      <c r="KD5" t="s">
        <v>874</v>
      </c>
      <c r="KF5" t="s">
        <v>234</v>
      </c>
      <c r="KG5" t="s">
        <v>656</v>
      </c>
      <c r="KK5" t="s">
        <v>844</v>
      </c>
      <c r="KQ5" t="s">
        <v>853</v>
      </c>
      <c r="KV5" t="s">
        <v>337</v>
      </c>
      <c r="LJ5" t="s">
        <v>504</v>
      </c>
      <c r="LK5">
        <v>1</v>
      </c>
      <c r="LR5" t="s">
        <v>343</v>
      </c>
      <c r="LW5" s="190" t="s">
        <v>302</v>
      </c>
      <c r="LX5" s="186" t="s">
        <v>479</v>
      </c>
      <c r="LY5" s="186" t="s">
        <v>923</v>
      </c>
      <c r="LZ5" s="186" t="s">
        <v>465</v>
      </c>
      <c r="MA5" s="186" t="s">
        <v>487</v>
      </c>
      <c r="MB5" s="186"/>
      <c r="ME5" s="187" t="s">
        <v>300</v>
      </c>
      <c r="MF5" s="187" t="s">
        <v>998</v>
      </c>
      <c r="MK5" t="s">
        <v>303</v>
      </c>
      <c r="ML5" t="s">
        <v>69</v>
      </c>
      <c r="MN5" t="s">
        <v>1498</v>
      </c>
      <c r="MX5" t="s">
        <v>420</v>
      </c>
      <c r="MY5">
        <v>2</v>
      </c>
      <c r="NN5" t="s">
        <v>316</v>
      </c>
      <c r="NO5" s="232" t="s">
        <v>393</v>
      </c>
      <c r="NP5" s="232" t="s">
        <v>390</v>
      </c>
      <c r="NQ5" s="232" t="s">
        <v>390</v>
      </c>
      <c r="NR5" s="232" t="s">
        <v>390</v>
      </c>
      <c r="NS5" s="232" t="s">
        <v>390</v>
      </c>
      <c r="NT5" s="232" t="s">
        <v>390</v>
      </c>
      <c r="NU5" s="232" t="s">
        <v>390</v>
      </c>
      <c r="NV5" s="232" t="s">
        <v>390</v>
      </c>
      <c r="NW5" s="232" t="s">
        <v>390</v>
      </c>
      <c r="NX5" s="232" t="s">
        <v>390</v>
      </c>
      <c r="NY5" s="232" t="s">
        <v>390</v>
      </c>
      <c r="NZ5" s="232"/>
      <c r="OA5" s="232"/>
      <c r="OB5" s="232"/>
      <c r="OC5" s="232"/>
      <c r="OD5" s="232"/>
      <c r="OE5" s="232"/>
      <c r="OF5" t="s">
        <v>393</v>
      </c>
      <c r="OG5" s="241" t="s">
        <v>390</v>
      </c>
      <c r="OL5" t="s">
        <v>359</v>
      </c>
      <c r="PB5" t="s">
        <v>1107</v>
      </c>
      <c r="PC5" t="s">
        <v>1111</v>
      </c>
      <c r="PD5" t="s">
        <v>1111</v>
      </c>
      <c r="PE5" t="s">
        <v>1112</v>
      </c>
      <c r="PG5" t="s">
        <v>1113</v>
      </c>
      <c r="PH5" t="s">
        <v>1114</v>
      </c>
      <c r="PI5" t="s">
        <v>1115</v>
      </c>
      <c r="PJ5" t="s">
        <v>1115</v>
      </c>
      <c r="PL5" t="s">
        <v>1115</v>
      </c>
      <c r="PU5" t="s">
        <v>1455</v>
      </c>
      <c r="QF5" t="s">
        <v>844</v>
      </c>
      <c r="QG5" t="s">
        <v>1165</v>
      </c>
      <c r="QK5" t="s">
        <v>1466</v>
      </c>
      <c r="QL5" t="s">
        <v>1418</v>
      </c>
      <c r="QM5" t="s">
        <v>1418</v>
      </c>
      <c r="RB5" t="s">
        <v>1176</v>
      </c>
      <c r="RC5" t="s">
        <v>1189</v>
      </c>
      <c r="RD5" t="s">
        <v>1189</v>
      </c>
      <c r="RF5" t="s">
        <v>1189</v>
      </c>
      <c r="RG5" t="s">
        <v>1189</v>
      </c>
      <c r="RI5" t="s">
        <v>1189</v>
      </c>
      <c r="RJ5" t="s">
        <v>1189</v>
      </c>
      <c r="RL5" t="s">
        <v>1189</v>
      </c>
      <c r="RM5" t="s">
        <v>1189</v>
      </c>
      <c r="RN5" t="s">
        <v>1189</v>
      </c>
      <c r="RU5" t="s">
        <v>1201</v>
      </c>
      <c r="RV5" t="str">
        <f t="shared" si="2"/>
        <v>CellularBlindProduct</v>
      </c>
      <c r="RW5" t="s">
        <v>1194</v>
      </c>
      <c r="SE5" s="435" t="s">
        <v>1989</v>
      </c>
      <c r="SF5" s="435" t="s">
        <v>1224</v>
      </c>
      <c r="SG5" s="435" t="s">
        <v>1219</v>
      </c>
      <c r="SH5" s="435" t="s">
        <v>1220</v>
      </c>
      <c r="SI5" s="435" t="s">
        <v>377</v>
      </c>
      <c r="SJ5" s="435" t="s">
        <v>377</v>
      </c>
      <c r="SK5" s="435" t="s">
        <v>1221</v>
      </c>
      <c r="SL5" s="435" t="s">
        <v>1222</v>
      </c>
      <c r="SM5" s="435" t="s">
        <v>1223</v>
      </c>
      <c r="SN5" s="435" t="s">
        <v>1225</v>
      </c>
      <c r="SO5" s="435" t="s">
        <v>1225</v>
      </c>
      <c r="SP5" s="435" t="s">
        <v>1225</v>
      </c>
      <c r="SQ5" s="435" t="s">
        <v>1225</v>
      </c>
      <c r="SR5" s="435" t="s">
        <v>1226</v>
      </c>
      <c r="SS5" t="s">
        <v>377</v>
      </c>
      <c r="TB5" s="207" t="s">
        <v>1176</v>
      </c>
      <c r="TC5" s="199" t="str">
        <f>ST1</f>
        <v xml:space="preserve"> 38mm Double Cellular Blind Blockout Standard</v>
      </c>
      <c r="TD5" s="199" t="s">
        <v>332</v>
      </c>
      <c r="TE5" s="199" t="s">
        <v>332</v>
      </c>
      <c r="TF5" s="199" t="s">
        <v>332</v>
      </c>
      <c r="TG5" s="199" t="s">
        <v>332</v>
      </c>
      <c r="TH5" s="199" t="s">
        <v>332</v>
      </c>
      <c r="TI5" s="199" t="s">
        <v>332</v>
      </c>
      <c r="TJ5" s="199" t="s">
        <v>332</v>
      </c>
      <c r="TK5" s="199" t="s">
        <v>332</v>
      </c>
      <c r="TL5" s="199" t="s">
        <v>332</v>
      </c>
      <c r="TM5" s="199" t="str">
        <f>SS1</f>
        <v xml:space="preserve"> 38mm Double Cellular Blind Translucent Standard</v>
      </c>
      <c r="TN5" s="199" t="s">
        <v>332</v>
      </c>
      <c r="TO5" s="199" t="s">
        <v>332</v>
      </c>
      <c r="TP5" s="199" t="s">
        <v>332</v>
      </c>
      <c r="TQ5" s="199" t="s">
        <v>332</v>
      </c>
      <c r="TR5" s="199" t="s">
        <v>332</v>
      </c>
      <c r="TS5" s="199" t="s">
        <v>332</v>
      </c>
      <c r="TT5" s="199" t="s">
        <v>332</v>
      </c>
      <c r="TU5" s="199" t="s">
        <v>332</v>
      </c>
      <c r="TV5" s="199" t="s">
        <v>332</v>
      </c>
      <c r="TW5" s="199" t="s">
        <v>332</v>
      </c>
      <c r="TX5" s="199" t="s">
        <v>332</v>
      </c>
      <c r="TY5" s="199" t="s">
        <v>332</v>
      </c>
      <c r="TZ5" s="199" t="s">
        <v>332</v>
      </c>
      <c r="UA5" s="199" t="str">
        <f>$ST$1</f>
        <v xml:space="preserve"> 38mm Double Cellular Blind Blockout Standard</v>
      </c>
      <c r="UB5" s="199" t="str">
        <f>$XI$1</f>
        <v>Cellular Colour 2 38mm Double Cellular Blind</v>
      </c>
      <c r="UC5" s="435" t="s">
        <v>2005</v>
      </c>
      <c r="UD5" s="435" t="s">
        <v>1327</v>
      </c>
      <c r="UE5" s="435" t="s">
        <v>2016</v>
      </c>
      <c r="UF5" s="435" t="s">
        <v>2016</v>
      </c>
      <c r="UG5" s="35" t="s">
        <v>1308</v>
      </c>
      <c r="UH5" s="204" t="s">
        <v>1310</v>
      </c>
      <c r="UI5" s="35" t="s">
        <v>1315</v>
      </c>
      <c r="UJ5" s="35" t="s">
        <v>1320</v>
      </c>
      <c r="UK5" s="35" t="s">
        <v>1325</v>
      </c>
      <c r="UL5" s="204" t="s">
        <v>1320</v>
      </c>
      <c r="UM5" s="204" t="s">
        <v>1325</v>
      </c>
      <c r="UN5" s="35" t="s">
        <v>1294</v>
      </c>
      <c r="UO5" s="241" t="s">
        <v>1274</v>
      </c>
      <c r="US5" t="s">
        <v>1133</v>
      </c>
      <c r="UT5" t="s">
        <v>1201</v>
      </c>
      <c r="VD5" s="35" t="s">
        <v>1812</v>
      </c>
      <c r="VL5" s="245" t="s">
        <v>1201</v>
      </c>
      <c r="VM5" s="245" t="str">
        <f>VV1</f>
        <v>Cordless Standard 25mm Single</v>
      </c>
      <c r="VN5" s="245" t="str">
        <f>WG1</f>
        <v>Cordless Standard 38mm Single</v>
      </c>
      <c r="VO5" s="245" t="str">
        <f>WG47</f>
        <v>Cordless Standard 45mm Single</v>
      </c>
      <c r="VP5" s="245" t="str">
        <f>WG83</f>
        <v>Cordless Standard 45mm Single Cell In A Cell</v>
      </c>
      <c r="VQ5" s="245" t="str">
        <f>WR1</f>
        <v>Cordless Standard 38mm Double</v>
      </c>
      <c r="VR5" t="s">
        <v>1189</v>
      </c>
      <c r="VS5" s="204" t="s">
        <v>1188</v>
      </c>
      <c r="VU5" s="204" t="s">
        <v>1188</v>
      </c>
      <c r="VV5" t="s">
        <v>1188</v>
      </c>
      <c r="VX5" t="s">
        <v>1188</v>
      </c>
      <c r="VY5" t="s">
        <v>1188</v>
      </c>
      <c r="WA5" t="s">
        <v>1188</v>
      </c>
      <c r="WB5" t="s">
        <v>1188</v>
      </c>
      <c r="WC5" t="s">
        <v>1188</v>
      </c>
      <c r="WD5" s="178" t="s">
        <v>1854</v>
      </c>
      <c r="WF5" t="s">
        <v>1854</v>
      </c>
      <c r="WG5" t="s">
        <v>1854</v>
      </c>
      <c r="WI5" t="s">
        <v>1854</v>
      </c>
      <c r="WJ5" t="s">
        <v>1854</v>
      </c>
      <c r="WL5" t="s">
        <v>1854</v>
      </c>
      <c r="WM5" t="s">
        <v>1854</v>
      </c>
      <c r="WN5" t="s">
        <v>1854</v>
      </c>
      <c r="XF5" s="435" t="s">
        <v>1327</v>
      </c>
      <c r="XG5" s="435" t="s">
        <v>2005</v>
      </c>
      <c r="XH5" s="435" t="s">
        <v>1935</v>
      </c>
      <c r="XI5" s="241" t="s">
        <v>1274</v>
      </c>
      <c r="XJ5" t="s">
        <v>2206</v>
      </c>
      <c r="XS5" s="207" t="s">
        <v>1176</v>
      </c>
      <c r="XT5" s="248" t="str">
        <f t="shared" si="0"/>
        <v>Cellular Colour 2 NA</v>
      </c>
      <c r="XU5" s="248" t="str">
        <f t="shared" si="0"/>
        <v>Cellular Colour 2 NA</v>
      </c>
      <c r="XV5" s="248" t="str">
        <f t="shared" si="0"/>
        <v>Cellular Colour 2 NA</v>
      </c>
      <c r="XW5" s="248" t="str">
        <f t="shared" si="0"/>
        <v>Cellular Colour 2 NA</v>
      </c>
      <c r="XX5" s="248" t="str">
        <f t="shared" si="0"/>
        <v>Cellular Colour 2 NA</v>
      </c>
      <c r="XY5" s="248" t="str">
        <f t="shared" si="0"/>
        <v>Cellular Colour 2 NA</v>
      </c>
      <c r="XZ5" s="248" t="str">
        <f t="shared" si="0"/>
        <v>Cellular Colour 2 NA</v>
      </c>
      <c r="YA5" s="248" t="str">
        <f t="shared" si="1"/>
        <v>Cellular Colour 2 NA</v>
      </c>
      <c r="YB5" s="248" t="str">
        <f t="shared" si="1"/>
        <v>Cellular Colour 2 NA</v>
      </c>
      <c r="YC5" s="248" t="str">
        <f t="shared" si="1"/>
        <v>Cellular Colour 2 NA</v>
      </c>
      <c r="YD5" s="248" t="str">
        <f t="shared" si="1"/>
        <v>Cellular Colour 2 NA</v>
      </c>
      <c r="YE5" s="248" t="str">
        <f t="shared" si="1"/>
        <v>Cellular Colour 2 NA</v>
      </c>
      <c r="YF5" s="248" t="str">
        <f t="shared" si="1"/>
        <v>Cellular Colour 2 NA</v>
      </c>
      <c r="YG5" s="248" t="str">
        <f t="shared" si="1"/>
        <v>Cellular Colour 2 NA</v>
      </c>
      <c r="YH5" s="248" t="str">
        <f t="shared" si="1"/>
        <v>Cellular Colour 2 NA</v>
      </c>
      <c r="YI5" s="248" t="str">
        <f t="shared" si="1"/>
        <v>Cellular Colour 2 NA</v>
      </c>
      <c r="YJ5" s="248" t="str">
        <f t="shared" si="1"/>
        <v>Cellular Colour 2 NA</v>
      </c>
      <c r="YK5" s="248" t="str">
        <f t="shared" si="1"/>
        <v>Cellular Colour 2 NA</v>
      </c>
      <c r="YL5" s="248" t="str">
        <f t="shared" si="1"/>
        <v>Cellular Colour 2 NA</v>
      </c>
      <c r="YM5" s="248" t="str">
        <f t="shared" si="1"/>
        <v>Cellular Colour 2 NA</v>
      </c>
      <c r="YN5" s="248" t="str">
        <f t="shared" si="1"/>
        <v>Cellular Colour 2 NA</v>
      </c>
      <c r="YO5" s="248" t="str">
        <f t="shared" si="1"/>
        <v>Cellular Colour 2 NA</v>
      </c>
      <c r="YP5" s="248" t="str">
        <f t="shared" si="1"/>
        <v>Cellular Colour 2 NA</v>
      </c>
      <c r="YQ5" s="199" t="str">
        <f>$XI$1</f>
        <v>Cellular Colour 2 38mm Double Cellular Blind</v>
      </c>
      <c r="YR5" s="199" t="str">
        <f>$ST$1</f>
        <v xml:space="preserve"> 38mm Double Cellular Blind Blockout Standard</v>
      </c>
      <c r="YU5" t="s">
        <v>1201</v>
      </c>
      <c r="YW5" s="206" t="s">
        <v>1197</v>
      </c>
      <c r="YX5" s="206" t="s">
        <v>1197</v>
      </c>
      <c r="ZI5" t="s">
        <v>2136</v>
      </c>
      <c r="ZK5" s="199" t="s">
        <v>1201</v>
      </c>
      <c r="ZL5" s="199">
        <v>5.2</v>
      </c>
      <c r="ZM5" s="199">
        <v>250</v>
      </c>
      <c r="ZN5" s="199">
        <v>2400</v>
      </c>
      <c r="ZO5" s="199">
        <v>300</v>
      </c>
      <c r="ZP5" s="199">
        <v>2100</v>
      </c>
      <c r="ZQ5" s="199" t="s">
        <v>1201</v>
      </c>
      <c r="ZR5" s="199">
        <v>5.2</v>
      </c>
      <c r="ZS5" s="199">
        <v>250</v>
      </c>
      <c r="ZT5" s="199">
        <v>2400</v>
      </c>
      <c r="ZU5" s="199">
        <v>300</v>
      </c>
      <c r="ZV5" s="199">
        <v>2100</v>
      </c>
      <c r="ZW5" s="199" t="s">
        <v>1201</v>
      </c>
      <c r="ZX5" s="199">
        <v>5.2</v>
      </c>
      <c r="ZY5" s="199">
        <v>250</v>
      </c>
      <c r="ZZ5" s="199">
        <v>2400</v>
      </c>
      <c r="AAA5" s="199">
        <v>300</v>
      </c>
      <c r="AAB5" s="199">
        <v>2100</v>
      </c>
      <c r="AAC5" s="353" t="s">
        <v>1201</v>
      </c>
      <c r="AAD5" s="353">
        <v>5.2</v>
      </c>
      <c r="AAE5" s="353">
        <v>250</v>
      </c>
      <c r="AAF5" s="353">
        <v>2400</v>
      </c>
      <c r="AAG5" s="353">
        <v>300</v>
      </c>
      <c r="AAH5" s="199">
        <v>2100</v>
      </c>
      <c r="AAK5" t="s">
        <v>1091</v>
      </c>
      <c r="AAL5" t="str">
        <f t="shared" si="4"/>
        <v>Oval Bottom Rail 2</v>
      </c>
      <c r="AAM5" t="str">
        <f t="shared" si="3"/>
        <v>Sewn In Pocket</v>
      </c>
      <c r="ABB5" t="s">
        <v>1091</v>
      </c>
      <c r="ABC5">
        <v>5</v>
      </c>
      <c r="ABD5" t="s">
        <v>330</v>
      </c>
      <c r="ABL5">
        <v>5</v>
      </c>
      <c r="ABM5" t="s">
        <v>1484</v>
      </c>
      <c r="ABW5">
        <v>5</v>
      </c>
      <c r="ABX5">
        <v>1600</v>
      </c>
      <c r="ABY5">
        <v>5500</v>
      </c>
    </row>
    <row r="6" spans="1:753" ht="15">
      <c r="L6" t="s">
        <v>138</v>
      </c>
      <c r="M6">
        <v>805</v>
      </c>
      <c r="N6" t="s">
        <v>7</v>
      </c>
      <c r="O6">
        <v>217052</v>
      </c>
      <c r="P6" t="s">
        <v>14</v>
      </c>
      <c r="Q6">
        <v>2297</v>
      </c>
      <c r="R6" t="s">
        <v>64</v>
      </c>
      <c r="S6" t="s">
        <v>28</v>
      </c>
      <c r="T6">
        <v>1980</v>
      </c>
      <c r="V6" s="1"/>
      <c r="W6" t="s">
        <v>215</v>
      </c>
      <c r="Y6" t="s">
        <v>238</v>
      </c>
      <c r="Z6" t="s">
        <v>243</v>
      </c>
      <c r="AA6" s="35" t="s">
        <v>1534</v>
      </c>
      <c r="AB6" t="s">
        <v>1145</v>
      </c>
      <c r="AF6" t="s">
        <v>338</v>
      </c>
      <c r="AH6" t="s">
        <v>346</v>
      </c>
      <c r="AJ6" t="s">
        <v>234</v>
      </c>
      <c r="AL6" t="s">
        <v>274</v>
      </c>
      <c r="AN6" t="s">
        <v>256</v>
      </c>
      <c r="AP6" t="s">
        <v>2290</v>
      </c>
      <c r="AR6" t="s">
        <v>2295</v>
      </c>
      <c r="AW6" s="36"/>
      <c r="BA6" t="s">
        <v>1819</v>
      </c>
      <c r="BC6" t="s">
        <v>873</v>
      </c>
      <c r="BD6" t="s">
        <v>553</v>
      </c>
      <c r="BE6" t="s">
        <v>549</v>
      </c>
      <c r="BF6" s="327" t="s">
        <v>549</v>
      </c>
      <c r="BG6" s="327" t="s">
        <v>549</v>
      </c>
      <c r="BI6" t="s">
        <v>303</v>
      </c>
      <c r="BK6" t="s">
        <v>308</v>
      </c>
      <c r="BM6" t="s">
        <v>324</v>
      </c>
      <c r="BW6" t="s">
        <v>353</v>
      </c>
      <c r="CJ6" t="s">
        <v>391</v>
      </c>
      <c r="CN6" t="s">
        <v>353</v>
      </c>
      <c r="CS6" t="s">
        <v>322</v>
      </c>
      <c r="CX6" t="s">
        <v>353</v>
      </c>
      <c r="DI6" t="s">
        <v>546</v>
      </c>
      <c r="DJ6" t="s">
        <v>1534</v>
      </c>
      <c r="DK6" t="s">
        <v>1534</v>
      </c>
      <c r="DL6" t="s">
        <v>408</v>
      </c>
      <c r="DN6" s="106"/>
      <c r="DO6" s="199" t="s">
        <v>420</v>
      </c>
      <c r="DP6" s="199">
        <v>2</v>
      </c>
      <c r="DQ6" s="199">
        <f t="shared" si="5"/>
        <v>0</v>
      </c>
      <c r="DR6" s="187" t="s">
        <v>390</v>
      </c>
      <c r="DS6" s="187" t="s">
        <v>390</v>
      </c>
      <c r="DT6" s="187" t="s">
        <v>388</v>
      </c>
      <c r="DU6" s="187" t="s">
        <v>387</v>
      </c>
      <c r="DY6" s="187" t="s">
        <v>390</v>
      </c>
      <c r="DZ6" s="187" t="s">
        <v>390</v>
      </c>
      <c r="EG6" t="s">
        <v>390</v>
      </c>
      <c r="EJ6" t="s">
        <v>588</v>
      </c>
      <c r="EK6" t="s">
        <v>22</v>
      </c>
      <c r="EL6" t="s">
        <v>663</v>
      </c>
      <c r="EM6" t="s">
        <v>724</v>
      </c>
      <c r="EN6" t="s">
        <v>724</v>
      </c>
      <c r="EO6" t="s">
        <v>724</v>
      </c>
      <c r="EU6" s="327" t="s">
        <v>1775</v>
      </c>
      <c r="FA6" s="210" t="s">
        <v>556</v>
      </c>
      <c r="FB6" s="210" t="s">
        <v>69</v>
      </c>
      <c r="FC6" t="s">
        <v>317</v>
      </c>
      <c r="FD6" t="s">
        <v>22</v>
      </c>
      <c r="FF6" t="s">
        <v>1083</v>
      </c>
      <c r="FG6" t="s">
        <v>317</v>
      </c>
      <c r="FH6" t="s">
        <v>317</v>
      </c>
      <c r="FJ6" t="s">
        <v>317</v>
      </c>
      <c r="FK6" t="s">
        <v>317</v>
      </c>
      <c r="FP6" t="s">
        <v>668</v>
      </c>
      <c r="HX6" t="s">
        <v>769</v>
      </c>
      <c r="ID6" t="s">
        <v>322</v>
      </c>
      <c r="IL6" t="s">
        <v>324</v>
      </c>
      <c r="IR6" t="s">
        <v>324</v>
      </c>
      <c r="IS6" t="s">
        <v>324</v>
      </c>
      <c r="IW6" t="s">
        <v>322</v>
      </c>
      <c r="IX6" s="210" t="s">
        <v>553</v>
      </c>
      <c r="JP6" t="s">
        <v>393</v>
      </c>
      <c r="JQ6" t="s">
        <v>393</v>
      </c>
      <c r="JR6" t="s">
        <v>393</v>
      </c>
      <c r="JY6" s="241" t="s">
        <v>393</v>
      </c>
      <c r="KB6" s="210" t="s">
        <v>875</v>
      </c>
      <c r="KC6" s="210" t="s">
        <v>553</v>
      </c>
      <c r="KD6" t="s">
        <v>549</v>
      </c>
      <c r="KF6" t="s">
        <v>235</v>
      </c>
      <c r="KG6" t="s">
        <v>656</v>
      </c>
      <c r="KH6" t="s">
        <v>839</v>
      </c>
      <c r="KV6" t="s">
        <v>338</v>
      </c>
      <c r="LJ6" t="s">
        <v>499</v>
      </c>
      <c r="LK6">
        <v>1</v>
      </c>
      <c r="LW6" s="188" t="s">
        <v>304</v>
      </c>
      <c r="LX6" s="186" t="s">
        <v>535</v>
      </c>
      <c r="LY6" s="186" t="s">
        <v>926</v>
      </c>
      <c r="LZ6" s="186" t="s">
        <v>466</v>
      </c>
      <c r="MA6" s="186" t="s">
        <v>516</v>
      </c>
      <c r="MB6" s="186"/>
      <c r="ME6" s="187" t="s">
        <v>998</v>
      </c>
      <c r="MF6" s="187" t="s">
        <v>303</v>
      </c>
      <c r="MK6" t="s">
        <v>302</v>
      </c>
      <c r="ML6" t="s">
        <v>22</v>
      </c>
      <c r="MN6" t="s">
        <v>1773</v>
      </c>
      <c r="MX6" t="s">
        <v>422</v>
      </c>
      <c r="MY6">
        <v>1</v>
      </c>
      <c r="NN6" t="s">
        <v>308</v>
      </c>
      <c r="NO6" s="232"/>
      <c r="NP6" s="232"/>
      <c r="NQ6" s="232"/>
      <c r="NR6" s="232"/>
      <c r="NS6" s="232"/>
      <c r="NT6" s="232"/>
      <c r="NU6" s="232"/>
      <c r="NV6" s="232"/>
      <c r="NW6" s="232" t="s">
        <v>393</v>
      </c>
      <c r="NX6" s="232" t="s">
        <v>393</v>
      </c>
      <c r="NY6" s="232" t="s">
        <v>393</v>
      </c>
      <c r="NZ6" s="232"/>
      <c r="OA6" s="232"/>
      <c r="OB6" s="232"/>
      <c r="OC6" s="232"/>
      <c r="OD6" s="232"/>
      <c r="OE6" s="232"/>
      <c r="OG6" s="241" t="s">
        <v>393</v>
      </c>
      <c r="OL6" t="s">
        <v>358</v>
      </c>
      <c r="PB6" t="s">
        <v>1116</v>
      </c>
      <c r="PC6" t="s">
        <v>1112</v>
      </c>
      <c r="PD6" t="s">
        <v>1112</v>
      </c>
      <c r="PE6" t="s">
        <v>1117</v>
      </c>
      <c r="PG6" t="s">
        <v>1118</v>
      </c>
      <c r="PH6" t="s">
        <v>1119</v>
      </c>
      <c r="PI6" t="s">
        <v>1117</v>
      </c>
      <c r="PJ6" t="s">
        <v>1117</v>
      </c>
      <c r="PL6" t="s">
        <v>1120</v>
      </c>
      <c r="PU6" t="s">
        <v>1456</v>
      </c>
      <c r="QG6" t="s">
        <v>1164</v>
      </c>
      <c r="QK6" t="s">
        <v>1467</v>
      </c>
      <c r="QL6" t="s">
        <v>1419</v>
      </c>
      <c r="QM6" t="s">
        <v>1419</v>
      </c>
      <c r="RB6" t="s">
        <v>2136</v>
      </c>
      <c r="RC6" t="s">
        <v>1187</v>
      </c>
      <c r="RD6" t="s">
        <v>1187</v>
      </c>
      <c r="RF6" t="s">
        <v>1187</v>
      </c>
      <c r="RG6" t="s">
        <v>1187</v>
      </c>
      <c r="RI6" t="s">
        <v>1187</v>
      </c>
      <c r="RJ6" t="s">
        <v>1187</v>
      </c>
      <c r="RL6" t="s">
        <v>1187</v>
      </c>
      <c r="RM6" t="s">
        <v>1187</v>
      </c>
      <c r="RN6" t="s">
        <v>1187</v>
      </c>
      <c r="RU6" t="s">
        <v>1212</v>
      </c>
      <c r="RV6" t="str">
        <f t="shared" si="2"/>
        <v>CellularBlindProduct</v>
      </c>
      <c r="RW6" t="s">
        <v>1195</v>
      </c>
      <c r="SE6" s="435" t="s">
        <v>1219</v>
      </c>
      <c r="SF6" s="435" t="s">
        <v>377</v>
      </c>
      <c r="SG6" s="435" t="s">
        <v>377</v>
      </c>
      <c r="SH6" s="435" t="s">
        <v>1221</v>
      </c>
      <c r="SI6" s="435" t="s">
        <v>1221</v>
      </c>
      <c r="SJ6" s="435" t="s">
        <v>1221</v>
      </c>
      <c r="SK6" s="435" t="s">
        <v>1162</v>
      </c>
      <c r="SL6" s="435" t="s">
        <v>1228</v>
      </c>
      <c r="SM6" s="435" t="s">
        <v>1244</v>
      </c>
      <c r="SN6" s="435" t="s">
        <v>1230</v>
      </c>
      <c r="SO6" s="435" t="s">
        <v>1229</v>
      </c>
      <c r="SP6" s="435" t="s">
        <v>1230</v>
      </c>
      <c r="SQ6" s="435" t="s">
        <v>1229</v>
      </c>
      <c r="SR6" s="435" t="s">
        <v>1231</v>
      </c>
      <c r="SS6" t="s">
        <v>1221</v>
      </c>
      <c r="TB6" s="39" t="s">
        <v>2136</v>
      </c>
      <c r="TC6" t="str">
        <f>SN214</f>
        <v xml:space="preserve"> 45mm Single Cell Cell In A Cell Blockout</v>
      </c>
      <c r="TD6" t="str">
        <f>SO214</f>
        <v xml:space="preserve"> 45mm Single Cell Cell In A Cell Blockout Bamboo</v>
      </c>
      <c r="TE6" t="str">
        <f>SM214</f>
        <v xml:space="preserve"> 45mm Single Cell Cell In A Cell Translucent Bamboo</v>
      </c>
      <c r="TF6" s="199" t="s">
        <v>332</v>
      </c>
      <c r="TG6" s="199" t="s">
        <v>332</v>
      </c>
      <c r="TH6" s="199" t="s">
        <v>332</v>
      </c>
      <c r="TI6" s="199" t="s">
        <v>332</v>
      </c>
      <c r="TJ6" s="199" t="s">
        <v>332</v>
      </c>
      <c r="TK6" s="199" t="s">
        <v>332</v>
      </c>
      <c r="TL6" s="199" t="s">
        <v>332</v>
      </c>
      <c r="TM6" t="str">
        <f>SL214</f>
        <v xml:space="preserve"> 45mm Single Cell Translucent Cell In A Cell</v>
      </c>
      <c r="TN6" s="199" t="s">
        <v>332</v>
      </c>
      <c r="TO6" s="199" t="s">
        <v>332</v>
      </c>
      <c r="TP6" s="199" t="s">
        <v>332</v>
      </c>
      <c r="TQ6" s="199" t="s">
        <v>332</v>
      </c>
      <c r="TR6" s="199" t="s">
        <v>332</v>
      </c>
      <c r="TS6" s="199" t="s">
        <v>332</v>
      </c>
      <c r="TT6" s="199" t="s">
        <v>332</v>
      </c>
      <c r="TU6" s="199" t="s">
        <v>332</v>
      </c>
      <c r="TV6" s="199" t="s">
        <v>332</v>
      </c>
      <c r="TW6" s="199" t="s">
        <v>332</v>
      </c>
      <c r="TX6" s="199" t="s">
        <v>332</v>
      </c>
      <c r="TY6" s="199" t="s">
        <v>332</v>
      </c>
      <c r="TZ6" s="199" t="s">
        <v>332</v>
      </c>
      <c r="UA6" t="str">
        <f>$SF$146</f>
        <v xml:space="preserve"> 45mm Cell In A Cell Cellular Blind Day Night Blockout Colours</v>
      </c>
      <c r="UB6" s="35" t="str">
        <f>$XJ$1</f>
        <v>Cellular Colour 2 45mm Cell In A Cell Cellular Blind</v>
      </c>
      <c r="UC6" s="435" t="s">
        <v>1273</v>
      </c>
      <c r="UD6" s="435" t="s">
        <v>1274</v>
      </c>
      <c r="UE6" s="435" t="s">
        <v>1256</v>
      </c>
      <c r="UF6" s="435" t="s">
        <v>1256</v>
      </c>
      <c r="UG6" s="35" t="s">
        <v>1309</v>
      </c>
      <c r="UH6" s="204" t="s">
        <v>1311</v>
      </c>
      <c r="UI6" s="35" t="s">
        <v>2015</v>
      </c>
      <c r="UJ6" s="35" t="s">
        <v>1321</v>
      </c>
      <c r="UK6" s="35" t="s">
        <v>1326</v>
      </c>
      <c r="UL6" s="204" t="s">
        <v>1321</v>
      </c>
      <c r="UM6" s="204" t="s">
        <v>1326</v>
      </c>
      <c r="UN6" s="35" t="s">
        <v>1295</v>
      </c>
      <c r="UO6" s="241" t="s">
        <v>1275</v>
      </c>
      <c r="US6" t="s">
        <v>1134</v>
      </c>
      <c r="UT6" t="s">
        <v>1212</v>
      </c>
      <c r="VD6" s="35" t="s">
        <v>2128</v>
      </c>
      <c r="VL6" s="245" t="s">
        <v>1212</v>
      </c>
      <c r="VM6" s="245" t="str">
        <f>VW1</f>
        <v>Cordless Day Night 25mm Single</v>
      </c>
      <c r="VN6" s="245" t="str">
        <f>WH1</f>
        <v>Cordless Day Night 38mm Single</v>
      </c>
      <c r="VO6" s="245" t="str">
        <f>WH47</f>
        <v>Cordless Day Night 45mm Single</v>
      </c>
      <c r="VP6" s="245" t="str">
        <f>WH83</f>
        <v>Cordless Day Night 45mm Single Cell In A Cell</v>
      </c>
      <c r="VQ6" s="245" t="str">
        <f>WS1</f>
        <v>Cordless Day Night 38mm Double</v>
      </c>
      <c r="VR6" t="s">
        <v>1187</v>
      </c>
      <c r="VS6" s="204" t="s">
        <v>1186</v>
      </c>
      <c r="VU6" s="204" t="s">
        <v>1186</v>
      </c>
      <c r="VV6" t="s">
        <v>1186</v>
      </c>
      <c r="VX6" t="s">
        <v>1186</v>
      </c>
      <c r="VY6" t="s">
        <v>1186</v>
      </c>
      <c r="WA6" t="s">
        <v>1186</v>
      </c>
      <c r="WB6" t="s">
        <v>1186</v>
      </c>
      <c r="WC6" t="s">
        <v>1186</v>
      </c>
      <c r="WD6" s="178" t="s">
        <v>1853</v>
      </c>
      <c r="WF6" t="s">
        <v>1853</v>
      </c>
      <c r="WG6" t="s">
        <v>1853</v>
      </c>
      <c r="WI6" t="s">
        <v>1853</v>
      </c>
      <c r="WJ6" t="s">
        <v>1853</v>
      </c>
      <c r="WL6" t="s">
        <v>1853</v>
      </c>
      <c r="WM6" t="s">
        <v>1853</v>
      </c>
      <c r="WN6" t="s">
        <v>1853</v>
      </c>
      <c r="XF6" s="435" t="s">
        <v>1274</v>
      </c>
      <c r="XG6" s="435" t="s">
        <v>1273</v>
      </c>
      <c r="XH6" s="435" t="s">
        <v>1936</v>
      </c>
      <c r="XI6" s="241" t="s">
        <v>1275</v>
      </c>
      <c r="XJ6" t="s">
        <v>1276</v>
      </c>
      <c r="XS6" s="39" t="s">
        <v>2136</v>
      </c>
      <c r="XT6" s="248" t="str">
        <f t="shared" si="0"/>
        <v>Cellular Colour 2 NA</v>
      </c>
      <c r="XU6" s="248" t="str">
        <f t="shared" si="0"/>
        <v>Cellular Colour 2 NA</v>
      </c>
      <c r="XV6" s="248" t="str">
        <f t="shared" si="0"/>
        <v>Cellular Colour 2 NA</v>
      </c>
      <c r="XW6" s="248" t="str">
        <f t="shared" si="0"/>
        <v>Cellular Colour 2 NA</v>
      </c>
      <c r="XX6" s="248" t="str">
        <f t="shared" si="0"/>
        <v>Cellular Colour 2 NA</v>
      </c>
      <c r="XY6" s="248" t="str">
        <f t="shared" si="0"/>
        <v>Cellular Colour 2 NA</v>
      </c>
      <c r="XZ6" s="248" t="str">
        <f t="shared" si="0"/>
        <v>Cellular Colour 2 NA</v>
      </c>
      <c r="YA6" s="248" t="str">
        <f t="shared" si="1"/>
        <v>Cellular Colour 2 NA</v>
      </c>
      <c r="YB6" s="248" t="str">
        <f t="shared" si="1"/>
        <v>Cellular Colour 2 NA</v>
      </c>
      <c r="YC6" s="248" t="str">
        <f t="shared" si="1"/>
        <v>Cellular Colour 2 NA</v>
      </c>
      <c r="YD6" s="248" t="str">
        <f t="shared" si="1"/>
        <v>Cellular Colour 2 NA</v>
      </c>
      <c r="YE6" s="248" t="str">
        <f t="shared" si="1"/>
        <v>Cellular Colour 2 NA</v>
      </c>
      <c r="YF6" s="248" t="str">
        <f t="shared" si="1"/>
        <v>Cellular Colour 2 NA</v>
      </c>
      <c r="YG6" s="248" t="str">
        <f t="shared" si="1"/>
        <v>Cellular Colour 2 NA</v>
      </c>
      <c r="YH6" s="248" t="str">
        <f t="shared" si="1"/>
        <v>Cellular Colour 2 NA</v>
      </c>
      <c r="YI6" s="248" t="str">
        <f t="shared" si="1"/>
        <v>Cellular Colour 2 NA</v>
      </c>
      <c r="YJ6" s="248" t="str">
        <f t="shared" si="1"/>
        <v>Cellular Colour 2 NA</v>
      </c>
      <c r="YK6" s="248" t="str">
        <f t="shared" si="1"/>
        <v>Cellular Colour 2 NA</v>
      </c>
      <c r="YL6" s="248" t="str">
        <f t="shared" si="1"/>
        <v>Cellular Colour 2 NA</v>
      </c>
      <c r="YM6" s="248" t="str">
        <f t="shared" si="1"/>
        <v>Cellular Colour 2 NA</v>
      </c>
      <c r="YN6" s="248" t="str">
        <f t="shared" si="1"/>
        <v>Cellular Colour 2 NA</v>
      </c>
      <c r="YO6" s="248" t="str">
        <f t="shared" si="1"/>
        <v>Cellular Colour 2 NA</v>
      </c>
      <c r="YP6" s="248" t="str">
        <f t="shared" si="1"/>
        <v>Cellular Colour 2 NA</v>
      </c>
      <c r="YQ6" s="459" t="str">
        <f>$SF$146</f>
        <v xml:space="preserve"> 45mm Cell In A Cell Cellular Blind Day Night Blockout Colours</v>
      </c>
      <c r="YR6" s="459" t="str">
        <f>$SF$146</f>
        <v xml:space="preserve"> 45mm Cell In A Cell Cellular Blind Day Night Blockout Colours</v>
      </c>
      <c r="YU6" t="s">
        <v>1212</v>
      </c>
      <c r="ZK6" s="199" t="s">
        <v>1212</v>
      </c>
      <c r="ZL6" s="199">
        <v>5.2</v>
      </c>
      <c r="ZM6" s="199">
        <v>550</v>
      </c>
      <c r="ZN6" s="199">
        <v>2400</v>
      </c>
      <c r="ZO6" s="199">
        <v>300</v>
      </c>
      <c r="ZP6" s="199">
        <v>2100</v>
      </c>
      <c r="ZQ6" s="199" t="s">
        <v>1212</v>
      </c>
      <c r="ZR6" s="199">
        <v>5.2</v>
      </c>
      <c r="ZS6" s="199">
        <v>550</v>
      </c>
      <c r="ZT6" s="199">
        <v>2400</v>
      </c>
      <c r="ZU6" s="199">
        <v>300</v>
      </c>
      <c r="ZV6" s="199">
        <v>2100</v>
      </c>
      <c r="ZW6" s="199" t="s">
        <v>1212</v>
      </c>
      <c r="ZX6" s="199">
        <v>5.2</v>
      </c>
      <c r="ZY6" s="199">
        <v>550</v>
      </c>
      <c r="ZZ6" s="199">
        <v>2400</v>
      </c>
      <c r="AAA6" s="199">
        <v>300</v>
      </c>
      <c r="AAB6" s="199">
        <v>2100</v>
      </c>
      <c r="AAC6" s="353" t="s">
        <v>1212</v>
      </c>
      <c r="AAD6" s="353">
        <v>5.2</v>
      </c>
      <c r="AAE6" s="353">
        <v>550</v>
      </c>
      <c r="AAF6" s="353">
        <v>2400</v>
      </c>
      <c r="AAG6" s="353">
        <v>300</v>
      </c>
      <c r="AAH6" s="199">
        <v>2100</v>
      </c>
      <c r="AAK6" t="s">
        <v>212</v>
      </c>
      <c r="AAL6" s="35" t="str">
        <f>$CS$2</f>
        <v>Oval Bottom Rail</v>
      </c>
      <c r="AAM6" t="str">
        <f t="shared" si="3"/>
        <v>Sewn In Pocket</v>
      </c>
      <c r="ABB6" t="s">
        <v>212</v>
      </c>
      <c r="ABC6">
        <v>6</v>
      </c>
      <c r="ABD6" t="s">
        <v>322</v>
      </c>
      <c r="ABL6">
        <v>6</v>
      </c>
      <c r="ABM6" t="s">
        <v>1485</v>
      </c>
      <c r="ABW6">
        <v>6</v>
      </c>
      <c r="ABX6">
        <v>1600</v>
      </c>
      <c r="ABY6">
        <v>5500</v>
      </c>
    </row>
    <row r="7" spans="1:753" ht="15">
      <c r="L7" t="s">
        <v>114</v>
      </c>
      <c r="M7">
        <v>807</v>
      </c>
      <c r="N7" t="s">
        <v>2</v>
      </c>
      <c r="O7">
        <v>215299</v>
      </c>
      <c r="P7" t="s">
        <v>15</v>
      </c>
      <c r="Q7">
        <v>2317</v>
      </c>
      <c r="R7" t="s">
        <v>66</v>
      </c>
      <c r="S7" t="s">
        <v>22</v>
      </c>
      <c r="T7">
        <v>1981</v>
      </c>
      <c r="V7" s="1"/>
      <c r="Y7" t="s">
        <v>239</v>
      </c>
      <c r="Z7" t="s">
        <v>244</v>
      </c>
      <c r="AA7" s="35" t="s">
        <v>444</v>
      </c>
      <c r="AB7" t="s">
        <v>1148</v>
      </c>
      <c r="AF7" t="s">
        <v>339</v>
      </c>
      <c r="AH7" t="s">
        <v>347</v>
      </c>
      <c r="AJ7" t="s">
        <v>235</v>
      </c>
      <c r="AL7" t="s">
        <v>272</v>
      </c>
      <c r="AN7" t="s">
        <v>257</v>
      </c>
      <c r="AR7" s="35"/>
      <c r="AW7" s="36"/>
      <c r="BA7" t="s">
        <v>1794</v>
      </c>
      <c r="BC7" s="327" t="s">
        <v>1775</v>
      </c>
      <c r="BD7" t="s">
        <v>555</v>
      </c>
      <c r="BI7" t="s">
        <v>304</v>
      </c>
      <c r="BK7" t="s">
        <v>317</v>
      </c>
      <c r="BM7" t="s">
        <v>323</v>
      </c>
      <c r="CJ7" t="s">
        <v>392</v>
      </c>
      <c r="CS7" t="s">
        <v>406</v>
      </c>
      <c r="DI7" t="s">
        <v>547</v>
      </c>
      <c r="DJ7" t="s">
        <v>444</v>
      </c>
      <c r="DK7" t="s">
        <v>444</v>
      </c>
      <c r="DN7" s="106"/>
      <c r="DO7" s="199" t="s">
        <v>504</v>
      </c>
      <c r="DP7" s="199">
        <v>2</v>
      </c>
      <c r="DQ7" s="199">
        <f t="shared" si="5"/>
        <v>1</v>
      </c>
      <c r="DR7" s="187" t="s">
        <v>393</v>
      </c>
      <c r="DS7" s="187" t="s">
        <v>393</v>
      </c>
      <c r="DU7" s="187" t="s">
        <v>388</v>
      </c>
      <c r="DY7" s="187" t="s">
        <v>393</v>
      </c>
      <c r="DZ7" s="187" t="s">
        <v>393</v>
      </c>
      <c r="EG7" t="s">
        <v>393</v>
      </c>
      <c r="EJ7" t="s">
        <v>595</v>
      </c>
      <c r="EK7" t="s">
        <v>22</v>
      </c>
      <c r="EL7" t="s">
        <v>663</v>
      </c>
      <c r="EM7" t="s">
        <v>604</v>
      </c>
      <c r="EN7" t="s">
        <v>604</v>
      </c>
      <c r="EO7" t="s">
        <v>604</v>
      </c>
      <c r="FA7" s="210" t="s">
        <v>1544</v>
      </c>
      <c r="FB7" s="210" t="s">
        <v>69</v>
      </c>
      <c r="FC7" t="s">
        <v>318</v>
      </c>
      <c r="FD7" t="s">
        <v>22</v>
      </c>
      <c r="FF7" t="s">
        <v>622</v>
      </c>
      <c r="FG7" t="s">
        <v>318</v>
      </c>
      <c r="FH7" t="s">
        <v>318</v>
      </c>
      <c r="FJ7" t="s">
        <v>318</v>
      </c>
      <c r="FK7" t="s">
        <v>318</v>
      </c>
      <c r="FP7" t="s">
        <v>669</v>
      </c>
      <c r="HX7" t="s">
        <v>391</v>
      </c>
      <c r="IL7" t="s">
        <v>323</v>
      </c>
      <c r="IR7" t="s">
        <v>323</v>
      </c>
      <c r="IS7" t="s">
        <v>323</v>
      </c>
      <c r="IX7" s="210" t="s">
        <v>555</v>
      </c>
      <c r="KB7" s="210" t="s">
        <v>552</v>
      </c>
      <c r="KC7" s="210" t="s">
        <v>555</v>
      </c>
      <c r="KF7" t="s">
        <v>83</v>
      </c>
      <c r="KG7" t="s">
        <v>655</v>
      </c>
      <c r="KH7" t="s">
        <v>840</v>
      </c>
      <c r="KV7" t="s">
        <v>339</v>
      </c>
      <c r="LJ7" t="s">
        <v>498</v>
      </c>
      <c r="LK7">
        <v>1</v>
      </c>
      <c r="LW7" s="198" t="s">
        <v>332</v>
      </c>
      <c r="LX7" s="186" t="s">
        <v>480</v>
      </c>
      <c r="LY7" s="186" t="s">
        <v>922</v>
      </c>
      <c r="LZ7" s="186" t="s">
        <v>467</v>
      </c>
      <c r="MA7" s="186" t="s">
        <v>488</v>
      </c>
      <c r="MB7" s="186"/>
      <c r="ME7" s="187" t="s">
        <v>303</v>
      </c>
      <c r="MF7" s="187" t="s">
        <v>302</v>
      </c>
      <c r="MK7" t="s">
        <v>332</v>
      </c>
      <c r="ML7" t="s">
        <v>69</v>
      </c>
      <c r="MN7" t="s">
        <v>2524</v>
      </c>
      <c r="NN7" t="s">
        <v>317</v>
      </c>
      <c r="NO7" s="36"/>
      <c r="NP7" s="36"/>
      <c r="NQ7" s="36"/>
      <c r="NR7" s="36"/>
      <c r="NS7" s="36"/>
      <c r="NT7" s="36"/>
      <c r="NU7" s="36"/>
      <c r="NV7" s="36"/>
      <c r="NW7" s="36"/>
      <c r="NX7" s="36"/>
      <c r="NY7" s="36"/>
      <c r="NZ7" s="36"/>
      <c r="OA7" s="36"/>
      <c r="OB7" s="36"/>
      <c r="OC7" s="36"/>
      <c r="OD7" s="36"/>
      <c r="OE7" s="36"/>
      <c r="OL7" t="s">
        <v>2283</v>
      </c>
      <c r="PC7" t="s">
        <v>322</v>
      </c>
      <c r="PD7" t="s">
        <v>322</v>
      </c>
      <c r="PG7" t="s">
        <v>1121</v>
      </c>
      <c r="PH7" t="s">
        <v>1122</v>
      </c>
      <c r="PL7" t="s">
        <v>1117</v>
      </c>
      <c r="PU7" t="s">
        <v>1457</v>
      </c>
      <c r="QG7" t="s">
        <v>1167</v>
      </c>
      <c r="QK7" t="s">
        <v>1468</v>
      </c>
      <c r="QL7" t="s">
        <v>1420</v>
      </c>
      <c r="QM7" t="s">
        <v>1420</v>
      </c>
      <c r="RC7" t="s">
        <v>1188</v>
      </c>
      <c r="RD7" t="s">
        <v>1188</v>
      </c>
      <c r="RF7" t="s">
        <v>1188</v>
      </c>
      <c r="RG7" t="s">
        <v>1188</v>
      </c>
      <c r="RI7" t="s">
        <v>1188</v>
      </c>
      <c r="RJ7" t="s">
        <v>1188</v>
      </c>
      <c r="RL7" t="s">
        <v>1188</v>
      </c>
      <c r="RM7" t="s">
        <v>1188</v>
      </c>
      <c r="RN7" t="s">
        <v>1188</v>
      </c>
      <c r="RU7" t="s">
        <v>1184</v>
      </c>
      <c r="RV7" t="str">
        <f t="shared" si="2"/>
        <v>CellularBlindProduct</v>
      </c>
      <c r="RW7" s="204" t="s">
        <v>1196</v>
      </c>
      <c r="SE7" s="435" t="s">
        <v>1224</v>
      </c>
      <c r="SF7" s="435" t="s">
        <v>1220</v>
      </c>
      <c r="SG7" s="435" t="s">
        <v>1220</v>
      </c>
      <c r="SH7" s="435" t="s">
        <v>1162</v>
      </c>
      <c r="SI7" s="435" t="s">
        <v>1162</v>
      </c>
      <c r="SJ7" s="435" t="s">
        <v>1162</v>
      </c>
      <c r="SK7" s="435" t="s">
        <v>1222</v>
      </c>
      <c r="SM7" s="435" t="s">
        <v>1229</v>
      </c>
      <c r="SS7" t="s">
        <v>1162</v>
      </c>
      <c r="TB7" s="39"/>
      <c r="UC7" s="435" t="s">
        <v>1327</v>
      </c>
      <c r="UD7" s="435" t="s">
        <v>1328</v>
      </c>
      <c r="UE7" s="435" t="s">
        <v>1257</v>
      </c>
      <c r="UF7" s="435" t="s">
        <v>1257</v>
      </c>
      <c r="UG7" s="35" t="s">
        <v>1310</v>
      </c>
      <c r="UI7" s="35" t="s">
        <v>1316</v>
      </c>
      <c r="UO7" s="241" t="s">
        <v>1276</v>
      </c>
      <c r="US7" t="s">
        <v>1135</v>
      </c>
      <c r="UT7" t="s">
        <v>1184</v>
      </c>
      <c r="VD7" s="35" t="s">
        <v>2129</v>
      </c>
      <c r="VL7" s="245" t="s">
        <v>1184</v>
      </c>
      <c r="VM7" s="245" t="str">
        <f>VX1</f>
        <v>Cordless Top Down Bottom Up 25mm Single</v>
      </c>
      <c r="VN7" s="245" t="str">
        <f>WI1</f>
        <v>Cordless Top Down Bottom Up 38mm Single</v>
      </c>
      <c r="VO7" s="245" t="str">
        <f>WI47</f>
        <v>Cordless Top Down Bottom Up 45mm Single</v>
      </c>
      <c r="VP7" s="245" t="str">
        <f>WI83</f>
        <v>Cordless Top Down Bottom Up 45mm Single Cell In A Cell</v>
      </c>
      <c r="VQ7" s="245" t="str">
        <f>WT1</f>
        <v>Cordless Top Down Bottom Up 38mm Double</v>
      </c>
      <c r="VR7" t="s">
        <v>1188</v>
      </c>
      <c r="VS7" s="204" t="s">
        <v>1190</v>
      </c>
      <c r="VU7" s="204" t="s">
        <v>1190</v>
      </c>
      <c r="VV7" t="s">
        <v>1190</v>
      </c>
      <c r="VX7" t="s">
        <v>1190</v>
      </c>
      <c r="VY7" t="s">
        <v>1190</v>
      </c>
      <c r="WA7" t="s">
        <v>1190</v>
      </c>
      <c r="WB7" t="s">
        <v>1190</v>
      </c>
      <c r="WC7" t="s">
        <v>1190</v>
      </c>
      <c r="WD7" t="s">
        <v>1185</v>
      </c>
      <c r="WF7" t="s">
        <v>1185</v>
      </c>
      <c r="WG7" t="s">
        <v>1185</v>
      </c>
      <c r="WI7" t="s">
        <v>1185</v>
      </c>
      <c r="WJ7" t="s">
        <v>1185</v>
      </c>
      <c r="WL7" t="s">
        <v>1185</v>
      </c>
      <c r="WM7" t="s">
        <v>1185</v>
      </c>
      <c r="WN7" t="s">
        <v>1185</v>
      </c>
      <c r="XF7" s="435" t="s">
        <v>1328</v>
      </c>
      <c r="XG7" s="435" t="s">
        <v>1327</v>
      </c>
      <c r="XH7" s="435" t="s">
        <v>1937</v>
      </c>
      <c r="XI7" s="241" t="s">
        <v>1276</v>
      </c>
      <c r="XJ7" t="s">
        <v>2207</v>
      </c>
      <c r="YU7" t="s">
        <v>1184</v>
      </c>
      <c r="ZK7" s="199" t="s">
        <v>1184</v>
      </c>
      <c r="ZL7" s="199">
        <v>5.2</v>
      </c>
      <c r="ZM7" s="199">
        <v>550</v>
      </c>
      <c r="ZN7" s="199">
        <v>2400</v>
      </c>
      <c r="ZO7" s="199">
        <v>300</v>
      </c>
      <c r="ZP7" s="199">
        <v>2100</v>
      </c>
      <c r="ZQ7" s="199" t="s">
        <v>1184</v>
      </c>
      <c r="ZR7" s="199">
        <v>5.2</v>
      </c>
      <c r="ZS7" s="199">
        <v>550</v>
      </c>
      <c r="ZT7" s="199">
        <v>2400</v>
      </c>
      <c r="ZU7" s="199">
        <v>300</v>
      </c>
      <c r="ZV7" s="199">
        <v>2100</v>
      </c>
      <c r="ZW7" s="199" t="s">
        <v>1184</v>
      </c>
      <c r="ZX7" s="199">
        <v>5.2</v>
      </c>
      <c r="ZY7" s="199">
        <v>550</v>
      </c>
      <c r="ZZ7" s="199">
        <v>2400</v>
      </c>
      <c r="AAA7" s="199">
        <v>300</v>
      </c>
      <c r="AAB7" s="199">
        <v>2100</v>
      </c>
      <c r="AAC7" s="353" t="s">
        <v>1184</v>
      </c>
      <c r="AAD7" s="353">
        <v>5.2</v>
      </c>
      <c r="AAE7" s="353">
        <v>550</v>
      </c>
      <c r="AAF7" s="353">
        <v>2400</v>
      </c>
      <c r="AAG7" s="353">
        <v>300</v>
      </c>
      <c r="AAH7" s="199">
        <v>2100</v>
      </c>
      <c r="AAK7" t="s">
        <v>213</v>
      </c>
      <c r="AAL7" s="35" t="str">
        <f>$CS$2</f>
        <v>Oval Bottom Rail</v>
      </c>
      <c r="AAM7" t="str">
        <f t="shared" si="3"/>
        <v>Sewn In Pocket</v>
      </c>
      <c r="ABB7" t="s">
        <v>213</v>
      </c>
      <c r="ABC7">
        <v>7</v>
      </c>
      <c r="ABD7" t="s">
        <v>406</v>
      </c>
      <c r="ABL7">
        <v>7</v>
      </c>
      <c r="ABM7" t="s">
        <v>1486</v>
      </c>
      <c r="ABW7">
        <v>7</v>
      </c>
      <c r="ABX7">
        <v>1600</v>
      </c>
      <c r="ABY7">
        <v>5500</v>
      </c>
    </row>
    <row r="8" spans="1:753" ht="15">
      <c r="L8" t="s">
        <v>40</v>
      </c>
      <c r="M8">
        <v>808</v>
      </c>
      <c r="N8" t="s">
        <v>3</v>
      </c>
      <c r="O8">
        <v>215300</v>
      </c>
      <c r="P8" t="s">
        <v>9</v>
      </c>
      <c r="Q8">
        <v>2277</v>
      </c>
      <c r="R8" t="s">
        <v>68</v>
      </c>
      <c r="S8" t="s">
        <v>69</v>
      </c>
      <c r="T8">
        <v>1982</v>
      </c>
      <c r="V8" s="1"/>
      <c r="Y8" t="s">
        <v>368</v>
      </c>
      <c r="AA8" s="35" t="s">
        <v>436</v>
      </c>
      <c r="AB8" t="s">
        <v>1149</v>
      </c>
      <c r="AF8" t="s">
        <v>340</v>
      </c>
      <c r="AH8" t="s">
        <v>348</v>
      </c>
      <c r="AJ8" t="s">
        <v>83</v>
      </c>
      <c r="AN8" t="s">
        <v>258</v>
      </c>
      <c r="AQ8" s="210"/>
      <c r="AW8" s="36"/>
      <c r="BD8" t="s">
        <v>560</v>
      </c>
      <c r="BI8" s="204" t="s">
        <v>332</v>
      </c>
      <c r="BK8" t="s">
        <v>318</v>
      </c>
      <c r="BM8" t="s">
        <v>329</v>
      </c>
      <c r="CJ8" t="s">
        <v>387</v>
      </c>
      <c r="DI8" t="s">
        <v>548</v>
      </c>
      <c r="DJ8" t="s">
        <v>436</v>
      </c>
      <c r="DK8" t="s">
        <v>436</v>
      </c>
      <c r="DN8" s="106"/>
      <c r="DO8" s="199" t="s">
        <v>499</v>
      </c>
      <c r="DP8" s="199">
        <v>3</v>
      </c>
      <c r="DQ8" s="199">
        <f t="shared" si="5"/>
        <v>1</v>
      </c>
      <c r="EJ8" t="s">
        <v>589</v>
      </c>
      <c r="EK8" t="s">
        <v>22</v>
      </c>
      <c r="EL8" t="s">
        <v>657</v>
      </c>
      <c r="EM8" t="s">
        <v>1770</v>
      </c>
      <c r="EN8" t="s">
        <v>1770</v>
      </c>
      <c r="EO8" t="s">
        <v>1770</v>
      </c>
      <c r="FA8" s="210" t="s">
        <v>557</v>
      </c>
      <c r="FB8" s="210" t="s">
        <v>69</v>
      </c>
      <c r="FC8" t="s">
        <v>354</v>
      </c>
      <c r="FD8" t="s">
        <v>22</v>
      </c>
      <c r="FF8" t="s">
        <v>623</v>
      </c>
      <c r="FG8" t="s">
        <v>354</v>
      </c>
      <c r="FH8" t="s">
        <v>354</v>
      </c>
      <c r="FJ8" t="s">
        <v>354</v>
      </c>
      <c r="FK8" t="s">
        <v>354</v>
      </c>
      <c r="FP8" t="s">
        <v>670</v>
      </c>
      <c r="HX8" t="s">
        <v>669</v>
      </c>
      <c r="IL8" t="s">
        <v>329</v>
      </c>
      <c r="IR8" t="s">
        <v>329</v>
      </c>
      <c r="IS8" t="s">
        <v>329</v>
      </c>
      <c r="IX8" s="210" t="s">
        <v>560</v>
      </c>
      <c r="KC8" s="210" t="s">
        <v>560</v>
      </c>
      <c r="KF8" t="s">
        <v>86</v>
      </c>
      <c r="KG8" t="s">
        <v>655</v>
      </c>
      <c r="KV8" t="s">
        <v>340</v>
      </c>
      <c r="LJ8" t="s">
        <v>510</v>
      </c>
      <c r="LK8">
        <v>1</v>
      </c>
      <c r="LW8" s="187" t="s">
        <v>998</v>
      </c>
      <c r="LX8" s="186" t="s">
        <v>525</v>
      </c>
      <c r="LY8" s="186" t="s">
        <v>929</v>
      </c>
      <c r="LZ8" s="186" t="s">
        <v>468</v>
      </c>
      <c r="MA8" s="186" t="s">
        <v>490</v>
      </c>
      <c r="MB8" s="186"/>
      <c r="ME8" s="187" t="s">
        <v>302</v>
      </c>
      <c r="MK8" t="s">
        <v>998</v>
      </c>
      <c r="ML8" t="s">
        <v>22</v>
      </c>
      <c r="MN8" t="s">
        <v>2525</v>
      </c>
      <c r="NN8" t="s">
        <v>318</v>
      </c>
      <c r="NO8" s="36"/>
      <c r="NP8" s="36"/>
      <c r="NQ8" s="36"/>
      <c r="NR8" s="36"/>
      <c r="NS8" s="36"/>
      <c r="NT8" s="36"/>
      <c r="NU8" s="36"/>
      <c r="NV8" s="36"/>
      <c r="NW8" s="36"/>
      <c r="NX8" s="36"/>
      <c r="NY8" s="36"/>
      <c r="NZ8" s="36"/>
      <c r="OA8" s="36"/>
      <c r="OB8" s="36"/>
      <c r="OC8" s="36"/>
      <c r="OD8" s="36"/>
      <c r="OE8" s="36"/>
      <c r="PG8" t="s">
        <v>1123</v>
      </c>
      <c r="PH8" t="s">
        <v>1124</v>
      </c>
      <c r="QG8" t="s">
        <v>1168</v>
      </c>
      <c r="QK8" t="s">
        <v>1471</v>
      </c>
      <c r="QL8" t="s">
        <v>1421</v>
      </c>
      <c r="QM8" t="s">
        <v>1421</v>
      </c>
      <c r="RC8" t="s">
        <v>1186</v>
      </c>
      <c r="RD8" t="s">
        <v>1186</v>
      </c>
      <c r="RF8" t="s">
        <v>1186</v>
      </c>
      <c r="RG8" t="s">
        <v>1186</v>
      </c>
      <c r="RI8" t="s">
        <v>1186</v>
      </c>
      <c r="RJ8" t="s">
        <v>1186</v>
      </c>
      <c r="RL8" t="s">
        <v>1186</v>
      </c>
      <c r="RM8" t="s">
        <v>1186</v>
      </c>
      <c r="RN8" t="s">
        <v>1186</v>
      </c>
      <c r="RU8" t="s">
        <v>1202</v>
      </c>
      <c r="RV8" t="str">
        <f t="shared" si="2"/>
        <v>CellularBlindProduct</v>
      </c>
      <c r="RW8" s="204" t="s">
        <v>1197</v>
      </c>
      <c r="SE8" s="435" t="s">
        <v>377</v>
      </c>
      <c r="SF8" s="435" t="s">
        <v>1221</v>
      </c>
      <c r="SG8" s="435" t="s">
        <v>1999</v>
      </c>
      <c r="SH8" s="435" t="s">
        <v>1222</v>
      </c>
      <c r="SI8" s="435" t="s">
        <v>1222</v>
      </c>
      <c r="SJ8" s="435" t="s">
        <v>1222</v>
      </c>
      <c r="SK8" s="435" t="s">
        <v>2003</v>
      </c>
      <c r="SS8" t="s">
        <v>1232</v>
      </c>
      <c r="TB8" s="39"/>
      <c r="UC8" s="435" t="s">
        <v>1274</v>
      </c>
      <c r="UD8" s="435" t="s">
        <v>1275</v>
      </c>
      <c r="UE8" s="435" t="s">
        <v>1258</v>
      </c>
      <c r="UF8" s="435" t="s">
        <v>1258</v>
      </c>
      <c r="UG8" s="35" t="s">
        <v>2019</v>
      </c>
      <c r="UO8" s="241" t="s">
        <v>1277</v>
      </c>
      <c r="US8" t="s">
        <v>1136</v>
      </c>
      <c r="UT8" t="s">
        <v>1202</v>
      </c>
      <c r="VD8" s="35" t="s">
        <v>2130</v>
      </c>
      <c r="VL8" s="245" t="s">
        <v>1202</v>
      </c>
      <c r="VM8" s="245" t="str">
        <f>VY1</f>
        <v>Clutch Standard 25mm Single</v>
      </c>
      <c r="VN8" s="245" t="str">
        <f>WJ1</f>
        <v>Clutch Standard 38mm Single</v>
      </c>
      <c r="VO8" s="245" t="str">
        <f>WJ47</f>
        <v>Clutch Standard 45mm Single</v>
      </c>
      <c r="VP8" s="245" t="str">
        <f>WJ83</f>
        <v>Clutch Standard 45mm Single Cell In A Cell</v>
      </c>
      <c r="VQ8" s="245" t="str">
        <f>WU1</f>
        <v>Clutch Standard 38mm Double</v>
      </c>
      <c r="VR8" t="s">
        <v>1186</v>
      </c>
      <c r="WD8" t="s">
        <v>1189</v>
      </c>
      <c r="WF8" t="s">
        <v>1189</v>
      </c>
      <c r="WG8" t="s">
        <v>1189</v>
      </c>
      <c r="WI8" t="s">
        <v>1189</v>
      </c>
      <c r="WJ8" t="s">
        <v>1189</v>
      </c>
      <c r="WL8" t="s">
        <v>1189</v>
      </c>
      <c r="WM8" t="s">
        <v>1189</v>
      </c>
      <c r="WN8" t="s">
        <v>1189</v>
      </c>
      <c r="XF8" s="435" t="s">
        <v>1275</v>
      </c>
      <c r="XG8" s="435" t="s">
        <v>1274</v>
      </c>
      <c r="XH8" s="435" t="s">
        <v>1938</v>
      </c>
      <c r="XI8" s="241" t="s">
        <v>1277</v>
      </c>
      <c r="XJ8" t="s">
        <v>2208</v>
      </c>
      <c r="YU8" t="s">
        <v>1202</v>
      </c>
      <c r="ZK8" s="199" t="s">
        <v>1202</v>
      </c>
      <c r="ZL8" s="199">
        <v>9</v>
      </c>
      <c r="ZM8" s="199">
        <v>300</v>
      </c>
      <c r="ZN8" s="199">
        <v>3000</v>
      </c>
      <c r="ZO8" s="199">
        <v>300</v>
      </c>
      <c r="ZP8" s="199">
        <v>3000</v>
      </c>
      <c r="ZQ8" s="199" t="s">
        <v>1202</v>
      </c>
      <c r="ZR8" s="199">
        <v>7.5</v>
      </c>
      <c r="ZS8" s="199">
        <v>300</v>
      </c>
      <c r="ZT8" s="199">
        <v>3000</v>
      </c>
      <c r="ZU8" s="199">
        <v>300</v>
      </c>
      <c r="ZV8" s="199">
        <v>2500</v>
      </c>
      <c r="ZW8" s="199" t="s">
        <v>1202</v>
      </c>
      <c r="ZX8" s="199">
        <v>7.5</v>
      </c>
      <c r="ZY8" s="199">
        <v>300</v>
      </c>
      <c r="ZZ8" s="199">
        <v>3000</v>
      </c>
      <c r="AAA8" s="199">
        <v>300</v>
      </c>
      <c r="AAB8" s="199">
        <v>2500</v>
      </c>
      <c r="AAC8" s="353" t="s">
        <v>1202</v>
      </c>
      <c r="AAD8" s="353">
        <v>9</v>
      </c>
      <c r="AAE8" s="353">
        <v>300</v>
      </c>
      <c r="AAF8" s="353">
        <v>3000</v>
      </c>
      <c r="AAG8" s="353">
        <v>300</v>
      </c>
      <c r="AAH8" s="199">
        <v>3000</v>
      </c>
      <c r="AAK8" t="s">
        <v>1092</v>
      </c>
      <c r="AAL8" t="str">
        <f t="shared" si="4"/>
        <v>Oval Bottom Rail 2</v>
      </c>
      <c r="AAM8" t="str">
        <f t="shared" si="3"/>
        <v>Sewn In Pocket</v>
      </c>
      <c r="ABB8" t="s">
        <v>1092</v>
      </c>
      <c r="ABC8">
        <v>9</v>
      </c>
      <c r="ABL8">
        <v>9</v>
      </c>
      <c r="ABM8" t="s">
        <v>1488</v>
      </c>
      <c r="ABW8">
        <v>9</v>
      </c>
      <c r="ABX8">
        <v>1600</v>
      </c>
      <c r="ABY8">
        <v>5500</v>
      </c>
    </row>
    <row r="9" spans="1:753" ht="15">
      <c r="L9" t="s">
        <v>115</v>
      </c>
      <c r="M9">
        <v>809</v>
      </c>
      <c r="N9" t="s">
        <v>8</v>
      </c>
      <c r="O9">
        <v>216932</v>
      </c>
      <c r="P9" t="s">
        <v>10</v>
      </c>
      <c r="Q9">
        <v>2278</v>
      </c>
      <c r="R9" t="s">
        <v>71</v>
      </c>
      <c r="S9" t="s">
        <v>29</v>
      </c>
      <c r="T9">
        <v>2165</v>
      </c>
      <c r="V9" s="1"/>
      <c r="Y9" t="s">
        <v>369</v>
      </c>
      <c r="AA9" s="35" t="s">
        <v>433</v>
      </c>
      <c r="AB9" t="s">
        <v>1150</v>
      </c>
      <c r="AF9" t="s">
        <v>341</v>
      </c>
      <c r="AJ9" t="s">
        <v>86</v>
      </c>
      <c r="AN9" t="s">
        <v>259</v>
      </c>
      <c r="AW9" s="36"/>
      <c r="BD9" t="s">
        <v>875</v>
      </c>
      <c r="BI9" t="s">
        <v>998</v>
      </c>
      <c r="BK9" t="s">
        <v>354</v>
      </c>
      <c r="BM9" t="s">
        <v>325</v>
      </c>
      <c r="CJ9" t="s">
        <v>388</v>
      </c>
      <c r="CX9" t="s">
        <v>608</v>
      </c>
      <c r="CY9" t="s">
        <v>609</v>
      </c>
      <c r="CZ9" t="s">
        <v>312</v>
      </c>
      <c r="DA9" t="s">
        <v>583</v>
      </c>
      <c r="DJ9" t="s">
        <v>433</v>
      </c>
      <c r="DK9" t="s">
        <v>433</v>
      </c>
      <c r="DN9" s="106"/>
      <c r="DO9" s="199" t="s">
        <v>498</v>
      </c>
      <c r="DP9" s="199">
        <v>3</v>
      </c>
      <c r="DQ9" s="199">
        <f t="shared" si="5"/>
        <v>1</v>
      </c>
      <c r="EJ9" t="s">
        <v>590</v>
      </c>
      <c r="EK9" t="s">
        <v>22</v>
      </c>
      <c r="EL9" t="s">
        <v>663</v>
      </c>
      <c r="EM9" t="s">
        <v>1771</v>
      </c>
      <c r="EN9" t="s">
        <v>1771</v>
      </c>
      <c r="EO9" t="s">
        <v>1771</v>
      </c>
      <c r="FA9" s="210" t="s">
        <v>558</v>
      </c>
      <c r="FB9" s="210" t="s">
        <v>69</v>
      </c>
      <c r="FC9" t="s">
        <v>319</v>
      </c>
      <c r="FD9" t="s">
        <v>22</v>
      </c>
      <c r="FF9" s="35" t="s">
        <v>832</v>
      </c>
      <c r="FG9" t="s">
        <v>319</v>
      </c>
      <c r="FH9" t="s">
        <v>319</v>
      </c>
      <c r="FJ9" t="s">
        <v>319</v>
      </c>
      <c r="FK9" t="s">
        <v>319</v>
      </c>
      <c r="FP9" t="s">
        <v>671</v>
      </c>
      <c r="HX9" t="s">
        <v>670</v>
      </c>
      <c r="IL9" t="s">
        <v>327</v>
      </c>
      <c r="IR9" t="s">
        <v>327</v>
      </c>
      <c r="IS9" t="s">
        <v>326</v>
      </c>
      <c r="IX9" s="210" t="s">
        <v>552</v>
      </c>
      <c r="KC9" s="210" t="s">
        <v>875</v>
      </c>
      <c r="KF9" t="s">
        <v>89</v>
      </c>
      <c r="KG9" t="s">
        <v>655</v>
      </c>
      <c r="KV9" t="s">
        <v>341</v>
      </c>
      <c r="LJ9" t="s">
        <v>511</v>
      </c>
      <c r="LK9">
        <v>1</v>
      </c>
      <c r="LX9" s="186" t="s">
        <v>889</v>
      </c>
      <c r="LY9" s="186" t="s">
        <v>932</v>
      </c>
      <c r="LZ9" s="186" t="s">
        <v>469</v>
      </c>
      <c r="MA9" s="186" t="s">
        <v>492</v>
      </c>
      <c r="MB9" s="186"/>
      <c r="NN9" t="s">
        <v>354</v>
      </c>
      <c r="NO9" s="36"/>
      <c r="NP9" s="36"/>
      <c r="NQ9" s="36"/>
      <c r="NR9" s="36"/>
      <c r="NS9" s="36"/>
      <c r="NT9" s="36"/>
      <c r="NU9" s="36"/>
      <c r="NV9" s="36"/>
      <c r="NW9" s="36"/>
      <c r="NX9" s="36"/>
      <c r="NY9" s="36"/>
      <c r="NZ9" s="36"/>
      <c r="OA9" s="36"/>
      <c r="OB9" s="36"/>
      <c r="OC9" s="36"/>
      <c r="OD9" s="36"/>
      <c r="OE9" s="36"/>
      <c r="PG9" t="s">
        <v>1125</v>
      </c>
      <c r="PH9" t="s">
        <v>1126</v>
      </c>
      <c r="QG9" t="s">
        <v>1166</v>
      </c>
      <c r="QK9" t="s">
        <v>1472</v>
      </c>
      <c r="RC9" t="s">
        <v>1190</v>
      </c>
      <c r="RD9" t="s">
        <v>1190</v>
      </c>
      <c r="RF9" t="s">
        <v>1190</v>
      </c>
      <c r="RG9" t="s">
        <v>1190</v>
      </c>
      <c r="RI9" t="s">
        <v>1190</v>
      </c>
      <c r="RJ9" t="s">
        <v>1190</v>
      </c>
      <c r="RL9" t="s">
        <v>1190</v>
      </c>
      <c r="RM9" t="s">
        <v>1190</v>
      </c>
      <c r="RN9" t="s">
        <v>1190</v>
      </c>
      <c r="RU9" t="s">
        <v>1214</v>
      </c>
      <c r="RV9" t="str">
        <f t="shared" si="2"/>
        <v>CellularBlindProduct</v>
      </c>
      <c r="SE9" s="435" t="s">
        <v>1220</v>
      </c>
      <c r="SF9" s="435" t="s">
        <v>1162</v>
      </c>
      <c r="SG9" s="435" t="s">
        <v>1990</v>
      </c>
      <c r="SH9" s="435" t="s">
        <v>1233</v>
      </c>
      <c r="SI9" s="435" t="s">
        <v>1234</v>
      </c>
      <c r="SJ9" s="435" t="s">
        <v>1234</v>
      </c>
      <c r="SK9" s="435" t="s">
        <v>1235</v>
      </c>
      <c r="SS9" t="s">
        <v>1234</v>
      </c>
      <c r="TB9" s="39"/>
      <c r="UC9" s="435" t="s">
        <v>1328</v>
      </c>
      <c r="UD9" s="435" t="s">
        <v>1276</v>
      </c>
      <c r="UE9" s="435" t="s">
        <v>2029</v>
      </c>
      <c r="UF9" s="435" t="s">
        <v>2029</v>
      </c>
      <c r="UG9" s="35" t="s">
        <v>2020</v>
      </c>
      <c r="UO9" s="241" t="s">
        <v>1278</v>
      </c>
      <c r="US9" t="s">
        <v>1137</v>
      </c>
      <c r="UT9" t="s">
        <v>1214</v>
      </c>
      <c r="VD9" s="35" t="s">
        <v>2131</v>
      </c>
      <c r="VL9" s="245" t="s">
        <v>1214</v>
      </c>
      <c r="VM9" s="245" t="str">
        <f>VZ1</f>
        <v>Clutch Day Night 25mm Single</v>
      </c>
      <c r="VN9" s="245" t="str">
        <f>WK1</f>
        <v>Clutch Day Night 38mm Single</v>
      </c>
      <c r="VO9" s="245" t="str">
        <f>WK47</f>
        <v>Clutch Day Night 45mm Single</v>
      </c>
      <c r="VP9" s="245" t="str">
        <f>WK83</f>
        <v>Clutch Day Night 45mm Single Cell In A Cell</v>
      </c>
      <c r="VQ9" s="245" t="str">
        <f>WV1</f>
        <v>Clutch Day Night 38mm Double</v>
      </c>
      <c r="VR9" t="s">
        <v>1190</v>
      </c>
      <c r="WD9" t="s">
        <v>1187</v>
      </c>
      <c r="WF9" t="s">
        <v>1187</v>
      </c>
      <c r="WG9" t="s">
        <v>1187</v>
      </c>
      <c r="WI9" t="s">
        <v>1187</v>
      </c>
      <c r="WJ9" t="s">
        <v>1187</v>
      </c>
      <c r="WL9" t="s">
        <v>1187</v>
      </c>
      <c r="WM9" t="s">
        <v>1187</v>
      </c>
      <c r="WN9" t="s">
        <v>1187</v>
      </c>
      <c r="XF9" s="435" t="s">
        <v>1276</v>
      </c>
      <c r="XG9" s="435" t="s">
        <v>1328</v>
      </c>
      <c r="XH9" s="435" t="s">
        <v>1939</v>
      </c>
      <c r="XI9" s="241" t="s">
        <v>1278</v>
      </c>
      <c r="XJ9" t="s">
        <v>2209</v>
      </c>
      <c r="YU9" t="s">
        <v>1214</v>
      </c>
      <c r="ZK9" s="199" t="s">
        <v>1214</v>
      </c>
      <c r="ZL9" s="206">
        <v>6.4</v>
      </c>
      <c r="ZM9" s="199">
        <v>570</v>
      </c>
      <c r="ZN9" s="199">
        <v>3000</v>
      </c>
      <c r="ZO9" s="199">
        <v>300</v>
      </c>
      <c r="ZP9" s="199">
        <v>3000</v>
      </c>
      <c r="ZQ9" s="199" t="s">
        <v>1214</v>
      </c>
      <c r="ZR9" s="206">
        <v>6.4</v>
      </c>
      <c r="ZS9" s="206">
        <v>570</v>
      </c>
      <c r="ZT9" s="206">
        <v>3000</v>
      </c>
      <c r="ZU9" s="199">
        <v>300</v>
      </c>
      <c r="ZV9" s="199">
        <v>2500</v>
      </c>
      <c r="ZW9" s="199" t="s">
        <v>1214</v>
      </c>
      <c r="ZX9" s="206">
        <v>6.4</v>
      </c>
      <c r="ZY9" s="206">
        <v>570</v>
      </c>
      <c r="ZZ9" s="199">
        <v>3000</v>
      </c>
      <c r="AAA9" s="199">
        <v>300</v>
      </c>
      <c r="AAB9" s="199">
        <v>2500</v>
      </c>
      <c r="AAC9" s="353" t="s">
        <v>1214</v>
      </c>
      <c r="AAD9" s="353">
        <v>6.4</v>
      </c>
      <c r="AAE9" s="353">
        <v>570</v>
      </c>
      <c r="AAF9" s="353">
        <v>3000</v>
      </c>
      <c r="AAG9" s="353">
        <v>300</v>
      </c>
      <c r="AAH9" s="199">
        <v>3000</v>
      </c>
      <c r="AAK9" t="s">
        <v>1161</v>
      </c>
      <c r="AAL9" t="str">
        <f t="shared" si="4"/>
        <v>Oval Bottom Rail 2</v>
      </c>
      <c r="AAM9" t="str">
        <f t="shared" si="3"/>
        <v>Sewn In Pocket</v>
      </c>
      <c r="ABB9" t="s">
        <v>1093</v>
      </c>
      <c r="ABW9">
        <v>9</v>
      </c>
      <c r="ABX9">
        <v>1600</v>
      </c>
      <c r="ABY9">
        <v>5500</v>
      </c>
    </row>
    <row r="10" spans="1:753" ht="15">
      <c r="L10" t="s">
        <v>116</v>
      </c>
      <c r="M10">
        <v>814</v>
      </c>
      <c r="N10" t="s">
        <v>4</v>
      </c>
      <c r="O10">
        <v>216977</v>
      </c>
      <c r="P10" t="s">
        <v>11</v>
      </c>
      <c r="Q10">
        <v>2280</v>
      </c>
      <c r="R10" t="s">
        <v>73</v>
      </c>
      <c r="S10" t="s">
        <v>23</v>
      </c>
      <c r="T10">
        <v>2166</v>
      </c>
      <c r="V10" s="1"/>
      <c r="AA10" s="35" t="s">
        <v>443</v>
      </c>
      <c r="AB10" t="s">
        <v>1146</v>
      </c>
      <c r="AF10" t="s">
        <v>342</v>
      </c>
      <c r="AJ10" t="s">
        <v>89</v>
      </c>
      <c r="AN10" t="s">
        <v>260</v>
      </c>
      <c r="AW10" s="36"/>
      <c r="BD10" t="s">
        <v>552</v>
      </c>
      <c r="BK10" t="s">
        <v>319</v>
      </c>
      <c r="BM10" t="s">
        <v>327</v>
      </c>
      <c r="CJ10" t="s">
        <v>393</v>
      </c>
      <c r="CW10" s="210" t="s">
        <v>1541</v>
      </c>
      <c r="CX10" s="210" t="s">
        <v>1085</v>
      </c>
      <c r="CY10" s="210" t="s">
        <v>1085</v>
      </c>
      <c r="CZ10" s="210" t="s">
        <v>1085</v>
      </c>
      <c r="DA10" s="210" t="s">
        <v>1085</v>
      </c>
      <c r="DJ10" t="s">
        <v>443</v>
      </c>
      <c r="DK10" t="s">
        <v>443</v>
      </c>
      <c r="DN10" s="106"/>
      <c r="DO10" s="199" t="s">
        <v>510</v>
      </c>
      <c r="DP10" s="199">
        <v>3</v>
      </c>
      <c r="DQ10" s="199">
        <f t="shared" si="5"/>
        <v>1</v>
      </c>
      <c r="EJ10" t="s">
        <v>591</v>
      </c>
      <c r="EK10" t="s">
        <v>22</v>
      </c>
      <c r="EL10" t="s">
        <v>663</v>
      </c>
      <c r="EM10" t="s">
        <v>823</v>
      </c>
      <c r="EN10" t="s">
        <v>823</v>
      </c>
      <c r="EO10" t="s">
        <v>823</v>
      </c>
      <c r="FA10" s="210" t="s">
        <v>559</v>
      </c>
      <c r="FB10" s="210" t="s">
        <v>69</v>
      </c>
      <c r="FC10" t="s">
        <v>320</v>
      </c>
      <c r="FD10" t="s">
        <v>22</v>
      </c>
      <c r="FF10" t="s">
        <v>309</v>
      </c>
      <c r="FG10" t="s">
        <v>320</v>
      </c>
      <c r="FH10" t="s">
        <v>320</v>
      </c>
      <c r="FJ10" t="s">
        <v>320</v>
      </c>
      <c r="FK10" t="s">
        <v>320</v>
      </c>
      <c r="FP10" t="s">
        <v>672</v>
      </c>
      <c r="HX10" t="s">
        <v>671</v>
      </c>
      <c r="IL10" t="s">
        <v>326</v>
      </c>
      <c r="IR10" t="s">
        <v>326</v>
      </c>
      <c r="IS10" t="s">
        <v>322</v>
      </c>
      <c r="IX10" s="210" t="s">
        <v>559</v>
      </c>
      <c r="KC10" s="210" t="s">
        <v>552</v>
      </c>
      <c r="KV10" t="s">
        <v>342</v>
      </c>
      <c r="LJ10" t="s">
        <v>512</v>
      </c>
      <c r="LK10">
        <v>1</v>
      </c>
      <c r="LX10" s="186" t="s">
        <v>890</v>
      </c>
      <c r="LY10" s="186" t="s">
        <v>928</v>
      </c>
      <c r="LZ10" s="186" t="s">
        <v>470</v>
      </c>
      <c r="MA10" s="186" t="s">
        <v>493</v>
      </c>
      <c r="MB10" s="186"/>
      <c r="NN10" t="s">
        <v>319</v>
      </c>
      <c r="NO10" s="36"/>
      <c r="NP10" s="36"/>
      <c r="NQ10" s="36"/>
      <c r="NR10" s="36"/>
      <c r="NS10" s="36"/>
      <c r="NT10" s="36"/>
      <c r="NU10" s="36"/>
      <c r="NV10" s="36"/>
      <c r="NW10" s="36"/>
      <c r="NX10" s="36"/>
      <c r="NY10" s="36"/>
      <c r="NZ10" s="36"/>
      <c r="OA10" s="36"/>
      <c r="OB10" s="36"/>
      <c r="OC10" s="36"/>
      <c r="OD10" s="36"/>
      <c r="OE10" s="36"/>
      <c r="PG10" t="s">
        <v>1127</v>
      </c>
      <c r="QK10" t="s">
        <v>1500</v>
      </c>
      <c r="QL10" t="s">
        <v>1415</v>
      </c>
      <c r="RC10" t="s">
        <v>1215</v>
      </c>
      <c r="RU10" t="s">
        <v>1182</v>
      </c>
      <c r="RV10" t="str">
        <f t="shared" si="2"/>
        <v>CellularBlindProduct</v>
      </c>
      <c r="SE10" s="435" t="s">
        <v>1990</v>
      </c>
      <c r="SF10" s="435" t="s">
        <v>1232</v>
      </c>
      <c r="SG10" s="435" t="s">
        <v>1221</v>
      </c>
      <c r="SH10" s="435" t="s">
        <v>1234</v>
      </c>
      <c r="SI10" s="435" t="s">
        <v>1239</v>
      </c>
      <c r="SJ10" s="435" t="s">
        <v>1239</v>
      </c>
      <c r="SK10" s="435" t="s">
        <v>1228</v>
      </c>
      <c r="SS10" t="s">
        <v>1235</v>
      </c>
      <c r="TB10" s="39"/>
      <c r="UA10" s="207" t="s">
        <v>1215</v>
      </c>
      <c r="UC10" s="435" t="s">
        <v>2006</v>
      </c>
      <c r="UD10" s="435" t="s">
        <v>1277</v>
      </c>
      <c r="UE10" s="435" t="s">
        <v>2030</v>
      </c>
      <c r="UF10" s="435" t="s">
        <v>2030</v>
      </c>
      <c r="UG10" s="35" t="s">
        <v>1311</v>
      </c>
      <c r="UO10" s="241" t="s">
        <v>1279</v>
      </c>
      <c r="US10" t="s">
        <v>1138</v>
      </c>
      <c r="UT10" t="s">
        <v>1182</v>
      </c>
      <c r="VD10" s="35" t="s">
        <v>2132</v>
      </c>
      <c r="VL10" s="245" t="s">
        <v>1182</v>
      </c>
      <c r="VM10" s="245" t="str">
        <f>WA1</f>
        <v>Clutch Top Down Bottom Up 25mm Single</v>
      </c>
      <c r="VN10" s="245" t="str">
        <f>WL1</f>
        <v>Clutch Top Down Bottom Up 38mm Single</v>
      </c>
      <c r="VO10" s="245" t="str">
        <f>WL47</f>
        <v>Clutch Top Down Bottom Up 45mm Single</v>
      </c>
      <c r="VP10" s="245" t="str">
        <f>WL83</f>
        <v>Clutch Top Down Bottom Up 45mm Single Cell In A Cell</v>
      </c>
      <c r="VQ10" s="245" t="str">
        <f>WW1</f>
        <v>Clutch Top Down Bottom Up 38mm Double</v>
      </c>
      <c r="WD10" t="s">
        <v>1188</v>
      </c>
      <c r="WF10" t="s">
        <v>1188</v>
      </c>
      <c r="WG10" t="s">
        <v>1188</v>
      </c>
      <c r="WI10" t="s">
        <v>1188</v>
      </c>
      <c r="WJ10" t="s">
        <v>1188</v>
      </c>
      <c r="WL10" t="s">
        <v>1188</v>
      </c>
      <c r="WM10" t="s">
        <v>1188</v>
      </c>
      <c r="WN10" t="s">
        <v>1188</v>
      </c>
      <c r="XF10" s="435" t="s">
        <v>1277</v>
      </c>
      <c r="XG10" s="435" t="s">
        <v>2006</v>
      </c>
      <c r="XH10" s="435" t="s">
        <v>1940</v>
      </c>
      <c r="XI10" s="241" t="s">
        <v>1279</v>
      </c>
      <c r="XJ10" t="s">
        <v>2210</v>
      </c>
      <c r="YU10" t="s">
        <v>1182</v>
      </c>
      <c r="ZK10" s="199" t="s">
        <v>1182</v>
      </c>
      <c r="ZL10" s="206">
        <v>7.32</v>
      </c>
      <c r="ZM10" s="199">
        <v>570</v>
      </c>
      <c r="ZN10" s="199">
        <v>3000</v>
      </c>
      <c r="ZO10" s="199">
        <v>300</v>
      </c>
      <c r="ZP10" s="199">
        <v>3000</v>
      </c>
      <c r="ZQ10" s="199" t="s">
        <v>1182</v>
      </c>
      <c r="ZR10" s="206">
        <v>7.32</v>
      </c>
      <c r="ZS10" s="206">
        <v>570</v>
      </c>
      <c r="ZT10" s="206">
        <v>3000</v>
      </c>
      <c r="ZU10" s="199">
        <v>300</v>
      </c>
      <c r="ZV10" s="199">
        <v>2500</v>
      </c>
      <c r="ZW10" s="199" t="s">
        <v>1182</v>
      </c>
      <c r="ZX10" s="206">
        <v>7.32</v>
      </c>
      <c r="ZY10" s="206">
        <v>570</v>
      </c>
      <c r="ZZ10" s="199">
        <v>3000</v>
      </c>
      <c r="AAA10" s="199">
        <v>300</v>
      </c>
      <c r="AAB10" s="199">
        <v>2500</v>
      </c>
      <c r="AAC10" s="199" t="s">
        <v>1182</v>
      </c>
      <c r="AAD10" s="199">
        <v>7.32</v>
      </c>
      <c r="AAE10" s="199">
        <v>570</v>
      </c>
      <c r="AAF10" s="353">
        <v>3000</v>
      </c>
      <c r="AAG10" s="353">
        <v>300</v>
      </c>
      <c r="AAH10" s="199">
        <v>3000</v>
      </c>
      <c r="AAK10" t="s">
        <v>214</v>
      </c>
      <c r="AAL10" s="35" t="str">
        <f>$CS$2</f>
        <v>Oval Bottom Rail</v>
      </c>
      <c r="AAM10" t="str">
        <f t="shared" si="3"/>
        <v>Sewn In Pocket</v>
      </c>
      <c r="ABB10" t="s">
        <v>1130</v>
      </c>
    </row>
    <row r="11" spans="1:753" ht="15">
      <c r="L11" t="s">
        <v>117</v>
      </c>
      <c r="M11">
        <v>816</v>
      </c>
      <c r="N11" t="s">
        <v>5</v>
      </c>
      <c r="O11">
        <v>216978</v>
      </c>
      <c r="P11" t="s">
        <v>12</v>
      </c>
      <c r="Q11">
        <v>2281</v>
      </c>
      <c r="R11" t="s">
        <v>75</v>
      </c>
      <c r="S11" t="s">
        <v>24</v>
      </c>
      <c r="T11">
        <v>2177</v>
      </c>
      <c r="V11" s="1"/>
      <c r="AA11" s="35" t="s">
        <v>432</v>
      </c>
      <c r="AB11" t="s">
        <v>1147</v>
      </c>
      <c r="AF11" t="s">
        <v>343</v>
      </c>
      <c r="AN11" t="s">
        <v>261</v>
      </c>
      <c r="AW11" s="36"/>
      <c r="BD11" t="s">
        <v>559</v>
      </c>
      <c r="BK11" t="s">
        <v>320</v>
      </c>
      <c r="BM11" t="s">
        <v>326</v>
      </c>
      <c r="CW11" t="s">
        <v>872</v>
      </c>
      <c r="CX11" t="s">
        <v>417</v>
      </c>
      <c r="CY11" t="s">
        <v>418</v>
      </c>
      <c r="CZ11" t="s">
        <v>417</v>
      </c>
      <c r="DA11" t="s">
        <v>417</v>
      </c>
      <c r="DJ11" t="s">
        <v>432</v>
      </c>
      <c r="DK11" t="s">
        <v>432</v>
      </c>
      <c r="DN11" s="106"/>
      <c r="DO11" s="199" t="s">
        <v>511</v>
      </c>
      <c r="DP11" s="199">
        <v>3</v>
      </c>
      <c r="DQ11" s="199">
        <f t="shared" si="5"/>
        <v>1</v>
      </c>
      <c r="EJ11" t="s">
        <v>592</v>
      </c>
      <c r="EK11" t="s">
        <v>22</v>
      </c>
      <c r="EL11" t="s">
        <v>657</v>
      </c>
      <c r="EM11" t="s">
        <v>601</v>
      </c>
      <c r="EN11" t="s">
        <v>601</v>
      </c>
      <c r="EO11" t="s">
        <v>601</v>
      </c>
      <c r="FA11" s="210" t="s">
        <v>560</v>
      </c>
      <c r="FB11" s="210" t="s">
        <v>69</v>
      </c>
      <c r="FC11" t="s">
        <v>310</v>
      </c>
      <c r="FD11" t="s">
        <v>22</v>
      </c>
      <c r="FF11" t="s">
        <v>868</v>
      </c>
      <c r="FG11" t="s">
        <v>310</v>
      </c>
      <c r="FH11" t="s">
        <v>310</v>
      </c>
      <c r="FJ11" t="s">
        <v>310</v>
      </c>
      <c r="FK11" t="s">
        <v>310</v>
      </c>
      <c r="FP11" t="s">
        <v>673</v>
      </c>
      <c r="HX11" t="s">
        <v>672</v>
      </c>
      <c r="IL11" t="s">
        <v>322</v>
      </c>
      <c r="IR11" t="s">
        <v>322</v>
      </c>
      <c r="IX11" s="210"/>
      <c r="KC11" t="s">
        <v>559</v>
      </c>
      <c r="KV11" t="s">
        <v>343</v>
      </c>
      <c r="LJ11" t="s">
        <v>513</v>
      </c>
      <c r="LK11">
        <v>1</v>
      </c>
      <c r="LX11" s="186" t="s">
        <v>891</v>
      </c>
      <c r="LY11" s="234" t="s">
        <v>1075</v>
      </c>
      <c r="LZ11" s="186" t="s">
        <v>521</v>
      </c>
      <c r="MA11" s="186" t="s">
        <v>517</v>
      </c>
      <c r="MB11" s="186"/>
      <c r="NN11" t="s">
        <v>320</v>
      </c>
      <c r="NO11" s="36"/>
      <c r="NP11" s="36"/>
      <c r="NQ11" s="36"/>
      <c r="NR11" s="36"/>
      <c r="NS11" s="36"/>
      <c r="NT11" s="36"/>
      <c r="NU11" s="36"/>
      <c r="NV11" s="36"/>
      <c r="NW11" s="36"/>
      <c r="NX11" s="36"/>
      <c r="NY11" s="36"/>
      <c r="NZ11" s="36"/>
      <c r="OA11" s="36"/>
      <c r="OB11" s="36"/>
      <c r="OC11" s="36"/>
      <c r="OD11" s="36"/>
      <c r="OE11" s="36"/>
      <c r="PG11" t="s">
        <v>1115</v>
      </c>
      <c r="QK11" t="s">
        <v>1501</v>
      </c>
      <c r="RU11" t="s">
        <v>2034</v>
      </c>
      <c r="RV11" t="str">
        <f t="shared" si="2"/>
        <v>CellularBlindProduct</v>
      </c>
      <c r="SE11" s="435" t="s">
        <v>1221</v>
      </c>
      <c r="SF11" s="435" t="s">
        <v>1222</v>
      </c>
      <c r="SG11" s="435" t="s">
        <v>1162</v>
      </c>
      <c r="SH11" s="435" t="s">
        <v>1223</v>
      </c>
      <c r="SI11" s="435" t="s">
        <v>1227</v>
      </c>
      <c r="SJ11" s="435" t="s">
        <v>1227</v>
      </c>
      <c r="SK11" s="435" t="s">
        <v>1226</v>
      </c>
      <c r="SS11" t="s">
        <v>1223</v>
      </c>
      <c r="TB11" s="39"/>
      <c r="TZ11" s="207" t="s">
        <v>1174</v>
      </c>
      <c r="UA11" s="199" t="str">
        <f>$XF$1</f>
        <v>Cellular Colour 2 25mm Single Cellular Blind</v>
      </c>
      <c r="UC11" s="435" t="s">
        <v>1275</v>
      </c>
      <c r="UD11" s="435" t="s">
        <v>1329</v>
      </c>
      <c r="UE11" s="435" t="s">
        <v>1259</v>
      </c>
      <c r="UF11" s="435" t="s">
        <v>1259</v>
      </c>
      <c r="UG11" s="35" t="s">
        <v>2021</v>
      </c>
      <c r="UO11" s="241" t="s">
        <v>1280</v>
      </c>
      <c r="US11" t="s">
        <v>1139</v>
      </c>
      <c r="UT11" t="s">
        <v>2034</v>
      </c>
      <c r="VD11" s="35" t="s">
        <v>2133</v>
      </c>
      <c r="VL11" s="245" t="s">
        <v>2034</v>
      </c>
      <c r="VM11" s="245" t="str">
        <f>VY25</f>
        <v>Motorised Standard 25mm Single</v>
      </c>
      <c r="VN11" s="245" t="str">
        <f>$WJ$25</f>
        <v>Motorised Standard 38mm Single</v>
      </c>
      <c r="VO11" s="245" t="str">
        <f>WJ100</f>
        <v>Motorised Standard 45mm Single</v>
      </c>
      <c r="VP11" s="245" t="str">
        <f>WJ126</f>
        <v>Motorised Standard 45mm Single Cell In A Cell</v>
      </c>
      <c r="VQ11" s="245" t="str">
        <f>WU25</f>
        <v>Motorised Standard 38mm Double</v>
      </c>
      <c r="WD11" s="178" t="s">
        <v>1855</v>
      </c>
      <c r="WF11" t="s">
        <v>1855</v>
      </c>
      <c r="WG11" t="s">
        <v>1855</v>
      </c>
      <c r="WI11" t="s">
        <v>1855</v>
      </c>
      <c r="WJ11" t="s">
        <v>1855</v>
      </c>
      <c r="WL11" t="s">
        <v>1855</v>
      </c>
      <c r="WM11" t="s">
        <v>1855</v>
      </c>
      <c r="WN11" t="s">
        <v>1855</v>
      </c>
      <c r="XF11" s="435" t="s">
        <v>1329</v>
      </c>
      <c r="XG11" s="435" t="s">
        <v>1275</v>
      </c>
      <c r="XH11" s="435" t="s">
        <v>1941</v>
      </c>
      <c r="XI11" s="241" t="s">
        <v>1280</v>
      </c>
      <c r="XJ11" t="s">
        <v>2211</v>
      </c>
      <c r="YU11" t="s">
        <v>2034</v>
      </c>
      <c r="ZF11" t="s">
        <v>2188</v>
      </c>
      <c r="ZG11" t="s">
        <v>2187</v>
      </c>
      <c r="ZK11" s="199" t="s">
        <v>2034</v>
      </c>
      <c r="ZL11" s="199">
        <v>9</v>
      </c>
      <c r="ZM11" s="199">
        <v>620</v>
      </c>
      <c r="ZN11" s="199">
        <v>3000</v>
      </c>
      <c r="ZO11" s="199">
        <v>300</v>
      </c>
      <c r="ZP11" s="199">
        <v>3000</v>
      </c>
      <c r="ZQ11" s="199" t="s">
        <v>2034</v>
      </c>
      <c r="ZR11" s="199">
        <v>7.5</v>
      </c>
      <c r="ZS11" s="199">
        <v>620</v>
      </c>
      <c r="ZT11" s="199">
        <v>3000</v>
      </c>
      <c r="ZU11" s="199">
        <v>300</v>
      </c>
      <c r="ZV11" s="199">
        <v>2500</v>
      </c>
      <c r="ZW11" s="199" t="s">
        <v>2034</v>
      </c>
      <c r="ZX11" s="199">
        <v>7</v>
      </c>
      <c r="ZY11" s="199">
        <v>620</v>
      </c>
      <c r="ZZ11" s="199">
        <v>3000</v>
      </c>
      <c r="AAA11" s="199">
        <v>300</v>
      </c>
      <c r="AAB11" s="199">
        <v>2500</v>
      </c>
      <c r="AAC11" s="199" t="s">
        <v>2034</v>
      </c>
      <c r="AAD11" s="199">
        <v>9</v>
      </c>
      <c r="AAE11" s="199">
        <v>620</v>
      </c>
      <c r="AAF11" s="353">
        <v>3000</v>
      </c>
      <c r="AAG11" s="353">
        <v>300</v>
      </c>
      <c r="AAH11" s="199">
        <v>3000</v>
      </c>
      <c r="AAK11" t="s">
        <v>1093</v>
      </c>
      <c r="AAL11" t="str">
        <f t="shared" ref="AAL11:AAL15" si="6">$CS$17</f>
        <v>Oval Bottom Rail 2</v>
      </c>
      <c r="AAM11" t="str">
        <f t="shared" si="3"/>
        <v>Sewn In Pocket</v>
      </c>
      <c r="ABB11" t="s">
        <v>1141</v>
      </c>
    </row>
    <row r="12" spans="1:753" ht="15">
      <c r="L12" t="s">
        <v>49</v>
      </c>
      <c r="M12">
        <v>817</v>
      </c>
      <c r="N12" t="s">
        <v>6</v>
      </c>
      <c r="O12">
        <v>216979</v>
      </c>
      <c r="P12" t="s">
        <v>13</v>
      </c>
      <c r="Q12">
        <v>2294</v>
      </c>
      <c r="R12" t="s">
        <v>77</v>
      </c>
      <c r="S12" t="s">
        <v>78</v>
      </c>
      <c r="T12">
        <v>2178</v>
      </c>
      <c r="V12" s="1"/>
      <c r="AA12" s="35" t="s">
        <v>435</v>
      </c>
      <c r="AF12" t="s">
        <v>344</v>
      </c>
      <c r="AN12" t="s">
        <v>262</v>
      </c>
      <c r="AW12" s="36"/>
      <c r="BK12" t="s">
        <v>310</v>
      </c>
      <c r="BM12" t="s">
        <v>322</v>
      </c>
      <c r="CW12" t="s">
        <v>873</v>
      </c>
      <c r="CX12" s="327" t="s">
        <v>1085</v>
      </c>
      <c r="CY12" s="327" t="s">
        <v>1085</v>
      </c>
      <c r="CZ12" s="327" t="s">
        <v>1085</v>
      </c>
      <c r="DA12" s="327" t="s">
        <v>1085</v>
      </c>
      <c r="DJ12" t="s">
        <v>435</v>
      </c>
      <c r="DK12" t="s">
        <v>435</v>
      </c>
      <c r="DN12" s="106"/>
      <c r="DO12" s="199" t="s">
        <v>512</v>
      </c>
      <c r="DP12" s="199">
        <v>3</v>
      </c>
      <c r="DQ12" s="199">
        <f t="shared" si="5"/>
        <v>1</v>
      </c>
      <c r="EJ12" t="s">
        <v>593</v>
      </c>
      <c r="EK12" t="s">
        <v>22</v>
      </c>
      <c r="EL12" t="s">
        <v>657</v>
      </c>
      <c r="EM12" t="s">
        <v>597</v>
      </c>
      <c r="EN12" t="s">
        <v>597</v>
      </c>
      <c r="EO12" t="s">
        <v>597</v>
      </c>
      <c r="FA12" s="210" t="s">
        <v>561</v>
      </c>
      <c r="FB12" s="210" t="s">
        <v>69</v>
      </c>
      <c r="FC12" t="s">
        <v>309</v>
      </c>
      <c r="FD12" t="s">
        <v>22</v>
      </c>
      <c r="FF12" t="s">
        <v>869</v>
      </c>
      <c r="FG12" t="s">
        <v>309</v>
      </c>
      <c r="FH12" t="s">
        <v>309</v>
      </c>
      <c r="FJ12" t="s">
        <v>309</v>
      </c>
      <c r="FK12" t="s">
        <v>309</v>
      </c>
      <c r="FP12" t="s">
        <v>674</v>
      </c>
      <c r="GS12" s="327" t="s">
        <v>1784</v>
      </c>
      <c r="GX12" s="327" t="s">
        <v>1785</v>
      </c>
      <c r="HX12" t="s">
        <v>758</v>
      </c>
      <c r="IX12" s="210"/>
      <c r="KV12" t="s">
        <v>344</v>
      </c>
      <c r="LJ12" t="s">
        <v>514</v>
      </c>
      <c r="LK12">
        <v>1</v>
      </c>
      <c r="LX12" s="186" t="s">
        <v>481</v>
      </c>
      <c r="LY12" s="234" t="s">
        <v>1076</v>
      </c>
      <c r="LZ12" s="186" t="s">
        <v>471</v>
      </c>
      <c r="MA12" s="186" t="s">
        <v>506</v>
      </c>
      <c r="MB12" s="186"/>
      <c r="NN12" t="s">
        <v>310</v>
      </c>
      <c r="NO12" s="36"/>
      <c r="NP12" s="36"/>
      <c r="NQ12" s="36"/>
      <c r="NR12" s="36"/>
      <c r="NS12" s="36"/>
      <c r="NT12" s="36"/>
      <c r="NU12" s="36"/>
      <c r="NV12" s="36"/>
      <c r="NW12" s="36"/>
      <c r="NX12" s="36"/>
      <c r="NY12" s="36"/>
      <c r="NZ12" s="36"/>
      <c r="OA12" s="36"/>
      <c r="OB12" s="36"/>
      <c r="OC12" s="36"/>
      <c r="OD12" s="36"/>
      <c r="OE12" s="36"/>
      <c r="PG12" t="s">
        <v>1128</v>
      </c>
      <c r="RU12" t="s">
        <v>2035</v>
      </c>
      <c r="RV12" t="str">
        <f t="shared" si="2"/>
        <v>CellularBlindProduct</v>
      </c>
      <c r="SE12" s="435" t="s">
        <v>1162</v>
      </c>
      <c r="SF12" s="435" t="s">
        <v>1234</v>
      </c>
      <c r="SG12" s="435" t="s">
        <v>2000</v>
      </c>
      <c r="SH12" s="435" t="s">
        <v>1236</v>
      </c>
      <c r="SS12" t="s">
        <v>1237</v>
      </c>
      <c r="TZ12" s="207" t="s">
        <v>1175</v>
      </c>
      <c r="UA12" s="199" t="str">
        <f>$XG$1</f>
        <v>Cellular Colour 2 38mm Single Cellular Blind</v>
      </c>
      <c r="UC12" s="435" t="s">
        <v>1276</v>
      </c>
      <c r="UD12" s="435" t="s">
        <v>1278</v>
      </c>
      <c r="UO12" s="241" t="s">
        <v>1281</v>
      </c>
      <c r="UT12" t="s">
        <v>2035</v>
      </c>
      <c r="VD12" s="35" t="s">
        <v>2134</v>
      </c>
      <c r="VL12" t="s">
        <v>2176</v>
      </c>
      <c r="VM12" s="245"/>
      <c r="VN12" s="245" t="str">
        <f>$WJ$25</f>
        <v>Motorised Standard 38mm Single</v>
      </c>
      <c r="VO12" s="245"/>
      <c r="VP12" s="245"/>
      <c r="VQ12" s="245"/>
      <c r="WD12" s="178" t="s">
        <v>1856</v>
      </c>
      <c r="WF12" t="s">
        <v>1856</v>
      </c>
      <c r="WG12" t="s">
        <v>1856</v>
      </c>
      <c r="WI12" t="s">
        <v>1856</v>
      </c>
      <c r="WJ12" t="s">
        <v>1856</v>
      </c>
      <c r="WL12" t="s">
        <v>1856</v>
      </c>
      <c r="WM12" t="s">
        <v>1856</v>
      </c>
      <c r="WN12" t="s">
        <v>1856</v>
      </c>
      <c r="XF12" s="435" t="s">
        <v>1278</v>
      </c>
      <c r="XG12" s="435" t="s">
        <v>1276</v>
      </c>
      <c r="XH12" s="435" t="s">
        <v>2214</v>
      </c>
      <c r="XI12" s="241" t="s">
        <v>1281</v>
      </c>
      <c r="YU12" t="s">
        <v>2035</v>
      </c>
      <c r="ZF12" t="s">
        <v>332</v>
      </c>
      <c r="ZG12" t="s">
        <v>25</v>
      </c>
      <c r="ZK12" s="199" t="s">
        <v>2035</v>
      </c>
      <c r="ZL12" s="199">
        <v>7</v>
      </c>
      <c r="ZM12" s="199">
        <v>850</v>
      </c>
      <c r="ZN12" s="199">
        <v>3000</v>
      </c>
      <c r="ZO12" s="199">
        <v>300</v>
      </c>
      <c r="ZP12" s="199">
        <v>3000</v>
      </c>
      <c r="ZQ12" s="199" t="s">
        <v>2035</v>
      </c>
      <c r="ZR12" s="199">
        <v>7</v>
      </c>
      <c r="ZS12" s="199">
        <v>820</v>
      </c>
      <c r="ZT12" s="199">
        <v>3000</v>
      </c>
      <c r="ZU12" s="199">
        <v>300</v>
      </c>
      <c r="ZV12" s="199">
        <v>2500</v>
      </c>
      <c r="ZW12" s="199" t="s">
        <v>2035</v>
      </c>
      <c r="ZX12" s="199">
        <v>4.5</v>
      </c>
      <c r="ZY12" s="199">
        <v>850</v>
      </c>
      <c r="ZZ12" s="199">
        <v>3000</v>
      </c>
      <c r="AAA12" s="199">
        <v>300</v>
      </c>
      <c r="AAB12" s="199">
        <v>2500</v>
      </c>
      <c r="AAC12" s="199" t="s">
        <v>2035</v>
      </c>
      <c r="AAD12" s="199">
        <v>7</v>
      </c>
      <c r="AAE12" s="199">
        <v>850</v>
      </c>
      <c r="AAF12" s="353">
        <v>3000</v>
      </c>
      <c r="AAG12" s="353">
        <v>300</v>
      </c>
      <c r="AAH12" s="199">
        <v>3000</v>
      </c>
      <c r="AAK12" t="s">
        <v>1130</v>
      </c>
      <c r="AAL12" t="str">
        <f t="shared" si="6"/>
        <v>Oval Bottom Rail 2</v>
      </c>
      <c r="AAM12" t="str">
        <f t="shared" si="3"/>
        <v>Sewn In Pocket</v>
      </c>
      <c r="ABB12" t="s">
        <v>215</v>
      </c>
    </row>
    <row r="13" spans="1:753" ht="15">
      <c r="L13" t="s">
        <v>118</v>
      </c>
      <c r="M13">
        <v>818</v>
      </c>
      <c r="N13" t="s">
        <v>7</v>
      </c>
      <c r="O13">
        <v>216980</v>
      </c>
      <c r="P13" t="s">
        <v>14</v>
      </c>
      <c r="Q13">
        <v>2299</v>
      </c>
      <c r="R13" t="s">
        <v>79</v>
      </c>
      <c r="S13" t="s">
        <v>80</v>
      </c>
      <c r="T13">
        <v>2179</v>
      </c>
      <c r="V13" s="1"/>
      <c r="AA13" s="35" t="s">
        <v>442</v>
      </c>
      <c r="AF13" t="s">
        <v>345</v>
      </c>
      <c r="AN13" t="s">
        <v>263</v>
      </c>
      <c r="AW13" s="36"/>
      <c r="BK13" t="s">
        <v>309</v>
      </c>
      <c r="CW13" s="327" t="s">
        <v>1774</v>
      </c>
      <c r="CX13" t="s">
        <v>1085</v>
      </c>
      <c r="CY13" t="s">
        <v>1085</v>
      </c>
      <c r="CZ13" t="s">
        <v>1085</v>
      </c>
      <c r="DA13" t="s">
        <v>1085</v>
      </c>
      <c r="DJ13" t="s">
        <v>442</v>
      </c>
      <c r="DK13" t="s">
        <v>442</v>
      </c>
      <c r="DN13" s="106"/>
      <c r="DO13" s="199" t="s">
        <v>513</v>
      </c>
      <c r="DP13" s="199">
        <v>3</v>
      </c>
      <c r="DQ13" s="199">
        <f t="shared" si="5"/>
        <v>1</v>
      </c>
      <c r="EJ13" t="s">
        <v>594</v>
      </c>
      <c r="EK13" t="s">
        <v>22</v>
      </c>
      <c r="EL13" t="s">
        <v>663</v>
      </c>
      <c r="EM13" t="s">
        <v>602</v>
      </c>
      <c r="EN13" t="s">
        <v>602</v>
      </c>
      <c r="EO13" t="s">
        <v>602</v>
      </c>
      <c r="FA13" s="210" t="s">
        <v>562</v>
      </c>
      <c r="FB13" s="210" t="s">
        <v>69</v>
      </c>
      <c r="FC13" t="s">
        <v>311</v>
      </c>
      <c r="FD13" t="s">
        <v>22</v>
      </c>
      <c r="FF13" s="327" t="s">
        <v>1783</v>
      </c>
      <c r="FJ13" s="241" t="s">
        <v>1526</v>
      </c>
      <c r="FK13" s="241" t="s">
        <v>1526</v>
      </c>
      <c r="FN13" t="s">
        <v>316</v>
      </c>
      <c r="FP13" t="s">
        <v>675</v>
      </c>
      <c r="FZ13" t="s">
        <v>1533</v>
      </c>
      <c r="GS13" s="327" t="s">
        <v>227</v>
      </c>
      <c r="GX13" s="327" t="s">
        <v>227</v>
      </c>
      <c r="HX13" t="s">
        <v>674</v>
      </c>
      <c r="IX13" s="210"/>
      <c r="KV13" t="s">
        <v>345</v>
      </c>
      <c r="LJ13" t="s">
        <v>496</v>
      </c>
      <c r="LK13">
        <v>1</v>
      </c>
      <c r="LX13" s="186" t="s">
        <v>892</v>
      </c>
      <c r="LY13" s="186" t="s">
        <v>1035</v>
      </c>
      <c r="LZ13" s="186" t="s">
        <v>472</v>
      </c>
      <c r="MA13" s="186" t="s">
        <v>507</v>
      </c>
      <c r="MB13" s="186"/>
      <c r="NN13" t="s">
        <v>309</v>
      </c>
      <c r="NO13" s="36"/>
      <c r="NP13" s="36"/>
      <c r="NQ13" s="36"/>
      <c r="NR13" s="36"/>
      <c r="NS13" s="36"/>
      <c r="NT13" s="36"/>
      <c r="NU13" s="36"/>
      <c r="NV13" s="36"/>
      <c r="NW13" s="36"/>
      <c r="NX13" s="36"/>
      <c r="NY13" s="36"/>
      <c r="NZ13" s="36"/>
      <c r="OA13" s="36"/>
      <c r="OB13" s="36"/>
      <c r="OC13" s="36"/>
      <c r="OD13" s="36"/>
      <c r="OE13" s="36"/>
      <c r="PG13" t="s">
        <v>322</v>
      </c>
      <c r="PU13" s="199" t="s">
        <v>21</v>
      </c>
      <c r="PV13" s="199" t="str">
        <f>PW1</f>
        <v>HelperSpringControlYes</v>
      </c>
      <c r="RU13" t="s">
        <v>2036</v>
      </c>
      <c r="RV13" t="str">
        <f t="shared" si="2"/>
        <v>CellularBlindProduct</v>
      </c>
      <c r="SE13" s="435" t="s">
        <v>1232</v>
      </c>
      <c r="SF13" s="435" t="s">
        <v>1223</v>
      </c>
      <c r="SG13" s="435" t="s">
        <v>1992</v>
      </c>
      <c r="SH13" s="435" t="s">
        <v>1228</v>
      </c>
      <c r="SS13" t="s">
        <v>1225</v>
      </c>
      <c r="TZ13" s="207" t="s">
        <v>1176</v>
      </c>
      <c r="UA13" s="199" t="str">
        <f>$XI$1</f>
        <v>Cellular Colour 2 38mm Double Cellular Blind</v>
      </c>
      <c r="UC13" s="435" t="s">
        <v>1277</v>
      </c>
      <c r="UD13" s="435" t="s">
        <v>1280</v>
      </c>
      <c r="UO13" s="241" t="s">
        <v>1282</v>
      </c>
      <c r="UT13" s="35" t="s">
        <v>2036</v>
      </c>
      <c r="UU13" t="s">
        <v>2191</v>
      </c>
      <c r="UV13" t="s">
        <v>2192</v>
      </c>
      <c r="UW13" t="s">
        <v>2193</v>
      </c>
      <c r="UY13" t="s">
        <v>2194</v>
      </c>
      <c r="UZ13" t="s">
        <v>2195</v>
      </c>
      <c r="VA13" t="s">
        <v>2330</v>
      </c>
      <c r="VB13" t="s">
        <v>2331</v>
      </c>
      <c r="VD13" s="35" t="s">
        <v>2135</v>
      </c>
      <c r="VE13" t="s">
        <v>1133</v>
      </c>
      <c r="VL13" t="s">
        <v>2177</v>
      </c>
      <c r="VM13" s="245"/>
      <c r="VN13" s="245" t="str">
        <f>$WJ$25</f>
        <v>Motorised Standard 38mm Single</v>
      </c>
      <c r="VO13" s="245"/>
      <c r="VP13" s="245"/>
      <c r="VQ13" s="245"/>
      <c r="WD13" t="s">
        <v>1186</v>
      </c>
      <c r="WF13" t="s">
        <v>1186</v>
      </c>
      <c r="WG13" t="s">
        <v>1186</v>
      </c>
      <c r="WI13" t="s">
        <v>1186</v>
      </c>
      <c r="WJ13" t="s">
        <v>1186</v>
      </c>
      <c r="WL13" t="s">
        <v>1186</v>
      </c>
      <c r="WM13" t="s">
        <v>1186</v>
      </c>
      <c r="WN13" t="s">
        <v>1186</v>
      </c>
      <c r="XF13" s="435" t="s">
        <v>1280</v>
      </c>
      <c r="XG13" s="435" t="s">
        <v>1277</v>
      </c>
      <c r="XH13" s="435" t="s">
        <v>2215</v>
      </c>
      <c r="XI13" s="241" t="s">
        <v>1282</v>
      </c>
      <c r="YU13" s="35" t="s">
        <v>2036</v>
      </c>
      <c r="ZG13" t="s">
        <v>2189</v>
      </c>
      <c r="ZK13" s="199" t="s">
        <v>2176</v>
      </c>
      <c r="ZL13" s="199">
        <v>5.04</v>
      </c>
      <c r="ZM13" s="199">
        <v>850</v>
      </c>
      <c r="ZN13" s="199">
        <v>3000</v>
      </c>
      <c r="ZO13" s="199">
        <v>300</v>
      </c>
      <c r="ZP13" s="199">
        <v>3000</v>
      </c>
      <c r="ZQ13" s="199" t="s">
        <v>2036</v>
      </c>
      <c r="ZR13" s="199">
        <v>7.5</v>
      </c>
      <c r="ZS13" s="199">
        <v>820</v>
      </c>
      <c r="ZT13" s="199">
        <v>3000</v>
      </c>
      <c r="ZU13" s="199">
        <v>300</v>
      </c>
      <c r="ZV13" s="199">
        <v>2500</v>
      </c>
      <c r="ZW13" s="199" t="s">
        <v>2036</v>
      </c>
      <c r="ZX13" s="199">
        <v>7</v>
      </c>
      <c r="ZY13" s="199">
        <v>850</v>
      </c>
      <c r="ZZ13" s="199">
        <v>3000</v>
      </c>
      <c r="AAA13" s="199">
        <v>300</v>
      </c>
      <c r="AAB13" s="199">
        <v>2500</v>
      </c>
      <c r="AAC13" s="199" t="s">
        <v>2036</v>
      </c>
      <c r="AAD13" s="199">
        <v>9</v>
      </c>
      <c r="AAE13" s="199">
        <v>850</v>
      </c>
      <c r="AAF13" s="353">
        <v>3000</v>
      </c>
      <c r="AAG13" s="353">
        <v>300</v>
      </c>
      <c r="AAH13" s="199">
        <v>3000</v>
      </c>
      <c r="AAK13" t="s">
        <v>1141</v>
      </c>
      <c r="AAL13" t="str">
        <f t="shared" si="6"/>
        <v>Oval Bottom Rail 2</v>
      </c>
      <c r="AAM13" t="str">
        <f t="shared" si="3"/>
        <v>Sewn In Pocket</v>
      </c>
      <c r="ABB13" t="s">
        <v>1090</v>
      </c>
    </row>
    <row r="14" spans="1:753" ht="15">
      <c r="L14" t="s">
        <v>119</v>
      </c>
      <c r="M14">
        <v>823</v>
      </c>
      <c r="N14" t="s">
        <v>2</v>
      </c>
      <c r="O14">
        <v>215486</v>
      </c>
      <c r="P14" t="s">
        <v>16</v>
      </c>
      <c r="Q14">
        <v>2313</v>
      </c>
      <c r="R14" t="s">
        <v>85</v>
      </c>
      <c r="S14" t="s">
        <v>83</v>
      </c>
      <c r="T14">
        <v>2180</v>
      </c>
      <c r="V14" s="1"/>
      <c r="AA14" s="35" t="s">
        <v>1535</v>
      </c>
      <c r="AB14" s="178" t="s">
        <v>413</v>
      </c>
      <c r="AF14" t="s">
        <v>346</v>
      </c>
      <c r="AN14" t="s">
        <v>264</v>
      </c>
      <c r="AW14" s="37"/>
      <c r="BK14" t="s">
        <v>311</v>
      </c>
      <c r="CW14" s="327" t="s">
        <v>1775</v>
      </c>
      <c r="CX14" s="327" t="s">
        <v>417</v>
      </c>
      <c r="CY14" s="327" t="s">
        <v>418</v>
      </c>
      <c r="CZ14" s="327" t="s">
        <v>417</v>
      </c>
      <c r="DA14" s="327" t="s">
        <v>417</v>
      </c>
      <c r="DJ14" t="s">
        <v>1535</v>
      </c>
      <c r="DK14" t="s">
        <v>1535</v>
      </c>
      <c r="DN14" s="106"/>
      <c r="DO14" s="199" t="s">
        <v>514</v>
      </c>
      <c r="DP14" s="199">
        <v>3</v>
      </c>
      <c r="DQ14" s="199">
        <f t="shared" si="5"/>
        <v>1</v>
      </c>
      <c r="EK14" t="s">
        <v>69</v>
      </c>
      <c r="EM14" t="s">
        <v>603</v>
      </c>
      <c r="EN14" t="s">
        <v>603</v>
      </c>
      <c r="EO14" t="s">
        <v>603</v>
      </c>
      <c r="FA14" s="210" t="s">
        <v>563</v>
      </c>
      <c r="FB14" s="210" t="s">
        <v>69</v>
      </c>
      <c r="FC14" t="s">
        <v>312</v>
      </c>
      <c r="FD14" t="s">
        <v>22</v>
      </c>
      <c r="FF14" t="s">
        <v>624</v>
      </c>
      <c r="FN14" t="s">
        <v>308</v>
      </c>
      <c r="FP14" t="s">
        <v>676</v>
      </c>
      <c r="FZ14" t="s">
        <v>227</v>
      </c>
      <c r="HX14" t="s">
        <v>770</v>
      </c>
      <c r="IX14" s="210"/>
      <c r="KV14" t="s">
        <v>346</v>
      </c>
      <c r="LJ14" t="s">
        <v>494</v>
      </c>
      <c r="LK14">
        <v>1</v>
      </c>
      <c r="LX14" s="186" t="s">
        <v>893</v>
      </c>
      <c r="LY14" s="234" t="s">
        <v>1077</v>
      </c>
      <c r="LZ14" s="186" t="s">
        <v>473</v>
      </c>
      <c r="MA14" s="186" t="s">
        <v>508</v>
      </c>
      <c r="MB14" s="186"/>
      <c r="MN14" t="s">
        <v>1499</v>
      </c>
      <c r="NN14" t="s">
        <v>311</v>
      </c>
      <c r="NO14" s="809" t="s">
        <v>1055</v>
      </c>
      <c r="NP14" s="809"/>
      <c r="NQ14" s="809"/>
      <c r="NR14" s="809"/>
      <c r="NS14" s="809"/>
      <c r="NT14" s="809"/>
      <c r="NU14" s="809"/>
      <c r="NV14" s="809"/>
      <c r="NW14" s="809"/>
      <c r="NX14" s="809"/>
      <c r="NY14" s="809"/>
      <c r="NZ14" s="809"/>
      <c r="OA14" s="809"/>
      <c r="OB14" s="809"/>
      <c r="OC14" s="809"/>
      <c r="OD14" s="809"/>
      <c r="OE14" s="809"/>
      <c r="PU14" s="199" t="s">
        <v>28</v>
      </c>
      <c r="PV14" s="199" t="str">
        <f>PW1</f>
        <v>HelperSpringControlYes</v>
      </c>
      <c r="RU14" t="s">
        <v>2176</v>
      </c>
      <c r="RV14" t="str">
        <f>$RQ$1</f>
        <v>Skylight Product</v>
      </c>
      <c r="SE14" s="435" t="s">
        <v>1991</v>
      </c>
      <c r="SF14" s="435" t="s">
        <v>1238</v>
      </c>
      <c r="SG14" s="435" t="s">
        <v>1222</v>
      </c>
      <c r="SH14" s="435" t="s">
        <v>1239</v>
      </c>
      <c r="SS14" t="s">
        <v>1240</v>
      </c>
      <c r="TC14" s="39"/>
      <c r="TD14" s="39"/>
      <c r="TE14" s="39"/>
      <c r="TF14" s="39"/>
      <c r="TG14" s="39"/>
      <c r="TH14" s="39"/>
      <c r="TI14" s="39"/>
      <c r="TJ14" s="39"/>
      <c r="TK14" s="39"/>
      <c r="TL14" s="39"/>
      <c r="TM14" s="39"/>
      <c r="TN14" s="39"/>
      <c r="UC14" s="435" t="s">
        <v>2007</v>
      </c>
      <c r="UD14" s="435" t="s">
        <v>1330</v>
      </c>
      <c r="UO14" s="241" t="s">
        <v>1283</v>
      </c>
      <c r="UT14" t="s">
        <v>2176</v>
      </c>
      <c r="UU14" t="s">
        <v>332</v>
      </c>
      <c r="UV14" t="s">
        <v>2130</v>
      </c>
      <c r="UW14" t="s">
        <v>1451</v>
      </c>
      <c r="UX14" t="str">
        <f>$UZ$13</f>
        <v>Motor Side No</v>
      </c>
      <c r="UY14" t="s">
        <v>21</v>
      </c>
      <c r="UZ14" t="s">
        <v>332</v>
      </c>
      <c r="VA14" t="s">
        <v>21</v>
      </c>
      <c r="VB14" t="s">
        <v>28</v>
      </c>
      <c r="VE14" t="s">
        <v>1135</v>
      </c>
      <c r="VL14" s="245" t="s">
        <v>2035</v>
      </c>
      <c r="VM14" s="245" t="str">
        <f>VZ25</f>
        <v>Motorised Day Night 25mm Single</v>
      </c>
      <c r="VN14" s="245" t="str">
        <f>WK25</f>
        <v>Motorised Day Night 38mm Single</v>
      </c>
      <c r="VO14" s="245" t="str">
        <f>WK100</f>
        <v>Motorised Day Night 45mm Single</v>
      </c>
      <c r="VP14" s="245" t="str">
        <f>WK126</f>
        <v>Motorised Day Night 45mm Single Cell In A Cell</v>
      </c>
      <c r="VQ14" s="245" t="str">
        <f>WV25</f>
        <v>Motorised Day Night 38mm Double</v>
      </c>
      <c r="WD14" t="s">
        <v>1190</v>
      </c>
      <c r="WF14" t="s">
        <v>1190</v>
      </c>
      <c r="WG14" t="s">
        <v>1190</v>
      </c>
      <c r="WI14" t="s">
        <v>1190</v>
      </c>
      <c r="WJ14" t="s">
        <v>1190</v>
      </c>
      <c r="WL14" t="s">
        <v>1190</v>
      </c>
      <c r="WM14" t="s">
        <v>1190</v>
      </c>
      <c r="WN14" t="s">
        <v>1190</v>
      </c>
      <c r="XF14" s="435" t="s">
        <v>1330</v>
      </c>
      <c r="XG14" s="435" t="s">
        <v>2007</v>
      </c>
      <c r="XH14" s="435" t="s">
        <v>1975</v>
      </c>
      <c r="XI14" s="241" t="s">
        <v>1283</v>
      </c>
      <c r="YU14" t="s">
        <v>2176</v>
      </c>
      <c r="ZK14" s="199" t="s">
        <v>2177</v>
      </c>
      <c r="ZL14" s="199">
        <v>5.04</v>
      </c>
      <c r="ZM14" s="199">
        <v>450</v>
      </c>
      <c r="ZN14" s="199">
        <v>1800</v>
      </c>
      <c r="ZO14" s="199">
        <v>300</v>
      </c>
      <c r="ZP14" s="199">
        <v>2100</v>
      </c>
      <c r="AAK14" t="s">
        <v>215</v>
      </c>
      <c r="AAL14" s="35" t="str">
        <f>$CS$2</f>
        <v>Oval Bottom Rail</v>
      </c>
      <c r="AAM14" t="str">
        <f t="shared" si="3"/>
        <v>Sewn In Pocket</v>
      </c>
    </row>
    <row r="15" spans="1:753" ht="15">
      <c r="L15" t="s">
        <v>59</v>
      </c>
      <c r="M15">
        <v>824</v>
      </c>
      <c r="N15" t="s">
        <v>3</v>
      </c>
      <c r="O15">
        <v>215487</v>
      </c>
      <c r="P15" t="s">
        <v>15</v>
      </c>
      <c r="Q15">
        <v>2315</v>
      </c>
      <c r="R15" t="s">
        <v>82</v>
      </c>
      <c r="S15" t="s">
        <v>86</v>
      </c>
      <c r="T15">
        <v>2181</v>
      </c>
      <c r="V15" s="1"/>
      <c r="AA15" s="35" t="s">
        <v>434</v>
      </c>
      <c r="AB15" s="178" t="s">
        <v>412</v>
      </c>
      <c r="AF15" t="s">
        <v>347</v>
      </c>
      <c r="AN15" t="s">
        <v>836</v>
      </c>
      <c r="AP15" s="210" t="s">
        <v>963</v>
      </c>
      <c r="AQ15" s="210" t="s">
        <v>964</v>
      </c>
      <c r="AW15" s="37"/>
      <c r="BK15" t="s">
        <v>312</v>
      </c>
      <c r="DJ15" t="s">
        <v>434</v>
      </c>
      <c r="DK15" t="s">
        <v>434</v>
      </c>
      <c r="DN15" s="106"/>
      <c r="DO15" s="199" t="s">
        <v>496</v>
      </c>
      <c r="DP15" s="199">
        <v>4</v>
      </c>
      <c r="DQ15" s="199">
        <f t="shared" si="5"/>
        <v>1</v>
      </c>
      <c r="EM15" s="327" t="s">
        <v>1787</v>
      </c>
      <c r="EN15" s="327" t="s">
        <v>1787</v>
      </c>
      <c r="EO15" s="327" t="s">
        <v>1787</v>
      </c>
      <c r="FA15" s="210" t="s">
        <v>551</v>
      </c>
      <c r="FB15" s="210" t="s">
        <v>615</v>
      </c>
      <c r="FC15" t="s">
        <v>577</v>
      </c>
      <c r="FD15" t="s">
        <v>22</v>
      </c>
      <c r="FF15" t="s">
        <v>625</v>
      </c>
      <c r="FN15" t="s">
        <v>317</v>
      </c>
      <c r="FP15" t="s">
        <v>677</v>
      </c>
      <c r="HX15" t="s">
        <v>759</v>
      </c>
      <c r="IX15" s="210"/>
      <c r="KV15" t="s">
        <v>347</v>
      </c>
      <c r="LJ15" t="s">
        <v>497</v>
      </c>
      <c r="LK15">
        <v>2</v>
      </c>
      <c r="LX15" s="186" t="s">
        <v>894</v>
      </c>
      <c r="LY15" s="186" t="s">
        <v>491</v>
      </c>
      <c r="LZ15" s="186" t="s">
        <v>474</v>
      </c>
      <c r="MN15" t="s">
        <v>984</v>
      </c>
      <c r="NN15" t="s">
        <v>312</v>
      </c>
      <c r="NO15" s="199" t="s">
        <v>1056</v>
      </c>
      <c r="NP15" s="199" t="s">
        <v>1057</v>
      </c>
      <c r="NQ15" s="199" t="s">
        <v>1058</v>
      </c>
      <c r="NR15" s="199" t="s">
        <v>1059</v>
      </c>
      <c r="NS15" s="199" t="s">
        <v>1060</v>
      </c>
      <c r="NT15" s="199" t="s">
        <v>1061</v>
      </c>
      <c r="NU15" s="199" t="s">
        <v>1062</v>
      </c>
      <c r="NV15" s="199" t="s">
        <v>1063</v>
      </c>
      <c r="NW15" s="199" t="s">
        <v>1064</v>
      </c>
      <c r="NX15" s="199" t="s">
        <v>1065</v>
      </c>
      <c r="NY15" s="199" t="s">
        <v>1066</v>
      </c>
      <c r="NZ15" s="199" t="s">
        <v>1067</v>
      </c>
      <c r="OA15" s="199" t="s">
        <v>1068</v>
      </c>
      <c r="OB15" s="199" t="s">
        <v>1069</v>
      </c>
      <c r="OC15" s="199" t="s">
        <v>1070</v>
      </c>
      <c r="OD15" s="199"/>
      <c r="OE15" s="199"/>
      <c r="OG15" s="241" t="s">
        <v>1529</v>
      </c>
      <c r="PU15" s="199" t="s">
        <v>1465</v>
      </c>
      <c r="PV15" s="199" t="str">
        <f>$PV$1</f>
        <v>HelperSpringControlNo</v>
      </c>
      <c r="RU15" t="s">
        <v>2177</v>
      </c>
      <c r="RV15" t="str">
        <f>$RQ$1</f>
        <v>Skylight Product</v>
      </c>
      <c r="SE15" s="435" t="s">
        <v>1992</v>
      </c>
      <c r="SF15" s="435" t="s">
        <v>1236</v>
      </c>
      <c r="SG15" s="435" t="s">
        <v>1233</v>
      </c>
      <c r="SH15" s="435" t="s">
        <v>1225</v>
      </c>
      <c r="SS15" t="s">
        <v>1229</v>
      </c>
      <c r="UC15" s="435" t="s">
        <v>2008</v>
      </c>
      <c r="UD15" s="435" t="s">
        <v>1331</v>
      </c>
      <c r="UO15" s="241" t="s">
        <v>1284</v>
      </c>
      <c r="UT15" t="s">
        <v>2177</v>
      </c>
      <c r="UV15" t="s">
        <v>2131</v>
      </c>
      <c r="UW15" t="s">
        <v>1452</v>
      </c>
      <c r="UX15" t="str">
        <f>$UZ$13</f>
        <v>Motor Side No</v>
      </c>
      <c r="UY15" t="s">
        <v>28</v>
      </c>
      <c r="VE15" t="s">
        <v>1137</v>
      </c>
      <c r="VL15" s="245" t="s">
        <v>2036</v>
      </c>
      <c r="VM15" s="245" t="str">
        <f>WA25</f>
        <v>Motorised Top Down Bottom Up 25mm Single</v>
      </c>
      <c r="VN15" s="245" t="str">
        <f>WL25</f>
        <v>Motorised Top Down Bottom Up 38mm Single</v>
      </c>
      <c r="VO15" s="245" t="str">
        <f>WL100</f>
        <v>Motorised Top Down Bottom Up 45mm Single</v>
      </c>
      <c r="VP15" s="245" t="str">
        <f>WL126</f>
        <v>Motorised Top Down Bottom Up 45mm Single Cell In A Cell</v>
      </c>
      <c r="VQ15" s="245" t="str">
        <f>WW25</f>
        <v>Motorised Top Down Bottom Up 38mm Double</v>
      </c>
      <c r="XF15" s="435" t="s">
        <v>1331</v>
      </c>
      <c r="XG15" s="435" t="s">
        <v>2008</v>
      </c>
      <c r="XH15" s="435" t="s">
        <v>1976</v>
      </c>
      <c r="XI15" s="241" t="s">
        <v>1284</v>
      </c>
      <c r="YU15" t="s">
        <v>2177</v>
      </c>
      <c r="ZK15" s="199" t="s">
        <v>2036</v>
      </c>
      <c r="ZL15" s="199">
        <v>9</v>
      </c>
      <c r="ZM15" s="199">
        <v>630</v>
      </c>
      <c r="ZN15" s="199">
        <v>2400</v>
      </c>
      <c r="ZO15" s="199">
        <v>600</v>
      </c>
      <c r="ZP15" s="199">
        <v>2100</v>
      </c>
      <c r="AAK15" t="s">
        <v>1090</v>
      </c>
      <c r="AAL15" t="str">
        <f t="shared" si="6"/>
        <v>Oval Bottom Rail 2</v>
      </c>
      <c r="AAM15" t="str">
        <f t="shared" si="3"/>
        <v>Sewn In Pocket</v>
      </c>
    </row>
    <row r="16" spans="1:753" ht="15">
      <c r="L16" t="s">
        <v>61</v>
      </c>
      <c r="M16">
        <v>833</v>
      </c>
      <c r="N16" t="s">
        <v>8</v>
      </c>
      <c r="O16">
        <v>216927</v>
      </c>
      <c r="P16" t="s">
        <v>9</v>
      </c>
      <c r="Q16">
        <v>2290</v>
      </c>
      <c r="R16" t="s">
        <v>88</v>
      </c>
      <c r="S16" t="s">
        <v>89</v>
      </c>
      <c r="T16">
        <v>2182</v>
      </c>
      <c r="V16" s="1"/>
      <c r="AA16" s="35" t="s">
        <v>440</v>
      </c>
      <c r="AF16" t="s">
        <v>348</v>
      </c>
      <c r="AN16" t="s">
        <v>265</v>
      </c>
      <c r="AP16" t="s">
        <v>966</v>
      </c>
      <c r="AQ16" t="s">
        <v>965</v>
      </c>
      <c r="AW16" s="36"/>
      <c r="BK16" t="s">
        <v>577</v>
      </c>
      <c r="DJ16" t="s">
        <v>440</v>
      </c>
      <c r="DK16" t="s">
        <v>440</v>
      </c>
      <c r="DN16" s="106"/>
      <c r="DO16" s="199" t="s">
        <v>494</v>
      </c>
      <c r="DP16" s="199">
        <v>4</v>
      </c>
      <c r="DQ16" s="199">
        <f t="shared" si="5"/>
        <v>1</v>
      </c>
      <c r="FA16" s="210" t="s">
        <v>550</v>
      </c>
      <c r="FB16" s="210" t="s">
        <v>69</v>
      </c>
      <c r="FC16" t="s">
        <v>314</v>
      </c>
      <c r="FD16" t="s">
        <v>22</v>
      </c>
      <c r="FF16" t="s">
        <v>310</v>
      </c>
      <c r="FN16" t="s">
        <v>318</v>
      </c>
      <c r="FP16" t="s">
        <v>678</v>
      </c>
      <c r="HO16" t="s">
        <v>882</v>
      </c>
      <c r="HP16" t="s">
        <v>883</v>
      </c>
      <c r="HQ16" t="s">
        <v>884</v>
      </c>
      <c r="HR16" t="s">
        <v>885</v>
      </c>
      <c r="HX16" t="s">
        <v>679</v>
      </c>
      <c r="IV16" s="327" t="s">
        <v>1786</v>
      </c>
      <c r="KV16" t="s">
        <v>348</v>
      </c>
      <c r="LJ16" t="s">
        <v>500</v>
      </c>
      <c r="LK16">
        <v>2</v>
      </c>
      <c r="LX16" s="186" t="s">
        <v>482</v>
      </c>
      <c r="LY16" s="186" t="s">
        <v>492</v>
      </c>
      <c r="LZ16" s="186" t="s">
        <v>475</v>
      </c>
      <c r="MN16" t="s">
        <v>986</v>
      </c>
      <c r="NN16" t="s">
        <v>577</v>
      </c>
      <c r="NO16" s="232" t="s">
        <v>69</v>
      </c>
      <c r="NP16" s="232" t="s">
        <v>22</v>
      </c>
      <c r="NQ16" s="232" t="s">
        <v>22</v>
      </c>
      <c r="NR16" s="232" t="s">
        <v>22</v>
      </c>
      <c r="NS16" s="232" t="s">
        <v>22</v>
      </c>
      <c r="NT16" s="232" t="s">
        <v>22</v>
      </c>
      <c r="NU16" s="232" t="s">
        <v>22</v>
      </c>
      <c r="NV16" s="232" t="s">
        <v>22</v>
      </c>
      <c r="NW16" s="232" t="s">
        <v>22</v>
      </c>
      <c r="NX16" s="232" t="s">
        <v>22</v>
      </c>
      <c r="NY16" s="232" t="s">
        <v>22</v>
      </c>
      <c r="NZ16" s="232" t="s">
        <v>22</v>
      </c>
      <c r="OA16" s="199" t="s">
        <v>391</v>
      </c>
      <c r="OB16" s="199" t="s">
        <v>392</v>
      </c>
      <c r="OC16" s="232" t="s">
        <v>332</v>
      </c>
      <c r="OD16" s="232"/>
      <c r="OE16" s="232"/>
      <c r="OG16" s="241" t="s">
        <v>22</v>
      </c>
      <c r="PU16" s="199" t="s">
        <v>1466</v>
      </c>
      <c r="PV16" s="199" t="str">
        <f t="shared" ref="PV16:PV20" si="7">$PV$1</f>
        <v>HelperSpringControlNo</v>
      </c>
      <c r="SE16" s="435" t="s">
        <v>1222</v>
      </c>
      <c r="SF16" s="435" t="s">
        <v>1228</v>
      </c>
      <c r="SG16" s="435" t="s">
        <v>2001</v>
      </c>
      <c r="SH16" s="435" t="s">
        <v>1229</v>
      </c>
      <c r="SS16" t="s">
        <v>1241</v>
      </c>
      <c r="UC16" s="435" t="s">
        <v>1329</v>
      </c>
      <c r="UD16" s="435" t="s">
        <v>1332</v>
      </c>
      <c r="UO16" s="241" t="s">
        <v>1286</v>
      </c>
      <c r="UW16" t="s">
        <v>1811</v>
      </c>
      <c r="UX16" t="str">
        <f>$UZ$13</f>
        <v>Motor Side No</v>
      </c>
      <c r="VE16" t="s">
        <v>1139</v>
      </c>
      <c r="VL16" s="437" t="s">
        <v>1469</v>
      </c>
      <c r="VM16" s="210" t="str">
        <f>VV1</f>
        <v>Cordless Standard 25mm Single</v>
      </c>
      <c r="VN16" s="210" t="str">
        <f>WG1</f>
        <v>Cordless Standard 38mm Single</v>
      </c>
      <c r="VO16" s="210" t="str">
        <f>WG47</f>
        <v>Cordless Standard 45mm Single</v>
      </c>
      <c r="VP16" s="210"/>
      <c r="VQ16" s="210" t="str">
        <f>WR1</f>
        <v>Cordless Standard 38mm Double</v>
      </c>
      <c r="XF16" s="435" t="s">
        <v>1332</v>
      </c>
      <c r="XG16" s="435" t="s">
        <v>1329</v>
      </c>
      <c r="XH16" s="435" t="s">
        <v>1977</v>
      </c>
      <c r="XI16" s="241" t="s">
        <v>1286</v>
      </c>
    </row>
    <row r="17" spans="12:710" ht="15">
      <c r="L17" t="s">
        <v>120</v>
      </c>
      <c r="M17">
        <v>834</v>
      </c>
      <c r="N17" t="s">
        <v>4</v>
      </c>
      <c r="O17">
        <v>217021</v>
      </c>
      <c r="P17" t="s">
        <v>10</v>
      </c>
      <c r="Q17">
        <v>2291</v>
      </c>
      <c r="R17" t="s">
        <v>91</v>
      </c>
      <c r="S17" t="s">
        <v>25</v>
      </c>
      <c r="T17">
        <v>2238</v>
      </c>
      <c r="V17" s="1"/>
      <c r="AA17" s="35" t="s">
        <v>441</v>
      </c>
      <c r="AN17" s="35" t="s">
        <v>267</v>
      </c>
      <c r="AP17" t="s">
        <v>277</v>
      </c>
      <c r="AW17" s="36"/>
      <c r="BK17" t="s">
        <v>314</v>
      </c>
      <c r="CS17" t="s">
        <v>1445</v>
      </c>
      <c r="DJ17" t="s">
        <v>441</v>
      </c>
      <c r="DK17" t="s">
        <v>441</v>
      </c>
      <c r="DN17" s="106"/>
      <c r="DO17" s="199" t="s">
        <v>497</v>
      </c>
      <c r="DP17" s="199">
        <v>6</v>
      </c>
      <c r="DQ17" s="199">
        <f t="shared" si="5"/>
        <v>2</v>
      </c>
      <c r="EM17" s="327"/>
      <c r="EN17" s="327"/>
      <c r="EO17" s="327"/>
      <c r="FA17" s="210" t="s">
        <v>874</v>
      </c>
      <c r="FB17" s="210" t="s">
        <v>69</v>
      </c>
      <c r="FC17" t="s">
        <v>313</v>
      </c>
      <c r="FD17" t="s">
        <v>22</v>
      </c>
      <c r="FF17" t="s">
        <v>626</v>
      </c>
      <c r="FN17" t="s">
        <v>354</v>
      </c>
      <c r="FP17" t="s">
        <v>679</v>
      </c>
      <c r="HO17" s="327" t="s">
        <v>609</v>
      </c>
      <c r="HP17" s="327" t="s">
        <v>609</v>
      </c>
      <c r="HQ17" s="327" t="s">
        <v>609</v>
      </c>
      <c r="HR17" s="327" t="s">
        <v>609</v>
      </c>
      <c r="HX17" t="s">
        <v>683</v>
      </c>
      <c r="IV17" s="327" t="s">
        <v>26</v>
      </c>
      <c r="LJ17" t="s">
        <v>502</v>
      </c>
      <c r="LK17">
        <v>2</v>
      </c>
      <c r="LX17" s="186" t="s">
        <v>483</v>
      </c>
      <c r="LY17" s="186" t="s">
        <v>512</v>
      </c>
      <c r="LZ17" s="186" t="s">
        <v>476</v>
      </c>
      <c r="MN17" t="s">
        <v>985</v>
      </c>
      <c r="NN17" t="s">
        <v>314</v>
      </c>
      <c r="NO17" s="232" t="s">
        <v>390</v>
      </c>
      <c r="NP17" s="232" t="s">
        <v>69</v>
      </c>
      <c r="NQ17" s="232" t="s">
        <v>69</v>
      </c>
      <c r="NR17" s="232" t="s">
        <v>69</v>
      </c>
      <c r="NS17" s="232" t="s">
        <v>69</v>
      </c>
      <c r="NT17" s="232" t="s">
        <v>69</v>
      </c>
      <c r="NU17" s="232" t="s">
        <v>69</v>
      </c>
      <c r="NV17" s="232" t="s">
        <v>69</v>
      </c>
      <c r="NW17" s="232" t="s">
        <v>69</v>
      </c>
      <c r="NX17" s="232" t="s">
        <v>69</v>
      </c>
      <c r="NY17" s="232" t="s">
        <v>69</v>
      </c>
      <c r="NZ17" s="232"/>
      <c r="OA17" s="199" t="s">
        <v>392</v>
      </c>
      <c r="OB17" s="199" t="s">
        <v>387</v>
      </c>
      <c r="OC17" s="232"/>
      <c r="OD17" s="232"/>
      <c r="OE17" s="232"/>
      <c r="OG17" s="241" t="s">
        <v>69</v>
      </c>
      <c r="PU17" s="199" t="s">
        <v>1467</v>
      </c>
      <c r="PV17" s="199" t="str">
        <f t="shared" si="7"/>
        <v>HelperSpringControlNo</v>
      </c>
      <c r="QL17" t="s">
        <v>1424</v>
      </c>
      <c r="QM17" t="s">
        <v>1425</v>
      </c>
      <c r="QN17" t="s">
        <v>1426</v>
      </c>
      <c r="QO17" t="s">
        <v>1427</v>
      </c>
      <c r="QP17" t="s">
        <v>1428</v>
      </c>
      <c r="QQ17" t="s">
        <v>1429</v>
      </c>
      <c r="QR17" t="s">
        <v>1430</v>
      </c>
      <c r="QS17" t="s">
        <v>1431</v>
      </c>
      <c r="QT17" t="s">
        <v>1432</v>
      </c>
      <c r="QU17" t="s">
        <v>1434</v>
      </c>
      <c r="QV17" t="s">
        <v>1504</v>
      </c>
      <c r="QW17" t="s">
        <v>1505</v>
      </c>
      <c r="SE17" s="435" t="s">
        <v>1234</v>
      </c>
      <c r="SF17" s="435" t="s">
        <v>1239</v>
      </c>
      <c r="SG17" s="435" t="s">
        <v>1234</v>
      </c>
      <c r="SS17" t="s">
        <v>1227</v>
      </c>
      <c r="UC17" s="435" t="s">
        <v>1278</v>
      </c>
      <c r="UD17" s="435" t="s">
        <v>1333</v>
      </c>
      <c r="UO17" s="241" t="s">
        <v>1285</v>
      </c>
      <c r="UW17" t="s">
        <v>1812</v>
      </c>
      <c r="UX17" t="str">
        <f>$UZ$13</f>
        <v>Motor Side No</v>
      </c>
      <c r="XF17" s="435" t="s">
        <v>1333</v>
      </c>
      <c r="XG17" s="435" t="s">
        <v>1278</v>
      </c>
      <c r="XH17" s="435" t="s">
        <v>1978</v>
      </c>
      <c r="XI17" s="241" t="s">
        <v>1285</v>
      </c>
    </row>
    <row r="18" spans="12:710" s="348" customFormat="1" ht="15">
      <c r="L18" s="348" t="s">
        <v>121</v>
      </c>
      <c r="M18" s="348">
        <v>838</v>
      </c>
      <c r="N18" s="348" t="s">
        <v>5</v>
      </c>
      <c r="O18" s="348">
        <v>217022</v>
      </c>
      <c r="P18" s="348" t="s">
        <v>11</v>
      </c>
      <c r="Q18" s="348">
        <v>2292</v>
      </c>
      <c r="R18" s="348" t="s">
        <v>93</v>
      </c>
      <c r="S18" s="348" t="s">
        <v>28</v>
      </c>
      <c r="T18" s="348">
        <v>2239</v>
      </c>
      <c r="V18" s="349"/>
      <c r="W18" s="348" t="s">
        <v>1161</v>
      </c>
      <c r="AA18" s="350" t="s">
        <v>445</v>
      </c>
      <c r="AN18" s="348" t="s">
        <v>269</v>
      </c>
      <c r="AP18" t="s">
        <v>278</v>
      </c>
      <c r="AW18" s="351"/>
      <c r="BK18" s="348" t="s">
        <v>313</v>
      </c>
      <c r="CS18" s="348" t="s">
        <v>767</v>
      </c>
      <c r="DJ18" s="348" t="s">
        <v>445</v>
      </c>
      <c r="DK18" s="348" t="s">
        <v>445</v>
      </c>
      <c r="DN18" s="352"/>
      <c r="DO18" s="353" t="s">
        <v>500</v>
      </c>
      <c r="DP18" s="353">
        <v>4</v>
      </c>
      <c r="DQ18" s="353">
        <f t="shared" si="5"/>
        <v>2</v>
      </c>
      <c r="DR18" s="354"/>
      <c r="DS18" s="354"/>
      <c r="DT18" s="354"/>
      <c r="DU18" s="354"/>
      <c r="DV18" s="354"/>
      <c r="DW18" s="354"/>
      <c r="DY18" s="354"/>
      <c r="DZ18" s="354"/>
      <c r="EA18" s="354"/>
      <c r="EB18" s="354"/>
      <c r="EC18" s="354"/>
      <c r="ED18" s="354"/>
      <c r="EE18" s="354"/>
      <c r="FA18" s="355" t="s">
        <v>549</v>
      </c>
      <c r="FB18" s="355" t="s">
        <v>69</v>
      </c>
      <c r="FC18" s="356" t="s">
        <v>1526</v>
      </c>
      <c r="FD18" s="356" t="s">
        <v>22</v>
      </c>
      <c r="FF18" s="348" t="s">
        <v>627</v>
      </c>
      <c r="FG18" s="353" t="s">
        <v>155</v>
      </c>
      <c r="FH18" s="357" t="s">
        <v>1541</v>
      </c>
      <c r="FI18" s="358" t="s">
        <v>872</v>
      </c>
      <c r="FJ18" s="358" t="s">
        <v>873</v>
      </c>
      <c r="FK18" s="359" t="s">
        <v>1775</v>
      </c>
      <c r="FL18" s="359" t="s">
        <v>1774</v>
      </c>
      <c r="FN18" s="348" t="s">
        <v>319</v>
      </c>
      <c r="FP18" s="348" t="s">
        <v>680</v>
      </c>
      <c r="HX18" s="360" t="s">
        <v>760</v>
      </c>
      <c r="HY18" s="360" t="s">
        <v>760</v>
      </c>
      <c r="LJ18" s="350" t="s">
        <v>509</v>
      </c>
      <c r="LK18" s="350">
        <v>2</v>
      </c>
      <c r="LM18" s="350"/>
      <c r="LX18" s="348" t="s">
        <v>895</v>
      </c>
      <c r="LY18" s="361" t="s">
        <v>494</v>
      </c>
      <c r="LZ18" s="361" t="s">
        <v>519</v>
      </c>
      <c r="MA18" s="361"/>
      <c r="MB18" s="354"/>
      <c r="MC18" s="354"/>
      <c r="ME18" s="354"/>
      <c r="MF18" s="354"/>
      <c r="MG18" s="354"/>
      <c r="MH18" s="354"/>
      <c r="NN18" s="348" t="s">
        <v>313</v>
      </c>
      <c r="NO18" s="362" t="s">
        <v>393</v>
      </c>
      <c r="NP18" s="362" t="s">
        <v>390</v>
      </c>
      <c r="NQ18" s="362" t="s">
        <v>390</v>
      </c>
      <c r="NR18" s="362" t="s">
        <v>390</v>
      </c>
      <c r="NS18" s="362" t="s">
        <v>390</v>
      </c>
      <c r="NT18" s="362" t="s">
        <v>390</v>
      </c>
      <c r="NU18" s="362" t="s">
        <v>390</v>
      </c>
      <c r="NV18" s="362" t="s">
        <v>390</v>
      </c>
      <c r="NW18" s="362" t="s">
        <v>390</v>
      </c>
      <c r="NX18" s="362" t="s">
        <v>390</v>
      </c>
      <c r="NY18" s="362" t="s">
        <v>390</v>
      </c>
      <c r="NZ18" s="362"/>
      <c r="OA18" s="353" t="s">
        <v>387</v>
      </c>
      <c r="OB18" s="353" t="s">
        <v>388</v>
      </c>
      <c r="OD18" s="362"/>
      <c r="OE18" s="362"/>
      <c r="OF18" s="362"/>
      <c r="OG18" s="356" t="s">
        <v>390</v>
      </c>
      <c r="PU18" s="353" t="s">
        <v>1468</v>
      </c>
      <c r="PV18" s="353" t="str">
        <f t="shared" si="7"/>
        <v>HelperSpringControlNo</v>
      </c>
      <c r="QL18" s="348" t="s">
        <v>322</v>
      </c>
      <c r="QM18" s="348" t="s">
        <v>322</v>
      </c>
      <c r="QN18" s="348" t="s">
        <v>332</v>
      </c>
      <c r="QO18" s="348" t="s">
        <v>332</v>
      </c>
      <c r="QP18" s="348" t="s">
        <v>332</v>
      </c>
      <c r="QQ18" s="348" t="s">
        <v>332</v>
      </c>
      <c r="QR18" s="348" t="s">
        <v>332</v>
      </c>
      <c r="QS18" s="348" t="s">
        <v>332</v>
      </c>
      <c r="QT18" s="348" t="s">
        <v>332</v>
      </c>
      <c r="QU18" s="348" t="s">
        <v>332</v>
      </c>
      <c r="QV18" s="348" t="s">
        <v>332</v>
      </c>
      <c r="QW18" s="348" t="s">
        <v>332</v>
      </c>
      <c r="RB18"/>
      <c r="RU18"/>
      <c r="RV18"/>
      <c r="SE18" s="435" t="s">
        <v>1235</v>
      </c>
      <c r="SF18" s="436" t="s">
        <v>1225</v>
      </c>
      <c r="SG18" s="435" t="s">
        <v>1235</v>
      </c>
      <c r="SH18"/>
      <c r="SI18"/>
      <c r="SJ18"/>
      <c r="SK18"/>
      <c r="SM18"/>
      <c r="SS18" s="348" t="s">
        <v>1242</v>
      </c>
      <c r="TB18"/>
      <c r="TC18"/>
      <c r="TD18"/>
      <c r="TE18"/>
      <c r="TF18"/>
      <c r="TG18"/>
      <c r="TH18"/>
      <c r="TI18"/>
      <c r="TJ18"/>
      <c r="TK18"/>
      <c r="TL18"/>
      <c r="TM18"/>
      <c r="TN18"/>
      <c r="TO18"/>
      <c r="TP18"/>
      <c r="TQ18"/>
      <c r="TR18"/>
      <c r="TS18"/>
      <c r="TT18"/>
      <c r="TU18"/>
      <c r="TV18"/>
      <c r="TW18"/>
      <c r="TX18"/>
      <c r="TY18"/>
      <c r="TZ18"/>
      <c r="UA18"/>
      <c r="UB18"/>
      <c r="UC18" s="435" t="s">
        <v>1279</v>
      </c>
      <c r="UD18" s="436" t="s">
        <v>1282</v>
      </c>
      <c r="UE18"/>
      <c r="UF18"/>
      <c r="UG18"/>
      <c r="UI18"/>
      <c r="UO18" s="356" t="s">
        <v>1287</v>
      </c>
      <c r="UW18" s="348" t="s">
        <v>2128</v>
      </c>
      <c r="UX18" s="348" t="str">
        <f t="shared" ref="UX18:UX25" si="8">$UY$13</f>
        <v>Motor Side Yes</v>
      </c>
      <c r="VD18"/>
      <c r="VL18"/>
      <c r="VM18"/>
      <c r="VN18"/>
      <c r="VO18"/>
      <c r="VP18"/>
      <c r="VQ18"/>
      <c r="WD18"/>
      <c r="XF18" s="436" t="s">
        <v>1282</v>
      </c>
      <c r="XG18" s="435" t="s">
        <v>1279</v>
      </c>
      <c r="XH18" s="435" t="s">
        <v>1979</v>
      </c>
      <c r="XI18" s="356" t="s">
        <v>1287</v>
      </c>
      <c r="XS18"/>
      <c r="XT18"/>
      <c r="XU18"/>
      <c r="XV18"/>
      <c r="XW18"/>
      <c r="XX18"/>
      <c r="XY18"/>
      <c r="XZ18"/>
      <c r="YA18"/>
      <c r="YB18"/>
      <c r="YC18"/>
      <c r="YD18"/>
      <c r="YE18"/>
      <c r="YF18"/>
      <c r="YG18"/>
      <c r="YH18"/>
      <c r="YI18"/>
      <c r="YJ18"/>
      <c r="YK18"/>
      <c r="YL18"/>
      <c r="YM18"/>
      <c r="YN18"/>
      <c r="YO18"/>
      <c r="YP18"/>
      <c r="YQ18"/>
      <c r="YR18"/>
      <c r="ZK18"/>
      <c r="ZL18"/>
      <c r="ZM18"/>
      <c r="ZN18"/>
      <c r="ZO18"/>
    </row>
    <row r="19" spans="12:710" s="348" customFormat="1" ht="15">
      <c r="L19" s="348" t="s">
        <v>122</v>
      </c>
      <c r="M19" s="348">
        <v>839</v>
      </c>
      <c r="N19" s="348" t="s">
        <v>6</v>
      </c>
      <c r="O19" s="348">
        <v>217023</v>
      </c>
      <c r="P19" s="348" t="s">
        <v>12</v>
      </c>
      <c r="Q19" s="348">
        <v>2293</v>
      </c>
      <c r="R19" s="348" t="s">
        <v>95</v>
      </c>
      <c r="S19" s="348" t="s">
        <v>96</v>
      </c>
      <c r="T19" s="348">
        <v>2240</v>
      </c>
      <c r="V19" s="349"/>
      <c r="AA19" s="350" t="s">
        <v>431</v>
      </c>
      <c r="AJ19" s="348" t="s">
        <v>2186</v>
      </c>
      <c r="AN19" s="350"/>
      <c r="AP19" t="s">
        <v>1816</v>
      </c>
      <c r="AW19" s="351"/>
      <c r="BK19" s="348" t="s">
        <v>332</v>
      </c>
      <c r="CS19" s="348" t="s">
        <v>408</v>
      </c>
      <c r="DJ19" s="348" t="s">
        <v>431</v>
      </c>
      <c r="DK19" s="348" t="s">
        <v>431</v>
      </c>
      <c r="DN19" s="352"/>
      <c r="DO19" s="353" t="s">
        <v>502</v>
      </c>
      <c r="DP19" s="353">
        <v>3</v>
      </c>
      <c r="DQ19" s="353">
        <f t="shared" si="5"/>
        <v>2</v>
      </c>
      <c r="DR19" s="354"/>
      <c r="DS19" s="354"/>
      <c r="DT19" s="354"/>
      <c r="DU19" s="354"/>
      <c r="DV19" s="354"/>
      <c r="DW19" s="354"/>
      <c r="DY19" s="354"/>
      <c r="DZ19" s="354"/>
      <c r="EA19" s="354"/>
      <c r="EB19" s="354"/>
      <c r="EC19" s="354"/>
      <c r="ED19" s="354"/>
      <c r="EE19" s="354"/>
      <c r="FF19" s="348" t="s">
        <v>628</v>
      </c>
      <c r="FG19" s="353" t="s">
        <v>300</v>
      </c>
      <c r="FH19" s="357" t="str">
        <f>FG1</f>
        <v>Timber_Hinged_Frame_Type</v>
      </c>
      <c r="FI19" s="358" t="str">
        <f>$FJ$1</f>
        <v>Hinged_Frame_Type</v>
      </c>
      <c r="FJ19" s="358" t="str">
        <f t="shared" ref="FJ19:FL19" si="9">$FJ$1</f>
        <v>Hinged_Frame_Type</v>
      </c>
      <c r="FK19" s="358" t="str">
        <f t="shared" si="9"/>
        <v>Hinged_Frame_Type</v>
      </c>
      <c r="FL19" s="359" t="str">
        <f t="shared" si="9"/>
        <v>Hinged_Frame_Type</v>
      </c>
      <c r="FN19" s="348" t="s">
        <v>320</v>
      </c>
      <c r="FP19" s="348" t="s">
        <v>681</v>
      </c>
      <c r="HX19" s="360" t="s">
        <v>761</v>
      </c>
      <c r="HY19" s="360" t="s">
        <v>761</v>
      </c>
      <c r="LJ19" s="350" t="s">
        <v>503</v>
      </c>
      <c r="LK19" s="350">
        <v>2</v>
      </c>
      <c r="LM19" s="350"/>
      <c r="LX19" s="348" t="s">
        <v>896</v>
      </c>
      <c r="LY19" s="361" t="s">
        <v>927</v>
      </c>
      <c r="LZ19" s="361" t="s">
        <v>522</v>
      </c>
      <c r="MA19" s="361"/>
      <c r="MB19" s="354"/>
      <c r="MC19" s="354"/>
      <c r="ME19" s="354"/>
      <c r="MF19" s="354"/>
      <c r="MG19" s="354"/>
      <c r="MH19" s="354"/>
      <c r="NN19" s="348" t="s">
        <v>332</v>
      </c>
      <c r="NO19" s="362"/>
      <c r="NP19" s="362"/>
      <c r="NQ19" s="362"/>
      <c r="NR19" s="362"/>
      <c r="NS19" s="362"/>
      <c r="NT19" s="362"/>
      <c r="NU19" s="362"/>
      <c r="NV19" s="362"/>
      <c r="NW19" s="362" t="s">
        <v>393</v>
      </c>
      <c r="NX19" s="362" t="s">
        <v>393</v>
      </c>
      <c r="NY19" s="362" t="s">
        <v>393</v>
      </c>
      <c r="NZ19" s="362"/>
      <c r="OA19" s="353" t="s">
        <v>388</v>
      </c>
      <c r="OB19" s="362"/>
      <c r="OD19" s="362"/>
      <c r="OE19" s="362"/>
      <c r="OF19" s="362"/>
      <c r="OG19" s="356" t="s">
        <v>393</v>
      </c>
      <c r="PU19" s="353" t="s">
        <v>1471</v>
      </c>
      <c r="PV19" s="353" t="str">
        <f t="shared" si="7"/>
        <v>HelperSpringControlNo</v>
      </c>
      <c r="QL19" s="348" t="s">
        <v>406</v>
      </c>
      <c r="QM19" s="348" t="s">
        <v>406</v>
      </c>
      <c r="SE19" s="435" t="s">
        <v>1223</v>
      </c>
      <c r="SF19" s="436" t="s">
        <v>1240</v>
      </c>
      <c r="SG19" s="435" t="s">
        <v>1223</v>
      </c>
      <c r="SI19"/>
      <c r="SJ19"/>
      <c r="SK19"/>
      <c r="SS19" s="348" t="s">
        <v>1243</v>
      </c>
      <c r="UC19" s="435" t="s">
        <v>1280</v>
      </c>
      <c r="UD19" s="436" t="s">
        <v>1283</v>
      </c>
      <c r="UE19"/>
      <c r="UF19"/>
      <c r="UG19"/>
      <c r="UO19" s="356" t="s">
        <v>1288</v>
      </c>
      <c r="UW19" s="348" t="s">
        <v>2129</v>
      </c>
      <c r="UX19" s="348" t="str">
        <f t="shared" si="8"/>
        <v>Motor Side Yes</v>
      </c>
      <c r="VD19"/>
      <c r="VL19"/>
      <c r="VM19"/>
      <c r="VN19"/>
      <c r="VO19"/>
      <c r="VP19"/>
      <c r="VQ19"/>
      <c r="WD19"/>
      <c r="XF19" s="436" t="s">
        <v>1283</v>
      </c>
      <c r="XG19" s="435" t="s">
        <v>1280</v>
      </c>
      <c r="XH19" s="435" t="s">
        <v>1980</v>
      </c>
      <c r="XI19" s="356" t="s">
        <v>1288</v>
      </c>
      <c r="ZK19"/>
      <c r="ZL19"/>
      <c r="ZM19"/>
      <c r="ZN19"/>
      <c r="ZO19"/>
    </row>
    <row r="20" spans="12:710" s="348" customFormat="1" ht="15">
      <c r="L20" s="348" t="s">
        <v>63</v>
      </c>
      <c r="M20" s="348">
        <v>847</v>
      </c>
      <c r="N20" s="348" t="s">
        <v>7</v>
      </c>
      <c r="O20" s="348">
        <v>217024</v>
      </c>
      <c r="P20" s="348" t="s">
        <v>13</v>
      </c>
      <c r="Q20" s="348">
        <v>2296</v>
      </c>
      <c r="R20" s="348" t="s">
        <v>98</v>
      </c>
      <c r="S20" s="348" t="s">
        <v>21</v>
      </c>
      <c r="T20" s="348">
        <v>2241</v>
      </c>
      <c r="V20" s="349"/>
      <c r="W20" s="348" t="s">
        <v>1094</v>
      </c>
      <c r="AA20" s="350" t="s">
        <v>249</v>
      </c>
      <c r="AJ20" s="348" t="s">
        <v>26</v>
      </c>
      <c r="AP20" s="210" t="s">
        <v>279</v>
      </c>
      <c r="AQ20" t="s">
        <v>283</v>
      </c>
      <c r="AR20" t="s">
        <v>289</v>
      </c>
      <c r="AW20" s="351"/>
      <c r="BK20" s="356" t="s">
        <v>1526</v>
      </c>
      <c r="CS20" s="348" t="s">
        <v>407</v>
      </c>
      <c r="DJ20" s="348" t="s">
        <v>249</v>
      </c>
      <c r="DK20" s="348" t="s">
        <v>249</v>
      </c>
      <c r="DN20" s="352"/>
      <c r="DO20" s="353" t="s">
        <v>509</v>
      </c>
      <c r="DP20" s="353">
        <v>3</v>
      </c>
      <c r="DQ20" s="353">
        <f t="shared" si="5"/>
        <v>2</v>
      </c>
      <c r="DR20" s="354"/>
      <c r="DS20" s="354"/>
      <c r="DT20" s="354"/>
      <c r="DU20" s="354"/>
      <c r="DV20" s="354"/>
      <c r="DW20" s="354"/>
      <c r="DY20" s="354"/>
      <c r="DZ20" s="354"/>
      <c r="EA20" s="354"/>
      <c r="EB20" s="354"/>
      <c r="EC20" s="354"/>
      <c r="ED20" s="354"/>
      <c r="EE20" s="354"/>
      <c r="FF20" s="348" t="s">
        <v>629</v>
      </c>
      <c r="FG20" s="353" t="s">
        <v>301</v>
      </c>
      <c r="FH20" s="357" t="str">
        <f>FH1</f>
        <v>Timber_Double_Hinged_Frame_Type</v>
      </c>
      <c r="FI20" s="358" t="str">
        <f>$FK$1</f>
        <v>Double_Hinged_Frame_Type</v>
      </c>
      <c r="FJ20" s="358" t="str">
        <f t="shared" ref="FJ20:FL20" si="10">$FK$1</f>
        <v>Double_Hinged_Frame_Type</v>
      </c>
      <c r="FK20" s="358" t="str">
        <f t="shared" si="10"/>
        <v>Double_Hinged_Frame_Type</v>
      </c>
      <c r="FL20" s="359" t="str">
        <f t="shared" si="10"/>
        <v>Double_Hinged_Frame_Type</v>
      </c>
      <c r="FN20" s="348" t="s">
        <v>310</v>
      </c>
      <c r="FP20" s="348" t="s">
        <v>868</v>
      </c>
      <c r="HX20" s="360" t="s">
        <v>762</v>
      </c>
      <c r="HY20" s="360" t="s">
        <v>762</v>
      </c>
      <c r="KV20" s="348" t="s">
        <v>224</v>
      </c>
      <c r="LJ20" s="350" t="s">
        <v>505</v>
      </c>
      <c r="LK20" s="350">
        <v>2</v>
      </c>
      <c r="LM20" s="350"/>
      <c r="LX20" s="348" t="s">
        <v>1002</v>
      </c>
      <c r="LY20" s="361" t="s">
        <v>933</v>
      </c>
      <c r="LZ20" s="361" t="s">
        <v>477</v>
      </c>
      <c r="MA20" s="361"/>
      <c r="MB20" s="354"/>
      <c r="MC20" s="354"/>
      <c r="ME20" s="354"/>
      <c r="MF20" s="354"/>
      <c r="MG20" s="354"/>
      <c r="MH20" s="354"/>
      <c r="NN20" s="356" t="s">
        <v>1526</v>
      </c>
      <c r="NO20" s="351"/>
      <c r="NP20" s="351"/>
      <c r="NQ20" s="351"/>
      <c r="NR20" s="351"/>
      <c r="NS20" s="351"/>
      <c r="NT20" s="351"/>
      <c r="NU20" s="351"/>
      <c r="NV20" s="351"/>
      <c r="NW20" s="351"/>
      <c r="NX20" s="351"/>
      <c r="NY20" s="351"/>
      <c r="NZ20" s="351"/>
      <c r="OA20" s="351"/>
      <c r="OB20" s="351"/>
      <c r="OD20" s="351"/>
      <c r="OE20" s="351"/>
      <c r="OF20" s="351"/>
      <c r="PU20" s="353" t="s">
        <v>1472</v>
      </c>
      <c r="PV20" s="353" t="str">
        <f t="shared" si="7"/>
        <v>HelperSpringControlNo</v>
      </c>
      <c r="QL20" s="348" t="s">
        <v>377</v>
      </c>
      <c r="QM20" s="348" t="s">
        <v>377</v>
      </c>
      <c r="RU20" s="348" t="s">
        <v>1181</v>
      </c>
      <c r="SE20" s="435" t="s">
        <v>1238</v>
      </c>
      <c r="SF20" s="436" t="s">
        <v>1244</v>
      </c>
      <c r="SG20" s="435" t="s">
        <v>1236</v>
      </c>
      <c r="SI20"/>
      <c r="SJ20"/>
      <c r="SK20"/>
      <c r="SS20" s="348" t="s">
        <v>1245</v>
      </c>
      <c r="UC20" s="435" t="s">
        <v>1330</v>
      </c>
      <c r="UD20" s="436" t="s">
        <v>1334</v>
      </c>
      <c r="UE20"/>
      <c r="UF20"/>
      <c r="UG20"/>
      <c r="UO20" s="356" t="s">
        <v>1289</v>
      </c>
      <c r="UW20" s="348" t="s">
        <v>2130</v>
      </c>
      <c r="UX20" s="348" t="str">
        <f t="shared" si="8"/>
        <v>Motor Side Yes</v>
      </c>
      <c r="VD20"/>
      <c r="VL20"/>
      <c r="VM20"/>
      <c r="VN20"/>
      <c r="VO20"/>
      <c r="VP20"/>
      <c r="VQ20"/>
      <c r="WD20"/>
      <c r="XF20" s="436" t="s">
        <v>1334</v>
      </c>
      <c r="XG20" s="435" t="s">
        <v>1330</v>
      </c>
      <c r="XH20" s="435" t="s">
        <v>2216</v>
      </c>
      <c r="XI20" s="356" t="s">
        <v>1289</v>
      </c>
    </row>
    <row r="21" spans="12:710" s="348" customFormat="1" ht="15">
      <c r="L21" s="348" t="s">
        <v>65</v>
      </c>
      <c r="M21" s="348">
        <v>21</v>
      </c>
      <c r="N21" s="348" t="s">
        <v>2</v>
      </c>
      <c r="O21" s="348">
        <v>216811</v>
      </c>
      <c r="P21" s="348" t="s">
        <v>14</v>
      </c>
      <c r="Q21" s="348">
        <v>2298</v>
      </c>
      <c r="R21" s="348" t="s">
        <v>100</v>
      </c>
      <c r="S21" s="348" t="s">
        <v>27</v>
      </c>
      <c r="T21" s="348">
        <v>2070</v>
      </c>
      <c r="V21" s="349"/>
      <c r="W21" s="348" t="s">
        <v>1131</v>
      </c>
      <c r="AA21" s="350" t="s">
        <v>439</v>
      </c>
      <c r="AP21" t="s">
        <v>1817</v>
      </c>
      <c r="AQ21" t="s">
        <v>282</v>
      </c>
      <c r="AR21" t="s">
        <v>290</v>
      </c>
      <c r="AW21" s="351"/>
      <c r="CS21" s="348" t="s">
        <v>330</v>
      </c>
      <c r="DJ21" s="348" t="s">
        <v>439</v>
      </c>
      <c r="DK21" s="348" t="s">
        <v>439</v>
      </c>
      <c r="DN21" s="352"/>
      <c r="DO21" s="353" t="s">
        <v>503</v>
      </c>
      <c r="DP21" s="353">
        <v>3</v>
      </c>
      <c r="DQ21" s="353">
        <f t="shared" si="5"/>
        <v>2</v>
      </c>
      <c r="DR21" s="354"/>
      <c r="DS21" s="354"/>
      <c r="DT21" s="354"/>
      <c r="DU21" s="354"/>
      <c r="DV21" s="354"/>
      <c r="DW21" s="354"/>
      <c r="DY21" s="354"/>
      <c r="DZ21" s="354"/>
      <c r="EA21" s="354"/>
      <c r="EB21" s="354"/>
      <c r="EC21" s="354"/>
      <c r="ED21" s="354"/>
      <c r="EE21" s="354"/>
      <c r="FF21" s="348" t="s">
        <v>630</v>
      </c>
      <c r="FG21" s="353" t="s">
        <v>302</v>
      </c>
      <c r="FH21" s="357" t="str">
        <f>$FL$1</f>
        <v>Track_Bi_Fold_Frame_Type</v>
      </c>
      <c r="FI21" s="358" t="str">
        <f>$FL$1</f>
        <v>Track_Bi_Fold_Frame_Type</v>
      </c>
      <c r="FJ21" s="358" t="str">
        <f>$FL$1</f>
        <v>Track_Bi_Fold_Frame_Type</v>
      </c>
      <c r="FK21" s="358" t="str">
        <f>$FL$1</f>
        <v>Track_Bi_Fold_Frame_Type</v>
      </c>
      <c r="FL21" s="359" t="str">
        <f>$FL$1</f>
        <v>Track_Bi_Fold_Frame_Type</v>
      </c>
      <c r="FN21" s="348" t="s">
        <v>309</v>
      </c>
      <c r="FP21" s="348" t="s">
        <v>682</v>
      </c>
      <c r="HX21" s="360" t="s">
        <v>1497</v>
      </c>
      <c r="HY21" s="360" t="s">
        <v>1497</v>
      </c>
      <c r="KV21" s="348" t="s">
        <v>26</v>
      </c>
      <c r="LJ21" s="350" t="s">
        <v>515</v>
      </c>
      <c r="LK21" s="350">
        <v>3</v>
      </c>
      <c r="LM21" s="350"/>
      <c r="LX21" s="348" t="s">
        <v>1003</v>
      </c>
      <c r="LY21" s="361" t="s">
        <v>495</v>
      </c>
      <c r="LZ21" s="361" t="s">
        <v>523</v>
      </c>
      <c r="MA21" s="361"/>
      <c r="MB21" s="354"/>
      <c r="MC21" s="354"/>
      <c r="ME21" s="354"/>
      <c r="MF21" s="354"/>
      <c r="MG21" s="354"/>
      <c r="MH21" s="354"/>
      <c r="NO21" s="351"/>
      <c r="NP21" s="351"/>
      <c r="NQ21" s="351"/>
      <c r="NR21" s="351"/>
      <c r="NS21" s="351"/>
      <c r="NT21" s="351"/>
      <c r="NU21" s="351"/>
      <c r="NV21" s="351"/>
      <c r="NW21" s="351"/>
      <c r="NX21" s="351"/>
      <c r="NY21" s="351"/>
      <c r="NZ21" s="351"/>
      <c r="OA21" s="351"/>
      <c r="OB21" s="351"/>
      <c r="OD21" s="351"/>
      <c r="OE21" s="351"/>
      <c r="OF21" s="351"/>
      <c r="PU21" s="348" t="s">
        <v>1500</v>
      </c>
      <c r="PV21" s="348" t="s">
        <v>1437</v>
      </c>
      <c r="QL21" s="348" t="s">
        <v>1435</v>
      </c>
      <c r="QM21" s="348" t="s">
        <v>1435</v>
      </c>
      <c r="RU21" s="348" t="s">
        <v>1202</v>
      </c>
      <c r="SE21" s="435" t="s">
        <v>1236</v>
      </c>
      <c r="SF21" s="436" t="s">
        <v>1229</v>
      </c>
      <c r="SG21" s="435" t="s">
        <v>1228</v>
      </c>
      <c r="SI21"/>
      <c r="SJ21"/>
      <c r="SK21"/>
      <c r="SS21" s="348" t="s">
        <v>1246</v>
      </c>
      <c r="UC21" s="435" t="s">
        <v>1331</v>
      </c>
      <c r="UD21" s="436" t="s">
        <v>1284</v>
      </c>
      <c r="UE21"/>
      <c r="UF21"/>
      <c r="UG21"/>
      <c r="UO21" s="356" t="s">
        <v>1290</v>
      </c>
      <c r="UW21" s="348" t="s">
        <v>2131</v>
      </c>
      <c r="UX21" s="348" t="str">
        <f t="shared" si="8"/>
        <v>Motor Side Yes</v>
      </c>
      <c r="VD21"/>
      <c r="WD21"/>
      <c r="XF21" s="436" t="s">
        <v>1284</v>
      </c>
      <c r="XG21" s="435" t="s">
        <v>1331</v>
      </c>
      <c r="XH21" s="435" t="s">
        <v>2217</v>
      </c>
      <c r="XI21" s="356" t="s">
        <v>1290</v>
      </c>
    </row>
    <row r="22" spans="12:710" s="348" customFormat="1" ht="15">
      <c r="L22" s="348" t="s">
        <v>67</v>
      </c>
      <c r="M22" s="348">
        <v>22</v>
      </c>
      <c r="N22" s="348" t="s">
        <v>3</v>
      </c>
      <c r="O22" s="348">
        <v>216812</v>
      </c>
      <c r="P22" s="348" t="s">
        <v>16</v>
      </c>
      <c r="Q22" s="348">
        <v>2312</v>
      </c>
      <c r="R22" s="348" t="s">
        <v>104</v>
      </c>
      <c r="S22" s="348" t="s">
        <v>20</v>
      </c>
      <c r="T22" s="348">
        <v>2071</v>
      </c>
      <c r="V22" s="349"/>
      <c r="W22" s="348" t="s">
        <v>1140</v>
      </c>
      <c r="AA22" s="350" t="s">
        <v>430</v>
      </c>
      <c r="AP22" t="s">
        <v>280</v>
      </c>
      <c r="AQ22" t="s">
        <v>284</v>
      </c>
      <c r="AR22" t="s">
        <v>228</v>
      </c>
      <c r="AW22" s="351"/>
      <c r="CS22" s="348" t="s">
        <v>322</v>
      </c>
      <c r="DJ22" s="348" t="s">
        <v>430</v>
      </c>
      <c r="DK22" s="348" t="s">
        <v>430</v>
      </c>
      <c r="DN22" s="352"/>
      <c r="DO22" s="353" t="s">
        <v>505</v>
      </c>
      <c r="DP22" s="353">
        <v>3</v>
      </c>
      <c r="DQ22" s="353">
        <f t="shared" si="5"/>
        <v>2</v>
      </c>
      <c r="DR22" s="354"/>
      <c r="DS22" s="354"/>
      <c r="DT22" s="354"/>
      <c r="DU22" s="354"/>
      <c r="DV22" s="354"/>
      <c r="DW22" s="354"/>
      <c r="DY22" s="354"/>
      <c r="DZ22" s="354"/>
      <c r="EA22" s="354"/>
      <c r="EB22" s="354"/>
      <c r="EC22" s="354"/>
      <c r="ED22" s="354"/>
      <c r="EE22" s="354"/>
      <c r="FF22" s="348" t="s">
        <v>631</v>
      </c>
      <c r="FG22" s="353" t="s">
        <v>303</v>
      </c>
      <c r="FH22" s="357" t="str">
        <f>$FM$1</f>
        <v>Sliding_Frame_Type</v>
      </c>
      <c r="FI22" s="358" t="str">
        <f t="shared" ref="FI22:FL22" si="11">$FM$1</f>
        <v>Sliding_Frame_Type</v>
      </c>
      <c r="FJ22" s="358" t="str">
        <f t="shared" si="11"/>
        <v>Sliding_Frame_Type</v>
      </c>
      <c r="FK22" s="358" t="str">
        <f t="shared" si="11"/>
        <v>Sliding_Frame_Type</v>
      </c>
      <c r="FL22" s="359" t="str">
        <f t="shared" si="11"/>
        <v>Sliding_Frame_Type</v>
      </c>
      <c r="FN22" s="348" t="s">
        <v>311</v>
      </c>
      <c r="FP22" s="348" t="s">
        <v>683</v>
      </c>
      <c r="HX22" s="360" t="s">
        <v>768</v>
      </c>
      <c r="HY22" s="360" t="s">
        <v>768</v>
      </c>
      <c r="KV22" s="348" t="s">
        <v>344</v>
      </c>
      <c r="LJ22" s="350" t="s">
        <v>501</v>
      </c>
      <c r="LK22" s="350">
        <v>5</v>
      </c>
      <c r="LM22" s="350"/>
      <c r="LX22" s="348" t="s">
        <v>1005</v>
      </c>
      <c r="LY22" s="361" t="s">
        <v>513</v>
      </c>
      <c r="LZ22" s="361" t="s">
        <v>478</v>
      </c>
      <c r="MA22" s="361"/>
      <c r="MB22" s="354"/>
      <c r="MC22" s="354"/>
      <c r="ME22" s="354"/>
      <c r="MF22" s="354"/>
      <c r="MG22" s="354"/>
      <c r="MH22" s="354"/>
      <c r="NN22" s="348" t="s">
        <v>303</v>
      </c>
      <c r="NO22" s="351"/>
      <c r="NP22" s="351"/>
      <c r="NQ22" s="351"/>
      <c r="NR22" s="351"/>
      <c r="NS22" s="351"/>
      <c r="NT22" s="351"/>
      <c r="NU22" s="351"/>
      <c r="NV22" s="351"/>
      <c r="NW22" s="351"/>
      <c r="NX22" s="351"/>
      <c r="NY22" s="351"/>
      <c r="NZ22" s="351"/>
      <c r="OA22" s="351"/>
      <c r="OB22" s="351"/>
      <c r="OD22" s="351"/>
      <c r="OE22" s="351"/>
      <c r="OF22" s="351"/>
      <c r="PU22" s="348" t="s">
        <v>1501</v>
      </c>
      <c r="PV22" s="348" t="s">
        <v>1437</v>
      </c>
      <c r="QL22" s="348" t="s">
        <v>326</v>
      </c>
      <c r="QM22" s="348" t="s">
        <v>326</v>
      </c>
      <c r="RU22" s="348" t="s">
        <v>1182</v>
      </c>
      <c r="SE22" s="435" t="s">
        <v>1228</v>
      </c>
      <c r="SF22" s="436" t="s">
        <v>1227</v>
      </c>
      <c r="SG22" s="435" t="s">
        <v>2002</v>
      </c>
      <c r="SI22"/>
      <c r="SJ22"/>
      <c r="SK22"/>
      <c r="UC22" s="435" t="s">
        <v>1332</v>
      </c>
      <c r="UD22" s="436" t="s">
        <v>1285</v>
      </c>
      <c r="UE22"/>
      <c r="UF22"/>
      <c r="UG22"/>
      <c r="UW22" s="348" t="s">
        <v>2132</v>
      </c>
      <c r="UX22" s="348" t="str">
        <f t="shared" si="8"/>
        <v>Motor Side Yes</v>
      </c>
      <c r="VD22" s="348" t="s">
        <v>2052</v>
      </c>
      <c r="WD22"/>
      <c r="XF22" s="436" t="s">
        <v>1285</v>
      </c>
      <c r="XG22" s="435" t="s">
        <v>1332</v>
      </c>
      <c r="XH22" s="435" t="s">
        <v>1981</v>
      </c>
    </row>
    <row r="23" spans="12:710" s="348" customFormat="1" ht="15">
      <c r="L23" s="348" t="s">
        <v>70</v>
      </c>
      <c r="M23" s="348">
        <v>23</v>
      </c>
      <c r="N23" s="348" t="s">
        <v>8</v>
      </c>
      <c r="O23" s="348">
        <v>216922</v>
      </c>
      <c r="P23" s="348" t="s">
        <v>15</v>
      </c>
      <c r="Q23" s="348">
        <v>2316</v>
      </c>
      <c r="R23" s="348" t="s">
        <v>102</v>
      </c>
      <c r="S23" s="348" t="s">
        <v>28</v>
      </c>
      <c r="T23" s="348">
        <v>2074</v>
      </c>
      <c r="V23" s="349"/>
      <c r="W23" s="348" t="s">
        <v>1091</v>
      </c>
      <c r="AQ23" t="s">
        <v>285</v>
      </c>
      <c r="AR23" t="s">
        <v>291</v>
      </c>
      <c r="AW23" s="351"/>
      <c r="CS23" s="348" t="s">
        <v>406</v>
      </c>
      <c r="DN23" s="352"/>
      <c r="DO23" s="353" t="s">
        <v>515</v>
      </c>
      <c r="DP23" s="353">
        <v>6</v>
      </c>
      <c r="DQ23" s="353">
        <f t="shared" si="5"/>
        <v>3</v>
      </c>
      <c r="DR23" s="354"/>
      <c r="DS23" s="354"/>
      <c r="DT23" s="354"/>
      <c r="DU23" s="354"/>
      <c r="DV23" s="354"/>
      <c r="DW23" s="354"/>
      <c r="DY23" s="354"/>
      <c r="DZ23" s="354"/>
      <c r="EA23" s="354"/>
      <c r="EB23" s="354"/>
      <c r="EC23" s="354"/>
      <c r="ED23" s="354"/>
      <c r="EE23" s="354"/>
      <c r="FF23" s="348" t="s">
        <v>632</v>
      </c>
      <c r="FG23" s="353" t="s">
        <v>304</v>
      </c>
      <c r="FH23" s="357" t="str">
        <f>$FN$1</f>
        <v>Fixed_Frame_Type</v>
      </c>
      <c r="FI23" s="358" t="str">
        <f t="shared" ref="FI23:FL23" si="12">$FN$1</f>
        <v>Fixed_Frame_Type</v>
      </c>
      <c r="FJ23" s="358" t="str">
        <f t="shared" si="12"/>
        <v>Fixed_Frame_Type</v>
      </c>
      <c r="FK23" s="358" t="str">
        <f t="shared" si="12"/>
        <v>Fixed_Frame_Type</v>
      </c>
      <c r="FL23" s="359" t="str">
        <f t="shared" si="12"/>
        <v>Fixed_Frame_Type</v>
      </c>
      <c r="FP23" s="348" t="s">
        <v>684</v>
      </c>
      <c r="HX23" s="360" t="s">
        <v>763</v>
      </c>
      <c r="HY23" s="360" t="s">
        <v>763</v>
      </c>
      <c r="KV23" s="348" t="s">
        <v>345</v>
      </c>
      <c r="LJ23" s="350" t="s">
        <v>484</v>
      </c>
      <c r="LK23" s="350">
        <v>0</v>
      </c>
      <c r="LM23" s="350"/>
      <c r="LX23" s="348" t="s">
        <v>1006</v>
      </c>
      <c r="LY23" s="361" t="s">
        <v>506</v>
      </c>
      <c r="LZ23" s="361" t="s">
        <v>524</v>
      </c>
      <c r="MA23" s="361"/>
      <c r="MB23" s="354"/>
      <c r="MC23" s="354"/>
      <c r="ME23" s="354"/>
      <c r="MF23" s="354"/>
      <c r="MG23" s="354"/>
      <c r="MH23" s="354"/>
      <c r="NN23" s="348" t="s">
        <v>302</v>
      </c>
      <c r="NO23" s="351"/>
      <c r="NP23" s="351"/>
      <c r="NQ23" s="351"/>
      <c r="NR23" s="351"/>
      <c r="NS23" s="351"/>
      <c r="NT23" s="351"/>
      <c r="NU23" s="351"/>
      <c r="NV23" s="351"/>
      <c r="NW23" s="351"/>
      <c r="NX23" s="351"/>
      <c r="NY23" s="351"/>
      <c r="NZ23" s="351"/>
      <c r="OA23" s="351"/>
      <c r="OB23" s="351"/>
      <c r="OD23" s="351"/>
      <c r="OE23" s="351"/>
      <c r="OF23" s="351"/>
      <c r="RU23" s="348" t="s">
        <v>1204</v>
      </c>
      <c r="SE23" s="435" t="s">
        <v>1993</v>
      </c>
      <c r="SF23" s="436" t="s">
        <v>1247</v>
      </c>
      <c r="SG23" s="435" t="s">
        <v>1239</v>
      </c>
      <c r="UC23" s="435" t="s">
        <v>2009</v>
      </c>
      <c r="UD23" s="436" t="s">
        <v>1335</v>
      </c>
      <c r="UW23" s="348" t="s">
        <v>2133</v>
      </c>
      <c r="UX23" s="348" t="str">
        <f t="shared" si="8"/>
        <v>Motor Side Yes</v>
      </c>
      <c r="VD23" s="348" t="s">
        <v>2128</v>
      </c>
      <c r="XF23" s="436" t="s">
        <v>1335</v>
      </c>
      <c r="XG23" s="435" t="s">
        <v>2009</v>
      </c>
      <c r="XH23" s="435" t="s">
        <v>1982</v>
      </c>
    </row>
    <row r="24" spans="12:710" s="348" customFormat="1" ht="15">
      <c r="L24" s="348" t="s">
        <v>72</v>
      </c>
      <c r="M24" s="348">
        <v>24</v>
      </c>
      <c r="N24" s="348" t="s">
        <v>4</v>
      </c>
      <c r="O24" s="348">
        <v>216965</v>
      </c>
      <c r="P24" s="348" t="s">
        <v>9</v>
      </c>
      <c r="Q24" s="348">
        <v>2300</v>
      </c>
      <c r="R24" s="348" t="s">
        <v>105</v>
      </c>
      <c r="S24" s="348" t="s">
        <v>21</v>
      </c>
      <c r="T24" s="348">
        <v>2075</v>
      </c>
      <c r="V24" s="349"/>
      <c r="W24" s="348" t="s">
        <v>212</v>
      </c>
      <c r="AQ24" t="s">
        <v>286</v>
      </c>
      <c r="AR24" t="s">
        <v>292</v>
      </c>
      <c r="AW24" s="351"/>
      <c r="BA24" s="360" t="s">
        <v>1776</v>
      </c>
      <c r="BB24" s="360" t="s">
        <v>1778</v>
      </c>
      <c r="BC24" s="348" t="s">
        <v>1807</v>
      </c>
      <c r="BD24" s="348" t="s">
        <v>554</v>
      </c>
      <c r="BI24" s="348" t="s">
        <v>300</v>
      </c>
      <c r="BJ24" s="348" t="str">
        <f>BM2</f>
        <v>Hinge</v>
      </c>
      <c r="DN24" s="352"/>
      <c r="DO24" s="353" t="s">
        <v>501</v>
      </c>
      <c r="DP24" s="353">
        <v>8</v>
      </c>
      <c r="DQ24" s="353">
        <f t="shared" si="5"/>
        <v>5</v>
      </c>
      <c r="DR24" s="354"/>
      <c r="DS24" s="354"/>
      <c r="DT24" s="354"/>
      <c r="DU24" s="354"/>
      <c r="DV24" s="354"/>
      <c r="DW24" s="354"/>
      <c r="DY24" s="354"/>
      <c r="DZ24" s="354"/>
      <c r="EA24" s="354"/>
      <c r="EB24" s="354"/>
      <c r="EC24" s="354"/>
      <c r="ED24" s="354"/>
      <c r="EE24" s="354"/>
      <c r="EM24" t="s">
        <v>605</v>
      </c>
      <c r="EN24" t="s">
        <v>605</v>
      </c>
      <c r="EO24" t="s">
        <v>605</v>
      </c>
      <c r="FF24" s="348" t="s">
        <v>633</v>
      </c>
      <c r="FG24" s="353" t="s">
        <v>332</v>
      </c>
      <c r="FH24" s="357" t="str">
        <f>$FO$1</f>
        <v>NAFrameType</v>
      </c>
      <c r="FI24" s="358" t="str">
        <f t="shared" ref="FI24:FL24" si="13">$FO$1</f>
        <v>NAFrameType</v>
      </c>
      <c r="FJ24" s="358" t="str">
        <f t="shared" si="13"/>
        <v>NAFrameType</v>
      </c>
      <c r="FK24" s="358" t="str">
        <f t="shared" si="13"/>
        <v>NAFrameType</v>
      </c>
      <c r="FL24" s="359" t="str">
        <f t="shared" si="13"/>
        <v>NAFrameType</v>
      </c>
      <c r="FP24" s="348" t="s">
        <v>685</v>
      </c>
      <c r="HX24" s="360" t="s">
        <v>764</v>
      </c>
      <c r="HY24" s="360" t="s">
        <v>764</v>
      </c>
      <c r="KV24" s="348" t="s">
        <v>346</v>
      </c>
      <c r="LJ24" s="350" t="s">
        <v>506</v>
      </c>
      <c r="LK24" s="350">
        <v>0</v>
      </c>
      <c r="LM24" s="350"/>
      <c r="LX24" s="348" t="s">
        <v>1013</v>
      </c>
      <c r="LY24" s="361" t="s">
        <v>925</v>
      </c>
      <c r="LZ24" s="361" t="s">
        <v>520</v>
      </c>
      <c r="MA24" s="361"/>
      <c r="MB24" s="354"/>
      <c r="MC24" s="354"/>
      <c r="ME24" s="354"/>
      <c r="MF24" s="354"/>
      <c r="MG24" s="354"/>
      <c r="MH24" s="354"/>
      <c r="NN24" s="348" t="s">
        <v>998</v>
      </c>
      <c r="NO24" s="351"/>
      <c r="NP24" s="351"/>
      <c r="NQ24" s="351"/>
      <c r="NR24" s="351"/>
      <c r="NS24" s="351"/>
      <c r="NT24" s="351"/>
      <c r="NU24" s="351"/>
      <c r="NV24" s="351"/>
      <c r="NW24" s="351"/>
      <c r="NX24" s="351"/>
      <c r="NY24" s="351"/>
      <c r="NZ24" s="351"/>
      <c r="OA24" s="351"/>
      <c r="OB24" s="351"/>
      <c r="OD24" s="351"/>
      <c r="OE24" s="351"/>
      <c r="OF24" s="351"/>
      <c r="RU24" s="348" t="s">
        <v>1203</v>
      </c>
      <c r="SE24" s="435" t="s">
        <v>1239</v>
      </c>
      <c r="SF24" s="436" t="s">
        <v>1242</v>
      </c>
      <c r="SG24" s="435" t="s">
        <v>1225</v>
      </c>
      <c r="UC24" s="435" t="s">
        <v>1333</v>
      </c>
      <c r="UD24" s="436" t="s">
        <v>1287</v>
      </c>
      <c r="UV24" s="348" t="s">
        <v>1811</v>
      </c>
      <c r="UW24" s="348" t="s">
        <v>2134</v>
      </c>
      <c r="UX24" s="348" t="str">
        <f t="shared" si="8"/>
        <v>Motor Side Yes</v>
      </c>
      <c r="VD24" s="348" t="s">
        <v>2131</v>
      </c>
      <c r="XF24" s="436" t="s">
        <v>1287</v>
      </c>
      <c r="XG24" s="435" t="s">
        <v>1333</v>
      </c>
      <c r="XH24" s="435" t="s">
        <v>1983</v>
      </c>
    </row>
    <row r="25" spans="12:710" s="348" customFormat="1" ht="15">
      <c r="L25" s="348" t="s">
        <v>99</v>
      </c>
      <c r="M25" s="348">
        <v>26</v>
      </c>
      <c r="N25" s="348" t="s">
        <v>5</v>
      </c>
      <c r="O25" s="348">
        <v>216966</v>
      </c>
      <c r="P25" s="348" t="s">
        <v>10</v>
      </c>
      <c r="Q25" s="348">
        <v>2301</v>
      </c>
      <c r="R25" s="348" t="s">
        <v>106</v>
      </c>
      <c r="S25" s="348" t="s">
        <v>22</v>
      </c>
      <c r="T25" s="348">
        <v>2076</v>
      </c>
      <c r="V25" s="363"/>
      <c r="W25" s="348" t="s">
        <v>213</v>
      </c>
      <c r="AN25" s="348" t="s">
        <v>253</v>
      </c>
      <c r="AQ25" t="s">
        <v>287</v>
      </c>
      <c r="AR25" t="s">
        <v>293</v>
      </c>
      <c r="AW25" s="351"/>
      <c r="BA25" s="341" t="s">
        <v>1792</v>
      </c>
      <c r="BB25" s="327" t="s">
        <v>1791</v>
      </c>
      <c r="BC25" s="348" t="s">
        <v>1808</v>
      </c>
      <c r="BD25" s="348" t="s">
        <v>563</v>
      </c>
      <c r="BI25" s="348" t="s">
        <v>301</v>
      </c>
      <c r="BJ25" s="348" t="str">
        <f>BM2</f>
        <v>Hinge</v>
      </c>
      <c r="DN25" s="352"/>
      <c r="DO25" s="353" t="s">
        <v>484</v>
      </c>
      <c r="DP25" s="353">
        <v>2</v>
      </c>
      <c r="DQ25" s="353">
        <f t="shared" si="5"/>
        <v>0</v>
      </c>
      <c r="DR25" s="354"/>
      <c r="DS25" s="354"/>
      <c r="DT25" s="354"/>
      <c r="DU25" s="354"/>
      <c r="DV25" s="354"/>
      <c r="DW25" s="354"/>
      <c r="DY25" s="354"/>
      <c r="DZ25" s="354"/>
      <c r="EA25" s="354"/>
      <c r="EB25" s="354"/>
      <c r="EC25" s="354"/>
      <c r="ED25" s="354"/>
      <c r="EE25" s="354"/>
      <c r="EM25" t="s">
        <v>600</v>
      </c>
      <c r="EN25" t="s">
        <v>600</v>
      </c>
      <c r="EO25" t="s">
        <v>600</v>
      </c>
      <c r="FF25" s="348" t="s">
        <v>317</v>
      </c>
      <c r="FG25" s="353" t="s">
        <v>998</v>
      </c>
      <c r="FH25" s="357" t="str">
        <f>$FI$1</f>
        <v>Pivot_Hinged_Frame_Type</v>
      </c>
      <c r="FI25" s="358" t="str">
        <f t="shared" ref="FI25:FL25" si="14">$FI$1</f>
        <v>Pivot_Hinged_Frame_Type</v>
      </c>
      <c r="FJ25" s="358" t="str">
        <f t="shared" si="14"/>
        <v>Pivot_Hinged_Frame_Type</v>
      </c>
      <c r="FK25" s="358" t="str">
        <f t="shared" si="14"/>
        <v>Pivot_Hinged_Frame_Type</v>
      </c>
      <c r="FL25" s="359" t="str">
        <f t="shared" si="14"/>
        <v>Pivot_Hinged_Frame_Type</v>
      </c>
      <c r="FP25" s="348" t="s">
        <v>686</v>
      </c>
      <c r="HX25" s="360" t="s">
        <v>765</v>
      </c>
      <c r="HY25" s="360" t="s">
        <v>765</v>
      </c>
      <c r="KV25" s="348" t="s">
        <v>347</v>
      </c>
      <c r="LJ25" s="350" t="s">
        <v>491</v>
      </c>
      <c r="LK25" s="350">
        <v>0</v>
      </c>
      <c r="LM25" s="350"/>
      <c r="LX25" s="348" t="s">
        <v>1014</v>
      </c>
      <c r="LY25" s="361" t="s">
        <v>924</v>
      </c>
      <c r="LZ25" s="361"/>
      <c r="MA25" s="354"/>
      <c r="MB25" s="354"/>
      <c r="MC25" s="354"/>
      <c r="ME25" s="354"/>
      <c r="MF25" s="354"/>
      <c r="MG25" s="354"/>
      <c r="MH25" s="354"/>
      <c r="NO25" s="351"/>
      <c r="NP25" s="351"/>
      <c r="NQ25" s="351"/>
      <c r="NR25" s="351"/>
      <c r="NS25" s="351"/>
      <c r="NT25" s="351"/>
      <c r="NU25" s="351"/>
      <c r="NV25" s="351"/>
      <c r="NW25" s="351"/>
      <c r="NX25" s="351"/>
      <c r="NY25" s="351"/>
      <c r="NZ25" s="351"/>
      <c r="OA25" s="351"/>
      <c r="OB25" s="351"/>
      <c r="OD25" s="351"/>
      <c r="OE25" s="351"/>
      <c r="OF25" s="351"/>
      <c r="RU25" s="348" t="s">
        <v>1205</v>
      </c>
      <c r="SE25" s="436" t="s">
        <v>1225</v>
      </c>
      <c r="SF25" s="436" t="s">
        <v>1248</v>
      </c>
      <c r="SG25" s="435" t="s">
        <v>1229</v>
      </c>
      <c r="UC25" s="436" t="s">
        <v>1282</v>
      </c>
      <c r="UD25" s="436" t="s">
        <v>1336</v>
      </c>
      <c r="UV25" s="348" t="s">
        <v>1812</v>
      </c>
      <c r="UW25" s="348" t="s">
        <v>2135</v>
      </c>
      <c r="UX25" s="348" t="str">
        <f t="shared" si="8"/>
        <v>Motor Side Yes</v>
      </c>
      <c r="VD25" s="348" t="s">
        <v>2130</v>
      </c>
      <c r="VY25" t="s">
        <v>2043</v>
      </c>
      <c r="VZ25" t="s">
        <v>2044</v>
      </c>
      <c r="WA25" t="s">
        <v>2045</v>
      </c>
      <c r="WJ25" s="348" t="s">
        <v>2040</v>
      </c>
      <c r="WK25" s="348" t="s">
        <v>2041</v>
      </c>
      <c r="WL25" s="348" t="s">
        <v>2042</v>
      </c>
      <c r="WU25" s="348" t="s">
        <v>2037</v>
      </c>
      <c r="WV25" s="348" t="s">
        <v>2038</v>
      </c>
      <c r="WW25" s="348" t="s">
        <v>2039</v>
      </c>
      <c r="XF25" s="436" t="s">
        <v>1336</v>
      </c>
      <c r="XG25" s="436" t="s">
        <v>1282</v>
      </c>
      <c r="XH25" s="435" t="s">
        <v>2218</v>
      </c>
      <c r="AAC25" t="s">
        <v>2136</v>
      </c>
      <c r="AAD25" s="199" t="s">
        <v>1404</v>
      </c>
      <c r="AAE25" s="199" t="s">
        <v>2335</v>
      </c>
      <c r="AAF25" s="199" t="s">
        <v>2336</v>
      </c>
      <c r="AAG25" s="199" t="s">
        <v>2337</v>
      </c>
      <c r="AAH25" s="199" t="s">
        <v>2338</v>
      </c>
    </row>
    <row r="26" spans="12:710" ht="15">
      <c r="L26" t="s">
        <v>101</v>
      </c>
      <c r="M26">
        <v>27</v>
      </c>
      <c r="N26" t="s">
        <v>6</v>
      </c>
      <c r="O26">
        <v>216967</v>
      </c>
      <c r="P26" t="s">
        <v>11</v>
      </c>
      <c r="Q26">
        <v>2302</v>
      </c>
      <c r="R26" t="s">
        <v>107</v>
      </c>
      <c r="S26" t="s">
        <v>69</v>
      </c>
      <c r="T26">
        <v>2077</v>
      </c>
      <c r="V26" s="1"/>
      <c r="W26" t="s">
        <v>1092</v>
      </c>
      <c r="AN26" t="s">
        <v>266</v>
      </c>
      <c r="AR26" t="s">
        <v>294</v>
      </c>
      <c r="AW26" s="36"/>
      <c r="BA26" s="341" t="s">
        <v>997</v>
      </c>
      <c r="BB26" s="327" t="s">
        <v>1788</v>
      </c>
      <c r="BC26" t="s">
        <v>1809</v>
      </c>
      <c r="BD26" t="s">
        <v>81</v>
      </c>
      <c r="BI26" t="s">
        <v>302</v>
      </c>
      <c r="BJ26" t="str">
        <f>BM2</f>
        <v>Hinge</v>
      </c>
      <c r="DN26" s="106"/>
      <c r="DO26" s="199" t="s">
        <v>506</v>
      </c>
      <c r="DP26" s="199">
        <v>2</v>
      </c>
      <c r="DQ26" s="199">
        <f t="shared" si="5"/>
        <v>0</v>
      </c>
      <c r="FF26" t="s">
        <v>634</v>
      </c>
      <c r="FP26" t="s">
        <v>687</v>
      </c>
      <c r="HX26" s="327" t="s">
        <v>1786</v>
      </c>
      <c r="KV26" t="s">
        <v>348</v>
      </c>
      <c r="LJ26" t="s">
        <v>495</v>
      </c>
      <c r="LK26">
        <v>0</v>
      </c>
      <c r="LX26" s="186" t="s">
        <v>1019</v>
      </c>
      <c r="LY26" s="186" t="s">
        <v>931</v>
      </c>
      <c r="NO26" s="36"/>
      <c r="NP26" s="36"/>
      <c r="NQ26" s="36"/>
      <c r="NR26" s="36"/>
      <c r="NS26" s="36"/>
      <c r="NT26" s="36"/>
      <c r="NU26" s="36"/>
      <c r="NV26" s="36"/>
      <c r="NW26" s="36"/>
      <c r="NX26" s="36"/>
      <c r="NY26" s="36"/>
      <c r="NZ26" s="36"/>
      <c r="OA26" s="36"/>
      <c r="OB26" s="36"/>
      <c r="OC26" s="36"/>
      <c r="OD26" s="36"/>
      <c r="OE26" s="36"/>
      <c r="RB26" s="348"/>
      <c r="RU26" s="348" t="s">
        <v>1183</v>
      </c>
      <c r="RV26" s="348"/>
      <c r="SE26" s="436" t="s">
        <v>1240</v>
      </c>
      <c r="SF26" s="435" t="s">
        <v>1230</v>
      </c>
      <c r="SG26" s="435" t="s">
        <v>1994</v>
      </c>
      <c r="SH26" s="348"/>
      <c r="SI26" s="348"/>
      <c r="SJ26" s="348"/>
      <c r="SK26" s="348"/>
      <c r="SM26" s="348"/>
      <c r="TB26" s="348"/>
      <c r="TC26" s="348"/>
      <c r="TD26" s="348"/>
      <c r="TE26" s="348"/>
      <c r="TF26" s="348"/>
      <c r="TG26" s="348"/>
      <c r="TH26" s="348"/>
      <c r="TI26" s="348"/>
      <c r="TJ26" s="348"/>
      <c r="TK26" s="348"/>
      <c r="TL26" s="348"/>
      <c r="TM26" s="348"/>
      <c r="TN26" s="348"/>
      <c r="TO26" s="348"/>
      <c r="TP26" s="348"/>
      <c r="TQ26" s="348"/>
      <c r="TR26" s="348"/>
      <c r="TS26" s="348"/>
      <c r="TT26" s="348"/>
      <c r="TU26" s="348"/>
      <c r="TV26" s="348"/>
      <c r="TW26" s="348"/>
      <c r="TX26" s="348"/>
      <c r="TY26" s="348"/>
      <c r="TZ26" s="348"/>
      <c r="UA26" s="348"/>
      <c r="UB26" s="348"/>
      <c r="UC26" s="436" t="s">
        <v>1283</v>
      </c>
      <c r="UD26" s="435" t="s">
        <v>1337</v>
      </c>
      <c r="UE26" s="348"/>
      <c r="UF26" s="348"/>
      <c r="UG26" s="348"/>
      <c r="UI26" s="348"/>
      <c r="UV26" t="s">
        <v>2130</v>
      </c>
      <c r="UW26" s="348" t="s">
        <v>332</v>
      </c>
      <c r="UX26" t="str">
        <f>$UZ$13</f>
        <v>Motor Side No</v>
      </c>
      <c r="VD26" s="348" t="s">
        <v>2129</v>
      </c>
      <c r="VM26" t="s">
        <v>1174</v>
      </c>
      <c r="VN26" t="s">
        <v>1175</v>
      </c>
      <c r="VO26" t="s">
        <v>1851</v>
      </c>
      <c r="VP26" t="s">
        <v>1176</v>
      </c>
      <c r="VQ26" t="s">
        <v>2136</v>
      </c>
      <c r="VY26" s="348" t="s">
        <v>1177</v>
      </c>
      <c r="VZ26" s="348" t="s">
        <v>1215</v>
      </c>
      <c r="WA26" s="348" t="s">
        <v>1177</v>
      </c>
      <c r="WD26" s="348"/>
      <c r="WJ26" t="s">
        <v>1177</v>
      </c>
      <c r="WK26" t="s">
        <v>1215</v>
      </c>
      <c r="WL26" t="s">
        <v>1177</v>
      </c>
      <c r="WU26" t="s">
        <v>1177</v>
      </c>
      <c r="WV26" t="s">
        <v>1215</v>
      </c>
      <c r="WW26" t="s">
        <v>1177</v>
      </c>
      <c r="XF26" s="435" t="s">
        <v>1337</v>
      </c>
      <c r="XG26" s="436" t="s">
        <v>1283</v>
      </c>
      <c r="XH26" s="435" t="s">
        <v>2219</v>
      </c>
      <c r="XS26" s="348"/>
      <c r="XT26" s="348"/>
      <c r="XU26" s="348"/>
      <c r="XV26" s="348"/>
      <c r="XW26" s="348"/>
      <c r="XX26" s="348"/>
      <c r="XY26" s="348"/>
      <c r="XZ26" s="348"/>
      <c r="YA26" s="348"/>
      <c r="YB26" s="348"/>
      <c r="YC26" s="348"/>
      <c r="YD26" s="348"/>
      <c r="YE26" s="348"/>
      <c r="YF26" s="348"/>
      <c r="YG26" s="348"/>
      <c r="YH26" s="348"/>
      <c r="YI26" s="348"/>
      <c r="YJ26" s="348"/>
      <c r="YK26" s="348"/>
      <c r="YL26" s="348"/>
      <c r="YM26" s="348"/>
      <c r="YN26" s="348"/>
      <c r="YO26" s="348"/>
      <c r="YP26" s="348"/>
      <c r="YQ26" s="348"/>
      <c r="YR26" s="348"/>
      <c r="ZK26" s="348"/>
      <c r="ZL26" s="348"/>
      <c r="ZM26" s="348"/>
      <c r="ZN26" s="348"/>
      <c r="ZO26" s="348"/>
      <c r="AAC26" s="353" t="s">
        <v>1206</v>
      </c>
      <c r="AAD26" s="353">
        <v>6.3</v>
      </c>
      <c r="AAE26" s="199">
        <v>200</v>
      </c>
      <c r="AAF26" s="199">
        <v>3000</v>
      </c>
      <c r="AAG26" s="199">
        <v>300</v>
      </c>
      <c r="AAH26" s="199">
        <v>2700</v>
      </c>
    </row>
    <row r="27" spans="12:710" ht="15">
      <c r="L27" t="s">
        <v>74</v>
      </c>
      <c r="M27">
        <v>501</v>
      </c>
      <c r="N27" t="s">
        <v>7</v>
      </c>
      <c r="O27">
        <v>216968</v>
      </c>
      <c r="P27" t="s">
        <v>12</v>
      </c>
      <c r="Q27">
        <v>2303</v>
      </c>
      <c r="R27" t="s">
        <v>108</v>
      </c>
      <c r="S27" t="s">
        <v>28</v>
      </c>
      <c r="T27">
        <v>2072</v>
      </c>
      <c r="V27" s="1"/>
      <c r="W27" t="s">
        <v>214</v>
      </c>
      <c r="AN27" t="s">
        <v>268</v>
      </c>
      <c r="AR27" t="s">
        <v>295</v>
      </c>
      <c r="AW27" s="36"/>
      <c r="BA27" s="341" t="s">
        <v>1780</v>
      </c>
      <c r="BB27" s="327" t="s">
        <v>1781</v>
      </c>
      <c r="BC27" t="s">
        <v>1810</v>
      </c>
      <c r="BD27" t="s">
        <v>558</v>
      </c>
      <c r="BI27" t="s">
        <v>303</v>
      </c>
      <c r="BJ27" t="str">
        <f>BM2</f>
        <v>Hinge</v>
      </c>
      <c r="DN27" s="106"/>
      <c r="DO27" s="199" t="s">
        <v>491</v>
      </c>
      <c r="DP27" s="199">
        <v>3</v>
      </c>
      <c r="DQ27" s="199">
        <f t="shared" si="5"/>
        <v>0</v>
      </c>
      <c r="FF27" t="s">
        <v>635</v>
      </c>
      <c r="FP27" t="s">
        <v>688</v>
      </c>
      <c r="LJ27" t="s">
        <v>492</v>
      </c>
      <c r="LK27">
        <v>0</v>
      </c>
      <c r="LX27" s="186" t="s">
        <v>1024</v>
      </c>
      <c r="LY27" s="186" t="s">
        <v>930</v>
      </c>
      <c r="RU27" t="s">
        <v>1201</v>
      </c>
      <c r="SE27" s="436" t="s">
        <v>1244</v>
      </c>
      <c r="SF27" s="435" t="s">
        <v>1245</v>
      </c>
      <c r="SG27" s="435" t="s">
        <v>1996</v>
      </c>
      <c r="SI27" s="348"/>
      <c r="SJ27" s="348"/>
      <c r="SK27" s="348"/>
      <c r="UC27" s="436" t="s">
        <v>1334</v>
      </c>
      <c r="UD27" s="435" t="s">
        <v>1289</v>
      </c>
      <c r="UE27" s="348"/>
      <c r="UF27" s="348"/>
      <c r="UG27" s="348"/>
      <c r="UV27" t="s">
        <v>2131</v>
      </c>
      <c r="UW27" t="s">
        <v>2328</v>
      </c>
      <c r="UX27" s="348" t="str">
        <f>$VA$13</f>
        <v>Motor Left</v>
      </c>
      <c r="UZ27" s="482" t="s">
        <v>1299</v>
      </c>
      <c r="VD27" s="348"/>
      <c r="VL27" t="s">
        <v>1206</v>
      </c>
      <c r="VM27" t="str">
        <f>$UU$1</f>
        <v>Control Corded Standard</v>
      </c>
      <c r="VN27" t="str">
        <f>$UU$1</f>
        <v>Control Corded Standard</v>
      </c>
      <c r="VO27" t="str">
        <f>$UU$1</f>
        <v>Control Corded Standard</v>
      </c>
      <c r="VP27" t="str">
        <f>$UU$1</f>
        <v>Control Corded Standard</v>
      </c>
      <c r="VQ27" t="str">
        <f>$UU$1</f>
        <v>Control Corded Standard</v>
      </c>
      <c r="VY27" s="348" t="s">
        <v>1178</v>
      </c>
      <c r="VZ27" s="348" t="s">
        <v>1440</v>
      </c>
      <c r="WA27" s="348" t="s">
        <v>1178</v>
      </c>
      <c r="WD27" s="348"/>
      <c r="WJ27" t="s">
        <v>1852</v>
      </c>
      <c r="WK27" t="s">
        <v>1440</v>
      </c>
      <c r="WL27" t="s">
        <v>1852</v>
      </c>
      <c r="WU27" t="s">
        <v>1178</v>
      </c>
      <c r="WV27" t="s">
        <v>1440</v>
      </c>
      <c r="WW27" t="s">
        <v>1178</v>
      </c>
      <c r="XF27" s="435" t="s">
        <v>1289</v>
      </c>
      <c r="XG27" s="436" t="s">
        <v>1334</v>
      </c>
      <c r="XH27" s="435" t="s">
        <v>1984</v>
      </c>
      <c r="ZK27" s="348"/>
      <c r="ZL27" s="348"/>
      <c r="ZM27" s="348"/>
      <c r="ZN27" s="348"/>
      <c r="ZO27" s="348"/>
      <c r="AAC27" s="353" t="s">
        <v>1213</v>
      </c>
      <c r="AAD27" s="353">
        <v>3.8</v>
      </c>
      <c r="AAE27" s="199">
        <v>450</v>
      </c>
      <c r="AAF27" s="199">
        <v>3000</v>
      </c>
      <c r="AAG27" s="199">
        <v>300</v>
      </c>
      <c r="AAH27" s="199">
        <v>2700</v>
      </c>
    </row>
    <row r="28" spans="12:710" ht="15">
      <c r="L28" t="s">
        <v>76</v>
      </c>
      <c r="M28">
        <v>520</v>
      </c>
      <c r="P28" t="s">
        <v>13</v>
      </c>
      <c r="Q28">
        <v>2304</v>
      </c>
      <c r="R28" t="s">
        <v>109</v>
      </c>
      <c r="S28" t="s">
        <v>21</v>
      </c>
      <c r="T28">
        <v>2073</v>
      </c>
      <c r="V28" s="89"/>
      <c r="W28" t="s">
        <v>1093</v>
      </c>
      <c r="AA28" s="178" t="s">
        <v>245</v>
      </c>
      <c r="AR28" t="s">
        <v>296</v>
      </c>
      <c r="AW28" s="36"/>
      <c r="BA28" s="341"/>
      <c r="BB28" s="327"/>
      <c r="BD28" t="s">
        <v>561</v>
      </c>
      <c r="BI28" t="s">
        <v>304</v>
      </c>
      <c r="BJ28" t="str">
        <f>BN2</f>
        <v>HingeNA</v>
      </c>
      <c r="DN28" s="106"/>
      <c r="DO28" s="199" t="s">
        <v>495</v>
      </c>
      <c r="DP28" s="199">
        <v>3</v>
      </c>
      <c r="DQ28" s="199">
        <f t="shared" si="5"/>
        <v>0</v>
      </c>
      <c r="FF28" t="s">
        <v>636</v>
      </c>
      <c r="FP28" t="s">
        <v>689</v>
      </c>
      <c r="LJ28" t="s">
        <v>485</v>
      </c>
      <c r="LK28">
        <v>0</v>
      </c>
      <c r="LX28" s="186" t="s">
        <v>1025</v>
      </c>
      <c r="LY28" s="186" t="s">
        <v>511</v>
      </c>
      <c r="RU28" t="s">
        <v>1200</v>
      </c>
      <c r="SE28" s="436" t="s">
        <v>1229</v>
      </c>
      <c r="SF28" s="435" t="s">
        <v>1226</v>
      </c>
      <c r="SG28" s="435" t="s">
        <v>1226</v>
      </c>
      <c r="SI28" s="348"/>
      <c r="SJ28" s="348"/>
      <c r="SK28" s="348"/>
      <c r="UC28" s="436" t="s">
        <v>1284</v>
      </c>
      <c r="UD28" s="435" t="s">
        <v>2014</v>
      </c>
      <c r="UE28" s="348"/>
      <c r="UF28" s="348"/>
      <c r="UG28" s="348"/>
      <c r="UW28" t="s">
        <v>2329</v>
      </c>
      <c r="UX28" s="348" t="str">
        <f>$VB$13</f>
        <v>Motor Right</v>
      </c>
      <c r="UZ28" s="483" t="s">
        <v>2321</v>
      </c>
      <c r="VD28" s="348"/>
      <c r="VL28" t="s">
        <v>1213</v>
      </c>
      <c r="VM28" t="str">
        <f>$UV$1</f>
        <v>Control Corded Day Night</v>
      </c>
      <c r="VN28" t="str">
        <f>$UV$1</f>
        <v>Control Corded Day Night</v>
      </c>
      <c r="VO28" t="str">
        <f>$UV$1</f>
        <v>Control Corded Day Night</v>
      </c>
      <c r="VP28" t="str">
        <f>$UV$1</f>
        <v>Control Corded Day Night</v>
      </c>
      <c r="VQ28" t="str">
        <f>$UV$1</f>
        <v>Control Corded Day Night</v>
      </c>
      <c r="VY28" s="348" t="s">
        <v>1187</v>
      </c>
      <c r="VZ28" s="348"/>
      <c r="WA28" s="348" t="s">
        <v>1187</v>
      </c>
      <c r="WD28" s="348"/>
      <c r="WJ28" t="s">
        <v>1178</v>
      </c>
      <c r="WL28" t="s">
        <v>1178</v>
      </c>
      <c r="XF28" s="435" t="s">
        <v>2014</v>
      </c>
      <c r="XG28" s="436" t="s">
        <v>1284</v>
      </c>
      <c r="XH28" s="435" t="s">
        <v>1985</v>
      </c>
      <c r="AAC28" s="353" t="s">
        <v>1207</v>
      </c>
      <c r="AAD28" s="353">
        <v>6.3</v>
      </c>
      <c r="AAE28" s="199">
        <v>450</v>
      </c>
      <c r="AAF28" s="199">
        <v>3000</v>
      </c>
      <c r="AAG28" s="199">
        <v>300</v>
      </c>
      <c r="AAH28" s="199">
        <v>2700</v>
      </c>
    </row>
    <row r="29" spans="12:710" ht="15">
      <c r="L29" t="s">
        <v>19</v>
      </c>
      <c r="M29">
        <v>525</v>
      </c>
      <c r="P29" t="s">
        <v>14</v>
      </c>
      <c r="Q29">
        <v>2305</v>
      </c>
      <c r="R29" t="s">
        <v>110</v>
      </c>
      <c r="S29" t="s">
        <v>29</v>
      </c>
      <c r="T29">
        <v>2169</v>
      </c>
      <c r="V29" s="4"/>
      <c r="W29" t="s">
        <v>1130</v>
      </c>
      <c r="AA29" s="178" t="s">
        <v>246</v>
      </c>
      <c r="AR29" t="s">
        <v>297</v>
      </c>
      <c r="AW29" s="36"/>
      <c r="BD29" t="s">
        <v>557</v>
      </c>
      <c r="BI29" t="s">
        <v>332</v>
      </c>
      <c r="BJ29" t="str">
        <f>BN2</f>
        <v>HingeNA</v>
      </c>
      <c r="DN29" s="106"/>
      <c r="DO29" s="199" t="s">
        <v>492</v>
      </c>
      <c r="DP29" s="199">
        <v>4</v>
      </c>
      <c r="DQ29" s="199">
        <f t="shared" si="5"/>
        <v>0</v>
      </c>
      <c r="FF29" t="s">
        <v>316</v>
      </c>
      <c r="FP29" t="s">
        <v>690</v>
      </c>
      <c r="LJ29" t="s">
        <v>507</v>
      </c>
      <c r="LK29">
        <v>0</v>
      </c>
      <c r="LX29" s="186" t="s">
        <v>1020</v>
      </c>
      <c r="LY29" s="186" t="s">
        <v>514</v>
      </c>
      <c r="RU29" t="s">
        <v>1199</v>
      </c>
      <c r="SE29" s="435" t="s">
        <v>1994</v>
      </c>
      <c r="SF29" s="435" t="s">
        <v>1246</v>
      </c>
      <c r="SI29" s="348"/>
      <c r="SJ29" s="348"/>
      <c r="SK29" s="348"/>
      <c r="UC29" s="435" t="s">
        <v>2010</v>
      </c>
      <c r="UD29" s="435" t="s">
        <v>1290</v>
      </c>
      <c r="UE29" s="348"/>
      <c r="UF29" s="348"/>
      <c r="UG29" s="348"/>
      <c r="UZ29" s="483" t="s">
        <v>2322</v>
      </c>
      <c r="VD29" s="348" t="s">
        <v>2132</v>
      </c>
      <c r="VL29" t="s">
        <v>1207</v>
      </c>
      <c r="VM29" t="str">
        <f>$UW$1</f>
        <v>Control Corded Top Down  Bottom Up</v>
      </c>
      <c r="VN29" t="str">
        <f>$UW$1</f>
        <v>Control Corded Top Down  Bottom Up</v>
      </c>
      <c r="VO29" t="str">
        <f>$UW$1</f>
        <v>Control Corded Top Down  Bottom Up</v>
      </c>
      <c r="VP29" t="str">
        <f>$UW$1</f>
        <v>Control Corded Top Down  Bottom Up</v>
      </c>
      <c r="VQ29" t="str">
        <f>$UW$1</f>
        <v>Control Corded Top Down  Bottom Up</v>
      </c>
      <c r="VY29" s="348" t="s">
        <v>1188</v>
      </c>
      <c r="VZ29" s="348"/>
      <c r="WA29" s="348" t="s">
        <v>1188</v>
      </c>
      <c r="WD29" s="348"/>
      <c r="WJ29" t="s">
        <v>1854</v>
      </c>
      <c r="WL29" t="s">
        <v>1854</v>
      </c>
      <c r="XF29" s="435" t="s">
        <v>1290</v>
      </c>
      <c r="XG29" s="435" t="s">
        <v>2010</v>
      </c>
      <c r="XH29" s="435" t="s">
        <v>2220</v>
      </c>
      <c r="AAC29" s="353" t="s">
        <v>1201</v>
      </c>
      <c r="AAD29" s="353">
        <v>4.04</v>
      </c>
      <c r="AAE29" s="199">
        <v>250</v>
      </c>
      <c r="AAF29" s="199">
        <v>2400</v>
      </c>
      <c r="AAG29" s="199">
        <v>300</v>
      </c>
      <c r="AAH29" s="199">
        <v>2100</v>
      </c>
    </row>
    <row r="30" spans="12:710" ht="15">
      <c r="L30" t="s">
        <v>81</v>
      </c>
      <c r="M30">
        <v>657</v>
      </c>
      <c r="P30" t="s">
        <v>16</v>
      </c>
      <c r="Q30">
        <v>2311</v>
      </c>
      <c r="R30" t="s">
        <v>112</v>
      </c>
      <c r="S30" t="s">
        <v>23</v>
      </c>
      <c r="T30">
        <v>2170</v>
      </c>
      <c r="V30" s="1"/>
      <c r="W30" t="s">
        <v>1141</v>
      </c>
      <c r="AA30" s="178" t="s">
        <v>247</v>
      </c>
      <c r="AW30" s="36"/>
      <c r="BD30" t="s">
        <v>553</v>
      </c>
      <c r="BI30" t="s">
        <v>998</v>
      </c>
      <c r="BJ30" t="s">
        <v>1000</v>
      </c>
      <c r="DJ30" t="s">
        <v>245</v>
      </c>
      <c r="DK30" t="s">
        <v>245</v>
      </c>
      <c r="DN30" s="106"/>
      <c r="DO30" s="199" t="s">
        <v>485</v>
      </c>
      <c r="DP30" s="199">
        <v>4</v>
      </c>
      <c r="DQ30" s="199">
        <f t="shared" si="5"/>
        <v>0</v>
      </c>
      <c r="FF30" t="s">
        <v>637</v>
      </c>
      <c r="FP30" t="s">
        <v>691</v>
      </c>
      <c r="LJ30" t="s">
        <v>486</v>
      </c>
      <c r="LK30">
        <v>0</v>
      </c>
      <c r="LX30" s="186" t="s">
        <v>1021</v>
      </c>
      <c r="RU30" t="s">
        <v>1184</v>
      </c>
      <c r="SE30" s="435" t="s">
        <v>1995</v>
      </c>
      <c r="SI30" s="348"/>
      <c r="SJ30" s="348"/>
      <c r="SK30" s="348"/>
      <c r="UC30" s="435" t="s">
        <v>2011</v>
      </c>
      <c r="UE30" s="348"/>
      <c r="UF30" s="348"/>
      <c r="UG30" s="348"/>
      <c r="VD30" s="348" t="s">
        <v>2133</v>
      </c>
      <c r="VL30" t="s">
        <v>1201</v>
      </c>
      <c r="VM30" t="str">
        <f>$UX$1</f>
        <v>Control Cordless Standard</v>
      </c>
      <c r="VN30" t="str">
        <f>$UX$1</f>
        <v>Control Cordless Standard</v>
      </c>
      <c r="VO30" t="str">
        <f>$UX$1</f>
        <v>Control Cordless Standard</v>
      </c>
      <c r="VP30" t="str">
        <f>$UX$1</f>
        <v>Control Cordless Standard</v>
      </c>
      <c r="VQ30" t="str">
        <f>$UX$1</f>
        <v>Control Cordless Standard</v>
      </c>
      <c r="VY30" s="348" t="s">
        <v>1186</v>
      </c>
      <c r="VZ30" s="348"/>
      <c r="WA30" s="348" t="s">
        <v>1186</v>
      </c>
      <c r="WD30" s="348"/>
      <c r="WJ30" t="s">
        <v>1853</v>
      </c>
      <c r="WL30" t="s">
        <v>1853</v>
      </c>
      <c r="XF30" s="435" t="s">
        <v>1322</v>
      </c>
      <c r="XG30" s="435" t="s">
        <v>2011</v>
      </c>
      <c r="XH30" s="435" t="s">
        <v>1986</v>
      </c>
      <c r="AAC30" s="353" t="s">
        <v>1212</v>
      </c>
      <c r="AAD30" s="353">
        <v>4.04</v>
      </c>
      <c r="AAE30" s="199">
        <v>550</v>
      </c>
      <c r="AAF30" s="199">
        <v>2400</v>
      </c>
      <c r="AAG30" s="199">
        <v>300</v>
      </c>
      <c r="AAH30" s="199">
        <v>2100</v>
      </c>
    </row>
    <row r="31" spans="12:710" ht="15">
      <c r="L31" t="s">
        <v>84</v>
      </c>
      <c r="M31">
        <v>658</v>
      </c>
      <c r="P31" t="s">
        <v>15</v>
      </c>
      <c r="Q31">
        <v>2314</v>
      </c>
      <c r="R31" t="s">
        <v>111</v>
      </c>
      <c r="S31" t="s">
        <v>24</v>
      </c>
      <c r="T31">
        <v>2171</v>
      </c>
      <c r="V31" s="1"/>
      <c r="W31" t="s">
        <v>215</v>
      </c>
      <c r="AA31" s="178" t="s">
        <v>248</v>
      </c>
      <c r="AR31" s="35" t="s">
        <v>554</v>
      </c>
      <c r="AW31" s="36"/>
      <c r="BD31" t="s">
        <v>555</v>
      </c>
      <c r="DJ31" t="s">
        <v>246</v>
      </c>
      <c r="DK31" t="s">
        <v>246</v>
      </c>
      <c r="DN31" s="106"/>
      <c r="DO31" s="199" t="s">
        <v>507</v>
      </c>
      <c r="DP31" s="199">
        <v>4</v>
      </c>
      <c r="DQ31" s="199">
        <f t="shared" si="5"/>
        <v>0</v>
      </c>
      <c r="FF31" s="327" t="s">
        <v>1782</v>
      </c>
      <c r="FP31" t="s">
        <v>692</v>
      </c>
      <c r="LJ31" t="s">
        <v>508</v>
      </c>
      <c r="LK31">
        <v>0</v>
      </c>
      <c r="LX31" s="186" t="s">
        <v>1007</v>
      </c>
      <c r="SE31" s="436" t="s">
        <v>1227</v>
      </c>
      <c r="SG31" s="348"/>
      <c r="UC31" s="436" t="s">
        <v>1285</v>
      </c>
      <c r="VD31" s="348" t="s">
        <v>2134</v>
      </c>
      <c r="VL31" t="s">
        <v>1212</v>
      </c>
      <c r="VM31" t="str">
        <f>$UY$1</f>
        <v>Control Cordless Day Night</v>
      </c>
      <c r="VN31" t="str">
        <f>$UY$1</f>
        <v>Control Cordless Day Night</v>
      </c>
      <c r="VO31" t="str">
        <f>$UY$1</f>
        <v>Control Cordless Day Night</v>
      </c>
      <c r="VP31" t="str">
        <f>$UY$1</f>
        <v>Control Cordless Day Night</v>
      </c>
      <c r="VQ31" t="str">
        <f>$UY$1</f>
        <v>Control Cordless Day Night</v>
      </c>
      <c r="VY31" s="348" t="s">
        <v>1190</v>
      </c>
      <c r="VZ31" s="348"/>
      <c r="WA31" s="348" t="s">
        <v>1190</v>
      </c>
      <c r="WJ31" t="s">
        <v>1185</v>
      </c>
      <c r="WL31" t="s">
        <v>1185</v>
      </c>
      <c r="XF31" s="435" t="s">
        <v>1323</v>
      </c>
      <c r="XG31" s="436" t="s">
        <v>1285</v>
      </c>
      <c r="XH31" s="435" t="s">
        <v>2221</v>
      </c>
      <c r="AAC31" s="353" t="s">
        <v>1184</v>
      </c>
      <c r="AAD31" s="353">
        <v>4.04</v>
      </c>
      <c r="AAE31" s="199">
        <v>550</v>
      </c>
      <c r="AAF31" s="199">
        <v>2400</v>
      </c>
      <c r="AAG31" s="199">
        <v>300</v>
      </c>
      <c r="AAH31" s="199">
        <v>2100</v>
      </c>
    </row>
    <row r="32" spans="12:710" ht="15">
      <c r="L32" t="s">
        <v>87</v>
      </c>
      <c r="M32">
        <v>659</v>
      </c>
      <c r="S32" t="s">
        <v>78</v>
      </c>
      <c r="T32">
        <v>2172</v>
      </c>
      <c r="V32" s="1"/>
      <c r="W32" t="s">
        <v>1090</v>
      </c>
      <c r="AA32" s="178" t="s">
        <v>249</v>
      </c>
      <c r="AR32" s="35" t="s">
        <v>555</v>
      </c>
      <c r="AW32" s="36"/>
      <c r="BD32" t="s">
        <v>562</v>
      </c>
      <c r="DJ32" t="s">
        <v>247</v>
      </c>
      <c r="DK32" t="s">
        <v>247</v>
      </c>
      <c r="DN32" s="106"/>
      <c r="DO32" s="199" t="s">
        <v>486</v>
      </c>
      <c r="DP32" s="199">
        <v>6</v>
      </c>
      <c r="DQ32" s="199">
        <f t="shared" si="5"/>
        <v>0</v>
      </c>
      <c r="FF32" t="s">
        <v>638</v>
      </c>
      <c r="FP32" t="s">
        <v>693</v>
      </c>
      <c r="LJ32" t="s">
        <v>487</v>
      </c>
      <c r="LK32">
        <v>0</v>
      </c>
      <c r="LX32" s="186" t="s">
        <v>1008</v>
      </c>
      <c r="SE32" s="436" t="s">
        <v>1247</v>
      </c>
      <c r="SG32" s="348"/>
      <c r="UC32" s="436" t="s">
        <v>1335</v>
      </c>
      <c r="VD32" t="s">
        <v>2135</v>
      </c>
      <c r="VL32" t="s">
        <v>1184</v>
      </c>
      <c r="VM32" t="str">
        <f>$UZ$1</f>
        <v>Control Cordless Top Down  Bottom Up</v>
      </c>
      <c r="VN32" t="str">
        <f>$UZ$1</f>
        <v>Control Cordless Top Down  Bottom Up</v>
      </c>
      <c r="VO32" t="str">
        <f>$UZ$1</f>
        <v>Control Cordless Top Down  Bottom Up</v>
      </c>
      <c r="VP32" t="str">
        <f>$UZ$1</f>
        <v>Control Cordless Top Down  Bottom Up</v>
      </c>
      <c r="VQ32" t="str">
        <f>$UZ$1</f>
        <v>Control Cordless Top Down  Bottom Up</v>
      </c>
      <c r="WJ32" t="s">
        <v>1189</v>
      </c>
      <c r="WL32" t="s">
        <v>1189</v>
      </c>
      <c r="XF32" s="435" t="s">
        <v>1324</v>
      </c>
      <c r="XG32" s="436" t="s">
        <v>1335</v>
      </c>
      <c r="XH32" s="435" t="s">
        <v>1959</v>
      </c>
      <c r="AAC32" s="353" t="s">
        <v>1202</v>
      </c>
      <c r="AAD32" s="353">
        <v>6.3</v>
      </c>
      <c r="AAE32" s="199">
        <v>300</v>
      </c>
      <c r="AAF32" s="199">
        <v>3000</v>
      </c>
      <c r="AAG32" s="199">
        <v>300</v>
      </c>
      <c r="AAH32" s="199">
        <v>2700</v>
      </c>
    </row>
    <row r="33" spans="12:710" ht="15">
      <c r="L33" t="s">
        <v>90</v>
      </c>
      <c r="M33">
        <v>660</v>
      </c>
      <c r="S33" t="s">
        <v>80</v>
      </c>
      <c r="T33">
        <v>2173</v>
      </c>
      <c r="V33" s="1"/>
      <c r="AA33" s="178" t="s">
        <v>250</v>
      </c>
      <c r="AW33" s="36"/>
      <c r="BD33" t="s">
        <v>560</v>
      </c>
      <c r="DJ33" t="s">
        <v>248</v>
      </c>
      <c r="DK33" t="s">
        <v>248</v>
      </c>
      <c r="DN33" s="106"/>
      <c r="DO33" s="199" t="s">
        <v>508</v>
      </c>
      <c r="DP33" s="199">
        <v>6</v>
      </c>
      <c r="DQ33" s="199">
        <f t="shared" si="5"/>
        <v>0</v>
      </c>
      <c r="FF33" t="s">
        <v>639</v>
      </c>
      <c r="FP33" t="s">
        <v>694</v>
      </c>
      <c r="LJ33" t="s">
        <v>488</v>
      </c>
      <c r="LK33">
        <v>0</v>
      </c>
      <c r="LX33" s="186" t="s">
        <v>420</v>
      </c>
      <c r="SE33" s="435" t="s">
        <v>1996</v>
      </c>
      <c r="SG33" s="348"/>
      <c r="UC33" s="435" t="s">
        <v>2012</v>
      </c>
      <c r="VD33" s="348"/>
      <c r="VL33" t="s">
        <v>1202</v>
      </c>
      <c r="VM33" t="str">
        <f>$VA$1</f>
        <v>Control Clutch Standard</v>
      </c>
      <c r="VN33" t="str">
        <f>$VA$1</f>
        <v>Control Clutch Standard</v>
      </c>
      <c r="VO33" t="str">
        <f>$VA$1</f>
        <v>Control Clutch Standard</v>
      </c>
      <c r="VP33" t="str">
        <f>$VA$1</f>
        <v>Control Clutch Standard</v>
      </c>
      <c r="VQ33" t="str">
        <f>$VA$1</f>
        <v>Control Clutch Standard</v>
      </c>
      <c r="WJ33" t="s">
        <v>1187</v>
      </c>
      <c r="WL33" t="s">
        <v>1187</v>
      </c>
      <c r="XF33" s="435" t="s">
        <v>1325</v>
      </c>
      <c r="XG33" s="435" t="s">
        <v>2012</v>
      </c>
      <c r="XH33" s="435" t="s">
        <v>1960</v>
      </c>
      <c r="AAC33" s="353" t="s">
        <v>1214</v>
      </c>
      <c r="AAD33" s="353">
        <v>5.2</v>
      </c>
      <c r="AAE33" s="199">
        <v>570</v>
      </c>
      <c r="AAF33" s="199">
        <v>3000</v>
      </c>
      <c r="AAG33" s="199">
        <v>300</v>
      </c>
      <c r="AAH33" s="199">
        <v>2700</v>
      </c>
    </row>
    <row r="34" spans="12:710" ht="15">
      <c r="L34" t="s">
        <v>92</v>
      </c>
      <c r="M34">
        <v>663</v>
      </c>
      <c r="S34" t="s">
        <v>83</v>
      </c>
      <c r="T34">
        <v>2174</v>
      </c>
      <c r="V34" s="1"/>
      <c r="AA34" s="178" t="s">
        <v>251</v>
      </c>
      <c r="AW34" s="36"/>
      <c r="BA34" s="327" t="s">
        <v>1777</v>
      </c>
      <c r="BB34" s="327" t="s">
        <v>1779</v>
      </c>
      <c r="BD34" t="s">
        <v>556</v>
      </c>
      <c r="DJ34" t="s">
        <v>249</v>
      </c>
      <c r="DK34" t="s">
        <v>249</v>
      </c>
      <c r="DN34" s="106"/>
      <c r="DO34" s="199" t="s">
        <v>487</v>
      </c>
      <c r="DP34" s="199">
        <v>8</v>
      </c>
      <c r="DQ34" s="199">
        <f t="shared" si="5"/>
        <v>0</v>
      </c>
      <c r="FF34" t="s">
        <v>640</v>
      </c>
      <c r="FP34" t="s">
        <v>695</v>
      </c>
      <c r="LJ34" t="s">
        <v>489</v>
      </c>
      <c r="LK34">
        <v>0</v>
      </c>
      <c r="LX34" s="186" t="s">
        <v>530</v>
      </c>
      <c r="SE34" s="436" t="s">
        <v>1242</v>
      </c>
      <c r="SG34" s="348"/>
      <c r="UC34" s="436" t="s">
        <v>1287</v>
      </c>
      <c r="VL34" t="s">
        <v>1214</v>
      </c>
      <c r="VM34" t="str">
        <f>$VB$1</f>
        <v>Control Clutch Day Night</v>
      </c>
      <c r="VN34" t="str">
        <f>$VB$1</f>
        <v>Control Clutch Day Night</v>
      </c>
      <c r="VO34" t="str">
        <f>$VB$1</f>
        <v>Control Clutch Day Night</v>
      </c>
      <c r="VP34" t="str">
        <f>$VB$1</f>
        <v>Control Clutch Day Night</v>
      </c>
      <c r="VQ34" t="str">
        <f>$VB$1</f>
        <v>Control Clutch Day Night</v>
      </c>
      <c r="WJ34" t="s">
        <v>1188</v>
      </c>
      <c r="WL34" t="s">
        <v>1188</v>
      </c>
      <c r="XF34" s="435" t="s">
        <v>1326</v>
      </c>
      <c r="XG34" s="436" t="s">
        <v>1287</v>
      </c>
      <c r="XH34" s="435" t="s">
        <v>1961</v>
      </c>
      <c r="AAC34" s="199" t="s">
        <v>1182</v>
      </c>
      <c r="AAD34" s="199">
        <v>6.3</v>
      </c>
      <c r="AAE34" s="199">
        <v>570</v>
      </c>
      <c r="AAF34" s="199">
        <v>3000</v>
      </c>
      <c r="AAG34" s="199">
        <v>300</v>
      </c>
      <c r="AAH34" s="199">
        <v>2700</v>
      </c>
    </row>
    <row r="35" spans="12:710" ht="15">
      <c r="L35" t="s">
        <v>94</v>
      </c>
      <c r="M35">
        <v>664</v>
      </c>
      <c r="S35" t="s">
        <v>86</v>
      </c>
      <c r="T35">
        <v>2175</v>
      </c>
      <c r="V35" s="1"/>
      <c r="AW35" s="36"/>
      <c r="BA35" s="341" t="s">
        <v>1792</v>
      </c>
      <c r="BB35" s="327" t="s">
        <v>1791</v>
      </c>
      <c r="BD35" t="s">
        <v>875</v>
      </c>
      <c r="DJ35" t="s">
        <v>250</v>
      </c>
      <c r="DK35" t="s">
        <v>250</v>
      </c>
      <c r="DN35" s="106"/>
      <c r="DO35" s="199" t="s">
        <v>488</v>
      </c>
      <c r="DP35" s="199">
        <v>6</v>
      </c>
      <c r="DQ35" s="199">
        <f t="shared" si="5"/>
        <v>0</v>
      </c>
      <c r="FF35" t="s">
        <v>393</v>
      </c>
      <c r="LJ35" t="s">
        <v>490</v>
      </c>
      <c r="LK35">
        <v>0</v>
      </c>
      <c r="LX35" s="186" t="s">
        <v>897</v>
      </c>
      <c r="SE35" s="436" t="s">
        <v>1248</v>
      </c>
      <c r="SG35" s="348"/>
      <c r="UC35" s="436" t="s">
        <v>1336</v>
      </c>
      <c r="VD35" s="348" t="s">
        <v>2324</v>
      </c>
      <c r="VL35" t="s">
        <v>1182</v>
      </c>
      <c r="VM35" t="str">
        <f>$VC$1</f>
        <v>Control Clutch Top Down  Bottom Up</v>
      </c>
      <c r="VN35" t="str">
        <f>$VC$1</f>
        <v>Control Clutch Top Down  Bottom Up</v>
      </c>
      <c r="VO35" t="str">
        <f>$VC$1</f>
        <v>Control Clutch Top Down  Bottom Up</v>
      </c>
      <c r="VP35" t="str">
        <f>$VC$1</f>
        <v>Control Clutch Top Down  Bottom Up</v>
      </c>
      <c r="VQ35" t="str">
        <f>$VC$1</f>
        <v>Control Clutch Top Down  Bottom Up</v>
      </c>
      <c r="WJ35" t="s">
        <v>1855</v>
      </c>
      <c r="WL35" t="s">
        <v>1855</v>
      </c>
      <c r="XF35" s="435" t="s">
        <v>1255</v>
      </c>
      <c r="XG35" s="436" t="s">
        <v>1336</v>
      </c>
      <c r="XH35" s="435" t="s">
        <v>1962</v>
      </c>
      <c r="AAC35" s="199" t="s">
        <v>2034</v>
      </c>
      <c r="AAD35" s="199">
        <v>4.5999999999999996</v>
      </c>
      <c r="AAE35" s="199">
        <v>620</v>
      </c>
      <c r="AAF35" s="199">
        <v>3000</v>
      </c>
      <c r="AAG35" s="199">
        <v>300</v>
      </c>
      <c r="AAH35" s="199">
        <v>2700</v>
      </c>
    </row>
    <row r="36" spans="12:710" ht="15">
      <c r="L36" t="s">
        <v>97</v>
      </c>
      <c r="M36">
        <v>665</v>
      </c>
      <c r="S36" t="s">
        <v>89</v>
      </c>
      <c r="T36">
        <v>2176</v>
      </c>
      <c r="V36" s="1"/>
      <c r="AW36" s="36"/>
      <c r="BA36" s="341" t="s">
        <v>997</v>
      </c>
      <c r="BB36" s="327" t="s">
        <v>1788</v>
      </c>
      <c r="BD36" t="s">
        <v>559</v>
      </c>
      <c r="DJ36" t="s">
        <v>251</v>
      </c>
      <c r="DK36" t="s">
        <v>251</v>
      </c>
      <c r="DN36" s="106"/>
      <c r="DO36" s="199" t="s">
        <v>490</v>
      </c>
      <c r="DP36" s="199">
        <v>8</v>
      </c>
      <c r="DQ36" s="199">
        <f t="shared" si="5"/>
        <v>0</v>
      </c>
      <c r="FF36" t="s">
        <v>1526</v>
      </c>
      <c r="LJ36" t="s">
        <v>516</v>
      </c>
      <c r="LK36">
        <v>0</v>
      </c>
      <c r="LX36" s="186" t="s">
        <v>534</v>
      </c>
      <c r="SE36" s="435" t="s">
        <v>1230</v>
      </c>
      <c r="SG36" s="348"/>
      <c r="UC36" s="435" t="s">
        <v>1337</v>
      </c>
      <c r="VD36" t="s">
        <v>1451</v>
      </c>
      <c r="VL36" t="s">
        <v>2034</v>
      </c>
      <c r="VM36" t="str">
        <f>$VD$1</f>
        <v>Control Motorised</v>
      </c>
      <c r="VN36" s="35" t="str">
        <f>$VD$35</f>
        <v>Control Motorised With USB</v>
      </c>
      <c r="VO36" s="35" t="str">
        <f>$VD$35</f>
        <v>Control Motorised With USB</v>
      </c>
      <c r="VP36" t="str">
        <f>$VD$1</f>
        <v>Control Motorised</v>
      </c>
      <c r="VQ36" s="35" t="str">
        <f>$VD$35</f>
        <v>Control Motorised With USB</v>
      </c>
      <c r="WJ36" t="s">
        <v>1856</v>
      </c>
      <c r="WL36" t="s">
        <v>1856</v>
      </c>
      <c r="XF36" s="435" t="s">
        <v>2016</v>
      </c>
      <c r="XG36" s="435" t="s">
        <v>1337</v>
      </c>
      <c r="XH36" s="435" t="s">
        <v>1963</v>
      </c>
      <c r="AAC36" s="199" t="s">
        <v>2035</v>
      </c>
      <c r="AAD36" s="199">
        <v>3.8</v>
      </c>
      <c r="AAE36" s="199">
        <v>850</v>
      </c>
      <c r="AAF36" s="199">
        <v>3000</v>
      </c>
      <c r="AAG36" s="199">
        <v>300</v>
      </c>
      <c r="AAH36" s="199">
        <v>2700</v>
      </c>
    </row>
    <row r="37" spans="12:710" ht="15">
      <c r="L37" t="s">
        <v>99</v>
      </c>
      <c r="M37">
        <v>26</v>
      </c>
      <c r="S37" t="s">
        <v>26</v>
      </c>
      <c r="T37">
        <v>2224</v>
      </c>
      <c r="V37" s="1"/>
      <c r="AW37" s="36"/>
      <c r="BA37" s="341" t="s">
        <v>1780</v>
      </c>
      <c r="BB37" s="327" t="s">
        <v>1781</v>
      </c>
      <c r="BD37" t="s">
        <v>552</v>
      </c>
      <c r="DN37" s="106"/>
      <c r="DO37" s="199" t="s">
        <v>516</v>
      </c>
      <c r="DP37" s="199">
        <v>8</v>
      </c>
      <c r="DQ37" s="199">
        <f t="shared" si="5"/>
        <v>0</v>
      </c>
      <c r="FF37" s="327" t="s">
        <v>1789</v>
      </c>
      <c r="LJ37" t="s">
        <v>493</v>
      </c>
      <c r="LK37">
        <v>0</v>
      </c>
      <c r="LX37" s="186" t="s">
        <v>898</v>
      </c>
      <c r="SE37" s="435" t="s">
        <v>1997</v>
      </c>
      <c r="SG37" s="348"/>
      <c r="UC37" s="435" t="s">
        <v>2013</v>
      </c>
      <c r="VD37" t="s">
        <v>1452</v>
      </c>
      <c r="VL37" t="s">
        <v>2035</v>
      </c>
      <c r="VM37" t="str">
        <f t="shared" ref="VM37:VQ38" si="15">$VD$22</f>
        <v>Control Motorised DNTDBU</v>
      </c>
      <c r="VN37" t="str">
        <f t="shared" si="15"/>
        <v>Control Motorised DNTDBU</v>
      </c>
      <c r="VO37" t="str">
        <f t="shared" si="15"/>
        <v>Control Motorised DNTDBU</v>
      </c>
      <c r="VP37" t="str">
        <f t="shared" si="15"/>
        <v>Control Motorised DNTDBU</v>
      </c>
      <c r="VQ37" t="str">
        <f t="shared" si="15"/>
        <v>Control Motorised DNTDBU</v>
      </c>
      <c r="WJ37" t="s">
        <v>1186</v>
      </c>
      <c r="WL37" t="s">
        <v>1186</v>
      </c>
      <c r="XF37" s="435" t="s">
        <v>2027</v>
      </c>
      <c r="XG37" s="435" t="s">
        <v>2013</v>
      </c>
      <c r="XH37" s="435" t="s">
        <v>1964</v>
      </c>
      <c r="AAC37" s="199" t="s">
        <v>2036</v>
      </c>
      <c r="AAD37" s="199">
        <v>4.5999999999999996</v>
      </c>
      <c r="AAE37" s="199">
        <v>850</v>
      </c>
      <c r="AAF37" s="199">
        <v>3000</v>
      </c>
      <c r="AAG37" s="199">
        <v>300</v>
      </c>
      <c r="AAH37" s="199">
        <v>2700</v>
      </c>
    </row>
    <row r="38" spans="12:710" ht="15">
      <c r="L38" t="s">
        <v>101</v>
      </c>
      <c r="M38">
        <v>27</v>
      </c>
      <c r="S38" t="s">
        <v>113</v>
      </c>
      <c r="T38">
        <v>2225</v>
      </c>
      <c r="V38" s="1"/>
      <c r="AW38" s="36"/>
      <c r="BA38" s="341"/>
      <c r="BB38" s="327"/>
      <c r="DN38" s="106"/>
      <c r="DO38" s="199" t="s">
        <v>493</v>
      </c>
      <c r="DP38" s="199">
        <v>6</v>
      </c>
      <c r="DQ38" s="199">
        <f t="shared" si="5"/>
        <v>0</v>
      </c>
      <c r="FF38" s="327" t="s">
        <v>1790</v>
      </c>
      <c r="LJ38" t="s">
        <v>517</v>
      </c>
      <c r="LK38">
        <v>0</v>
      </c>
      <c r="LX38" s="186" t="s">
        <v>899</v>
      </c>
      <c r="SE38" s="435" t="s">
        <v>1245</v>
      </c>
      <c r="SG38" s="348"/>
      <c r="UC38" s="435" t="s">
        <v>1289</v>
      </c>
      <c r="VD38" t="s">
        <v>1811</v>
      </c>
      <c r="VL38" t="s">
        <v>2036</v>
      </c>
      <c r="VM38" t="str">
        <f t="shared" si="15"/>
        <v>Control Motorised DNTDBU</v>
      </c>
      <c r="VN38" t="str">
        <f t="shared" si="15"/>
        <v>Control Motorised DNTDBU</v>
      </c>
      <c r="VO38" t="str">
        <f t="shared" si="15"/>
        <v>Control Motorised DNTDBU</v>
      </c>
      <c r="VP38" t="str">
        <f t="shared" si="15"/>
        <v>Control Motorised DNTDBU</v>
      </c>
      <c r="VQ38" t="str">
        <f t="shared" si="15"/>
        <v>Control Motorised DNTDBU</v>
      </c>
      <c r="WJ38" t="s">
        <v>1190</v>
      </c>
      <c r="WL38" t="s">
        <v>1190</v>
      </c>
      <c r="XF38" s="435" t="s">
        <v>2028</v>
      </c>
      <c r="XG38" s="435" t="s">
        <v>1289</v>
      </c>
      <c r="XH38" s="435" t="s">
        <v>1949</v>
      </c>
    </row>
    <row r="39" spans="12:710" ht="15">
      <c r="L39" t="s">
        <v>103</v>
      </c>
      <c r="M39">
        <v>28</v>
      </c>
      <c r="S39" t="s">
        <v>25</v>
      </c>
      <c r="T39">
        <v>2230</v>
      </c>
      <c r="V39" s="1"/>
      <c r="AW39" s="36"/>
      <c r="DN39" s="106"/>
      <c r="DO39" s="199" t="s">
        <v>517</v>
      </c>
      <c r="DP39" s="199">
        <v>8</v>
      </c>
      <c r="DQ39" s="199">
        <f t="shared" si="5"/>
        <v>0</v>
      </c>
      <c r="LJ39" t="s">
        <v>471</v>
      </c>
      <c r="LK39">
        <v>0</v>
      </c>
      <c r="LX39" s="186" t="s">
        <v>531</v>
      </c>
      <c r="RB39" t="s">
        <v>2304</v>
      </c>
      <c r="RD39" t="s">
        <v>2305</v>
      </c>
      <c r="RE39" t="s">
        <v>2306</v>
      </c>
      <c r="SE39" s="435" t="s">
        <v>1226</v>
      </c>
      <c r="UC39" s="435" t="s">
        <v>2014</v>
      </c>
      <c r="VD39" t="s">
        <v>1812</v>
      </c>
      <c r="VL39" t="s">
        <v>2176</v>
      </c>
      <c r="VM39" t="str">
        <f>$UU$13</f>
        <v>Control Skylight Cordless</v>
      </c>
      <c r="VN39" t="str">
        <f>$UU$13</f>
        <v>Control Skylight Cordless</v>
      </c>
      <c r="VO39" t="str">
        <f>$UU$13</f>
        <v>Control Skylight Cordless</v>
      </c>
      <c r="VP39" t="str">
        <f>$UU$13</f>
        <v>Control Skylight Cordless</v>
      </c>
      <c r="VQ39" t="str">
        <f>$UU$13</f>
        <v>Control Skylight Cordless</v>
      </c>
      <c r="XF39" s="435" t="s">
        <v>1256</v>
      </c>
      <c r="XG39" s="435" t="s">
        <v>2014</v>
      </c>
      <c r="XH39" s="436" t="s">
        <v>1953</v>
      </c>
    </row>
    <row r="40" spans="12:710" ht="15">
      <c r="S40" t="s">
        <v>28</v>
      </c>
      <c r="T40">
        <v>2231</v>
      </c>
      <c r="V40" s="1"/>
      <c r="AW40" s="36"/>
      <c r="DN40" s="106"/>
      <c r="DO40" s="199" t="s">
        <v>471</v>
      </c>
      <c r="DP40" s="199">
        <v>1</v>
      </c>
      <c r="DQ40" s="199">
        <f t="shared" si="5"/>
        <v>0</v>
      </c>
      <c r="LJ40" t="s">
        <v>472</v>
      </c>
      <c r="LK40">
        <v>0</v>
      </c>
      <c r="LX40" s="186" t="s">
        <v>900</v>
      </c>
      <c r="RB40" t="s">
        <v>1174</v>
      </c>
      <c r="SE40" s="435" t="s">
        <v>1246</v>
      </c>
      <c r="UC40" s="435" t="s">
        <v>1290</v>
      </c>
      <c r="VD40" t="s">
        <v>2128</v>
      </c>
      <c r="VL40" t="s">
        <v>2177</v>
      </c>
      <c r="VM40" t="str">
        <f>$UV$13</f>
        <v>Control Skylight Motorised Remote</v>
      </c>
      <c r="VN40" t="str">
        <f>$UV$13</f>
        <v>Control Skylight Motorised Remote</v>
      </c>
      <c r="VO40" t="str">
        <f>$UV$13</f>
        <v>Control Skylight Motorised Remote</v>
      </c>
      <c r="VP40" t="str">
        <f>$UV$13</f>
        <v>Control Skylight Motorised Remote</v>
      </c>
      <c r="VQ40" t="str">
        <f>$UV$13</f>
        <v>Control Skylight Motorised Remote</v>
      </c>
      <c r="XF40" s="435" t="s">
        <v>1257</v>
      </c>
      <c r="XG40" s="435" t="s">
        <v>1290</v>
      </c>
      <c r="XH40" s="436" t="s">
        <v>1950</v>
      </c>
    </row>
    <row r="41" spans="12:710" ht="15">
      <c r="S41" t="s">
        <v>96</v>
      </c>
      <c r="T41">
        <v>2232</v>
      </c>
      <c r="V41" s="1"/>
      <c r="AW41" s="36"/>
      <c r="DN41" s="106"/>
      <c r="DO41" s="199" t="s">
        <v>472</v>
      </c>
      <c r="DP41" s="199">
        <v>2</v>
      </c>
      <c r="DQ41" s="199">
        <f t="shared" si="5"/>
        <v>0</v>
      </c>
      <c r="LJ41" t="s">
        <v>466</v>
      </c>
      <c r="LK41">
        <v>0</v>
      </c>
      <c r="LX41" s="186" t="s">
        <v>901</v>
      </c>
      <c r="RB41" t="s">
        <v>1175</v>
      </c>
      <c r="UC41" s="35"/>
      <c r="VD41" t="s">
        <v>2131</v>
      </c>
      <c r="XF41" s="435" t="s">
        <v>1258</v>
      </c>
      <c r="XG41" s="435" t="s">
        <v>1872</v>
      </c>
      <c r="XH41" s="436" t="s">
        <v>1951</v>
      </c>
    </row>
    <row r="42" spans="12:710" ht="15">
      <c r="S42" t="s">
        <v>21</v>
      </c>
      <c r="T42">
        <v>2233</v>
      </c>
      <c r="V42" s="1"/>
      <c r="AW42" s="36"/>
      <c r="DN42" s="106"/>
      <c r="DO42" s="199" t="s">
        <v>466</v>
      </c>
      <c r="DP42" s="199">
        <v>2</v>
      </c>
      <c r="DQ42" s="199">
        <f t="shared" si="5"/>
        <v>0</v>
      </c>
      <c r="LJ42" t="s">
        <v>476</v>
      </c>
      <c r="LK42">
        <v>0</v>
      </c>
      <c r="LX42" s="186" t="s">
        <v>537</v>
      </c>
      <c r="RB42" t="s">
        <v>1851</v>
      </c>
      <c r="VD42" t="s">
        <v>2130</v>
      </c>
      <c r="XF42" s="435" t="s">
        <v>2029</v>
      </c>
      <c r="XG42" s="435" t="s">
        <v>1873</v>
      </c>
      <c r="XH42" s="436" t="s">
        <v>1952</v>
      </c>
    </row>
    <row r="43" spans="12:710" ht="15">
      <c r="S43" t="s">
        <v>27</v>
      </c>
      <c r="T43">
        <v>2157</v>
      </c>
      <c r="V43" s="1"/>
      <c r="DN43" s="106"/>
      <c r="DO43" s="199" t="s">
        <v>476</v>
      </c>
      <c r="DP43" s="199">
        <v>2</v>
      </c>
      <c r="DQ43" s="199">
        <f t="shared" si="5"/>
        <v>0</v>
      </c>
      <c r="LJ43" t="s">
        <v>518</v>
      </c>
      <c r="LK43">
        <v>0</v>
      </c>
      <c r="LX43" s="186" t="s">
        <v>902</v>
      </c>
      <c r="RB43" t="s">
        <v>1176</v>
      </c>
      <c r="VD43" t="s">
        <v>2129</v>
      </c>
      <c r="XF43" s="435" t="s">
        <v>2031</v>
      </c>
      <c r="XG43" s="435" t="s">
        <v>1874</v>
      </c>
      <c r="XH43" s="435" t="s">
        <v>1944</v>
      </c>
    </row>
    <row r="44" spans="12:710" ht="15">
      <c r="S44" t="s">
        <v>20</v>
      </c>
      <c r="T44">
        <v>2158</v>
      </c>
      <c r="V44" s="1"/>
      <c r="DN44" s="106"/>
      <c r="DO44" s="199" t="s">
        <v>518</v>
      </c>
      <c r="DP44" s="199">
        <v>2</v>
      </c>
      <c r="DQ44" s="199">
        <f t="shared" si="5"/>
        <v>0</v>
      </c>
      <c r="LJ44" t="s">
        <v>477</v>
      </c>
      <c r="LK44">
        <v>0</v>
      </c>
      <c r="LX44" s="186" t="s">
        <v>903</v>
      </c>
      <c r="RB44" t="s">
        <v>2136</v>
      </c>
      <c r="VD44" t="s">
        <v>2132</v>
      </c>
      <c r="XF44" s="435" t="s">
        <v>1259</v>
      </c>
      <c r="XG44" s="435" t="s">
        <v>1875</v>
      </c>
      <c r="XH44" s="435" t="s">
        <v>1945</v>
      </c>
    </row>
    <row r="45" spans="12:710" ht="25.5" customHeight="1">
      <c r="S45" t="s">
        <v>28</v>
      </c>
      <c r="T45">
        <v>2159</v>
      </c>
      <c r="V45" s="1"/>
      <c r="DN45" s="106"/>
      <c r="DO45" s="199" t="s">
        <v>477</v>
      </c>
      <c r="DP45" s="199">
        <v>3</v>
      </c>
      <c r="DQ45" s="199">
        <f t="shared" si="5"/>
        <v>0</v>
      </c>
      <c r="LJ45" t="s">
        <v>474</v>
      </c>
      <c r="LK45">
        <v>0</v>
      </c>
      <c r="LX45" s="186" t="s">
        <v>904</v>
      </c>
      <c r="VD45" t="s">
        <v>2135</v>
      </c>
      <c r="XF45" s="435" t="s">
        <v>1317</v>
      </c>
      <c r="XG45" s="435" t="s">
        <v>1876</v>
      </c>
      <c r="XH45" s="435" t="s">
        <v>1946</v>
      </c>
    </row>
    <row r="46" spans="12:710" ht="15">
      <c r="S46" t="s">
        <v>21</v>
      </c>
      <c r="T46">
        <v>2160</v>
      </c>
      <c r="V46" s="1"/>
      <c r="DN46" s="106"/>
      <c r="DO46" s="199" t="s">
        <v>474</v>
      </c>
      <c r="DP46" s="199">
        <v>3</v>
      </c>
      <c r="DQ46" s="199">
        <f t="shared" si="5"/>
        <v>0</v>
      </c>
      <c r="LJ46" t="s">
        <v>467</v>
      </c>
      <c r="LK46">
        <v>0</v>
      </c>
      <c r="LX46" s="186" t="s">
        <v>510</v>
      </c>
      <c r="UU46" t="s">
        <v>1174</v>
      </c>
      <c r="UV46" t="s">
        <v>1175</v>
      </c>
      <c r="UW46" t="s">
        <v>1851</v>
      </c>
      <c r="UX46" t="s">
        <v>1176</v>
      </c>
      <c r="UY46" t="s">
        <v>2136</v>
      </c>
      <c r="VD46" t="s">
        <v>2134</v>
      </c>
      <c r="XF46" s="435" t="s">
        <v>1318</v>
      </c>
      <c r="XG46" s="435" t="s">
        <v>1877</v>
      </c>
      <c r="XH46" s="435" t="s">
        <v>1947</v>
      </c>
    </row>
    <row r="47" spans="12:710" ht="15">
      <c r="S47" t="s">
        <v>22</v>
      </c>
      <c r="T47">
        <v>2161</v>
      </c>
      <c r="V47" s="2"/>
      <c r="DN47" s="106"/>
      <c r="DO47" s="199" t="s">
        <v>467</v>
      </c>
      <c r="DP47" s="199">
        <v>3</v>
      </c>
      <c r="DQ47" s="199">
        <f t="shared" si="5"/>
        <v>0</v>
      </c>
      <c r="LJ47" t="s">
        <v>469</v>
      </c>
      <c r="LK47">
        <v>0</v>
      </c>
      <c r="LX47" s="186" t="s">
        <v>496</v>
      </c>
      <c r="UT47" t="s">
        <v>1206</v>
      </c>
      <c r="VD47" t="s">
        <v>2133</v>
      </c>
      <c r="WD47" s="178" t="s">
        <v>1857</v>
      </c>
      <c r="WE47" s="178" t="s">
        <v>1858</v>
      </c>
      <c r="WF47" s="178" t="s">
        <v>1859</v>
      </c>
      <c r="WG47" s="178" t="s">
        <v>1860</v>
      </c>
      <c r="WH47" s="178" t="s">
        <v>1861</v>
      </c>
      <c r="WI47" s="178" t="s">
        <v>1862</v>
      </c>
      <c r="WJ47" s="178" t="s">
        <v>1863</v>
      </c>
      <c r="WK47" s="178" t="s">
        <v>1864</v>
      </c>
      <c r="WL47" s="178" t="s">
        <v>1865</v>
      </c>
      <c r="WM47" s="178" t="s">
        <v>1866</v>
      </c>
      <c r="WN47" s="178" t="s">
        <v>1867</v>
      </c>
      <c r="XF47" s="435" t="s">
        <v>1319</v>
      </c>
      <c r="XG47" s="435" t="s">
        <v>1878</v>
      </c>
      <c r="XH47" s="435" t="s">
        <v>1948</v>
      </c>
    </row>
    <row r="48" spans="12:710" ht="15">
      <c r="S48" t="s">
        <v>69</v>
      </c>
      <c r="T48">
        <v>2162</v>
      </c>
      <c r="V48" s="2"/>
      <c r="DN48" s="106"/>
      <c r="DO48" s="199" t="s">
        <v>469</v>
      </c>
      <c r="DP48" s="199">
        <v>3</v>
      </c>
      <c r="DQ48" s="199">
        <f t="shared" si="5"/>
        <v>0</v>
      </c>
      <c r="LJ48" t="s">
        <v>478</v>
      </c>
      <c r="LK48">
        <v>0</v>
      </c>
      <c r="LX48" s="186" t="s">
        <v>497</v>
      </c>
      <c r="UT48" t="s">
        <v>1213</v>
      </c>
      <c r="VD48" t="s">
        <v>2328</v>
      </c>
      <c r="WD48" s="204" t="s">
        <v>1177</v>
      </c>
      <c r="WE48" t="s">
        <v>1215</v>
      </c>
      <c r="WF48" s="204" t="s">
        <v>1177</v>
      </c>
      <c r="WG48" s="204" t="s">
        <v>1177</v>
      </c>
      <c r="WH48" t="s">
        <v>1215</v>
      </c>
      <c r="WI48" s="204" t="s">
        <v>1177</v>
      </c>
      <c r="WJ48" s="204" t="s">
        <v>1177</v>
      </c>
      <c r="WK48" t="s">
        <v>1215</v>
      </c>
      <c r="WL48" s="204" t="s">
        <v>1177</v>
      </c>
      <c r="WM48" s="204" t="s">
        <v>1177</v>
      </c>
      <c r="WN48" s="204" t="s">
        <v>1177</v>
      </c>
      <c r="XF48" s="435" t="s">
        <v>1320</v>
      </c>
      <c r="XG48" s="435" t="s">
        <v>1879</v>
      </c>
      <c r="XH48" s="435" t="s">
        <v>1255</v>
      </c>
    </row>
    <row r="49" spans="19:632" ht="15">
      <c r="S49" t="s">
        <v>28</v>
      </c>
      <c r="T49">
        <v>2163</v>
      </c>
      <c r="V49" s="1"/>
      <c r="DN49" s="106"/>
      <c r="DO49" s="199" t="s">
        <v>478</v>
      </c>
      <c r="DP49" s="199">
        <v>3</v>
      </c>
      <c r="DQ49" s="199">
        <f t="shared" si="5"/>
        <v>0</v>
      </c>
      <c r="LJ49" t="s">
        <v>463</v>
      </c>
      <c r="LK49">
        <v>0</v>
      </c>
      <c r="LX49" s="186" t="s">
        <v>498</v>
      </c>
      <c r="UT49" t="s">
        <v>1207</v>
      </c>
      <c r="VD49" t="s">
        <v>2329</v>
      </c>
      <c r="WD49" s="204" t="s">
        <v>2154</v>
      </c>
      <c r="WE49" t="s">
        <v>1440</v>
      </c>
      <c r="WF49" s="204" t="s">
        <v>2154</v>
      </c>
      <c r="WG49" s="204" t="s">
        <v>2154</v>
      </c>
      <c r="WH49" t="s">
        <v>1440</v>
      </c>
      <c r="WI49" s="204" t="s">
        <v>2154</v>
      </c>
      <c r="WJ49" s="204" t="s">
        <v>2154</v>
      </c>
      <c r="WK49" t="s">
        <v>1440</v>
      </c>
      <c r="WL49" s="204" t="s">
        <v>2154</v>
      </c>
      <c r="WM49" s="204" t="s">
        <v>2154</v>
      </c>
      <c r="WN49" s="204" t="s">
        <v>2154</v>
      </c>
      <c r="XF49" s="435" t="s">
        <v>1321</v>
      </c>
      <c r="XG49" s="435" t="s">
        <v>1880</v>
      </c>
      <c r="XH49" s="435" t="s">
        <v>1256</v>
      </c>
    </row>
    <row r="50" spans="19:632" ht="15">
      <c r="S50" t="s">
        <v>21</v>
      </c>
      <c r="T50">
        <v>2164</v>
      </c>
      <c r="V50" s="1"/>
      <c r="DN50" s="106"/>
      <c r="DO50" s="199" t="s">
        <v>463</v>
      </c>
      <c r="DP50" s="199">
        <v>4</v>
      </c>
      <c r="DQ50" s="199">
        <f t="shared" si="5"/>
        <v>0</v>
      </c>
      <c r="LJ50" t="s">
        <v>468</v>
      </c>
      <c r="LK50">
        <v>0</v>
      </c>
      <c r="LX50" s="186" t="s">
        <v>905</v>
      </c>
      <c r="UT50" t="s">
        <v>1201</v>
      </c>
      <c r="WD50" s="204" t="s">
        <v>2152</v>
      </c>
      <c r="WF50" s="204" t="s">
        <v>2152</v>
      </c>
      <c r="WG50" s="204" t="s">
        <v>2152</v>
      </c>
      <c r="WI50" s="204" t="s">
        <v>2152</v>
      </c>
      <c r="WJ50" s="204" t="s">
        <v>2152</v>
      </c>
      <c r="WL50" s="204" t="s">
        <v>2152</v>
      </c>
      <c r="WM50" s="204" t="s">
        <v>2152</v>
      </c>
      <c r="WN50" s="204" t="s">
        <v>2152</v>
      </c>
      <c r="XF50" s="435" t="s">
        <v>1307</v>
      </c>
      <c r="XG50" s="435" t="s">
        <v>1975</v>
      </c>
      <c r="XH50" s="435" t="s">
        <v>1257</v>
      </c>
    </row>
    <row r="51" spans="19:632" ht="15">
      <c r="S51" t="s">
        <v>29</v>
      </c>
      <c r="T51">
        <v>2167</v>
      </c>
      <c r="V51" s="1"/>
      <c r="DN51" s="106"/>
      <c r="DO51" s="199" t="s">
        <v>468</v>
      </c>
      <c r="DP51" s="199">
        <v>4</v>
      </c>
      <c r="DQ51" s="199">
        <f t="shared" si="5"/>
        <v>0</v>
      </c>
      <c r="LJ51" t="s">
        <v>473</v>
      </c>
      <c r="LK51">
        <v>0</v>
      </c>
      <c r="LX51" s="186" t="s">
        <v>1009</v>
      </c>
      <c r="UT51" t="s">
        <v>1212</v>
      </c>
      <c r="WD51" s="204" t="s">
        <v>2151</v>
      </c>
      <c r="WF51" s="204" t="s">
        <v>2151</v>
      </c>
      <c r="WG51" s="204" t="s">
        <v>2151</v>
      </c>
      <c r="WI51" s="204" t="s">
        <v>2151</v>
      </c>
      <c r="WJ51" s="204" t="s">
        <v>2151</v>
      </c>
      <c r="WL51" s="204" t="s">
        <v>2151</v>
      </c>
      <c r="WM51" s="204" t="s">
        <v>2151</v>
      </c>
      <c r="WN51" s="204" t="s">
        <v>2151</v>
      </c>
      <c r="XF51" s="435" t="s">
        <v>1308</v>
      </c>
      <c r="XG51" s="435" t="s">
        <v>1976</v>
      </c>
      <c r="XH51" s="435" t="s">
        <v>1965</v>
      </c>
    </row>
    <row r="52" spans="19:632" ht="15">
      <c r="S52" t="s">
        <v>23</v>
      </c>
      <c r="T52">
        <v>2168</v>
      </c>
      <c r="V52" s="1"/>
      <c r="DN52" s="106"/>
      <c r="DO52" s="199" t="s">
        <v>473</v>
      </c>
      <c r="DP52" s="199">
        <v>4</v>
      </c>
      <c r="DQ52" s="199">
        <f t="shared" si="5"/>
        <v>0</v>
      </c>
      <c r="LJ52" t="s">
        <v>475</v>
      </c>
      <c r="LK52">
        <v>0</v>
      </c>
      <c r="LX52" s="186" t="s">
        <v>1010</v>
      </c>
      <c r="UT52" t="s">
        <v>1184</v>
      </c>
      <c r="WD52" s="204" t="s">
        <v>2153</v>
      </c>
      <c r="WF52" s="204" t="s">
        <v>2153</v>
      </c>
      <c r="WG52" s="204" t="s">
        <v>2153</v>
      </c>
      <c r="WI52" s="204" t="s">
        <v>2153</v>
      </c>
      <c r="WJ52" s="204" t="s">
        <v>2153</v>
      </c>
      <c r="WL52" s="204" t="s">
        <v>2153</v>
      </c>
      <c r="WM52" s="204" t="s">
        <v>2153</v>
      </c>
      <c r="WN52" s="204" t="s">
        <v>2153</v>
      </c>
      <c r="XF52" s="435" t="s">
        <v>1309</v>
      </c>
      <c r="XG52" s="435" t="s">
        <v>1977</v>
      </c>
      <c r="XH52" s="436" t="s">
        <v>1954</v>
      </c>
    </row>
    <row r="53" spans="19:632" ht="15">
      <c r="S53" t="s">
        <v>24</v>
      </c>
      <c r="T53">
        <v>2183</v>
      </c>
      <c r="V53" s="1"/>
      <c r="DN53" s="106"/>
      <c r="DO53" s="199" t="s">
        <v>475</v>
      </c>
      <c r="DP53" s="199">
        <v>4</v>
      </c>
      <c r="DQ53" s="199">
        <f t="shared" si="5"/>
        <v>0</v>
      </c>
      <c r="HX53" t="s">
        <v>727</v>
      </c>
      <c r="LJ53" t="s">
        <v>519</v>
      </c>
      <c r="LK53">
        <v>0</v>
      </c>
      <c r="LX53" s="186" t="s">
        <v>1022</v>
      </c>
      <c r="UT53" t="s">
        <v>1202</v>
      </c>
      <c r="WD53" s="204" t="s">
        <v>2155</v>
      </c>
      <c r="WF53" s="204" t="s">
        <v>2155</v>
      </c>
      <c r="WG53" s="204" t="s">
        <v>2155</v>
      </c>
      <c r="WI53" s="204" t="s">
        <v>2155</v>
      </c>
      <c r="WJ53" s="204" t="s">
        <v>2155</v>
      </c>
      <c r="WL53" s="204" t="s">
        <v>2155</v>
      </c>
      <c r="WM53" s="204" t="s">
        <v>2155</v>
      </c>
      <c r="WN53" s="204" t="s">
        <v>2155</v>
      </c>
      <c r="XF53" s="435" t="s">
        <v>1310</v>
      </c>
      <c r="XG53" s="435" t="s">
        <v>1978</v>
      </c>
      <c r="XH53" s="436" t="s">
        <v>1955</v>
      </c>
    </row>
    <row r="54" spans="19:632" ht="15">
      <c r="S54" t="s">
        <v>78</v>
      </c>
      <c r="T54">
        <v>2184</v>
      </c>
      <c r="V54" s="1"/>
      <c r="DN54" s="106"/>
      <c r="DO54" s="199" t="s">
        <v>519</v>
      </c>
      <c r="DP54" s="199">
        <v>4</v>
      </c>
      <c r="DQ54" s="199">
        <f t="shared" si="5"/>
        <v>0</v>
      </c>
      <c r="HX54" t="s">
        <v>754</v>
      </c>
      <c r="LJ54" t="s">
        <v>520</v>
      </c>
      <c r="LK54">
        <v>0</v>
      </c>
      <c r="LX54" s="186" t="s">
        <v>1023</v>
      </c>
      <c r="UT54" t="s">
        <v>1214</v>
      </c>
      <c r="WD54" s="204" t="s">
        <v>1178</v>
      </c>
      <c r="WF54" s="204" t="s">
        <v>1178</v>
      </c>
      <c r="WG54" s="204" t="s">
        <v>1178</v>
      </c>
      <c r="WI54" s="204" t="s">
        <v>1178</v>
      </c>
      <c r="WJ54" s="204" t="s">
        <v>1178</v>
      </c>
      <c r="WL54" s="204" t="s">
        <v>1178</v>
      </c>
      <c r="WM54" s="204" t="s">
        <v>1178</v>
      </c>
      <c r="WN54" s="204" t="s">
        <v>1178</v>
      </c>
      <c r="XF54" s="435" t="s">
        <v>1311</v>
      </c>
      <c r="XG54" s="435" t="s">
        <v>1979</v>
      </c>
      <c r="XH54" s="436" t="s">
        <v>1956</v>
      </c>
    </row>
    <row r="55" spans="19:632">
      <c r="S55" t="s">
        <v>80</v>
      </c>
      <c r="T55">
        <v>2185</v>
      </c>
      <c r="V55" s="1"/>
      <c r="DO55" s="199" t="s">
        <v>520</v>
      </c>
      <c r="DP55" s="199">
        <v>4</v>
      </c>
      <c r="DQ55" s="199">
        <f t="shared" si="5"/>
        <v>0</v>
      </c>
      <c r="HX55" t="s">
        <v>755</v>
      </c>
      <c r="LJ55" t="s">
        <v>521</v>
      </c>
      <c r="LK55">
        <v>0</v>
      </c>
      <c r="LX55" s="186" t="s">
        <v>1026</v>
      </c>
      <c r="UT55" t="s">
        <v>1182</v>
      </c>
      <c r="WD55" s="204" t="s">
        <v>1853</v>
      </c>
      <c r="WF55" s="204" t="s">
        <v>1853</v>
      </c>
      <c r="WG55" s="204" t="s">
        <v>1853</v>
      </c>
      <c r="WI55" s="204" t="s">
        <v>1853</v>
      </c>
      <c r="WJ55" s="204" t="s">
        <v>1853</v>
      </c>
      <c r="WL55" s="204" t="s">
        <v>1853</v>
      </c>
      <c r="WM55" s="204" t="s">
        <v>1853</v>
      </c>
      <c r="WN55" s="204" t="s">
        <v>1853</v>
      </c>
      <c r="XF55" s="435"/>
      <c r="XG55" s="435" t="s">
        <v>1980</v>
      </c>
      <c r="XH55" s="436" t="s">
        <v>1957</v>
      </c>
    </row>
    <row r="56" spans="19:632">
      <c r="S56" t="s">
        <v>83</v>
      </c>
      <c r="T56">
        <v>2186</v>
      </c>
      <c r="V56" s="1"/>
      <c r="DO56" s="199" t="s">
        <v>521</v>
      </c>
      <c r="DP56" s="199">
        <v>4</v>
      </c>
      <c r="DQ56" s="199">
        <f t="shared" si="5"/>
        <v>0</v>
      </c>
      <c r="FF56" t="s">
        <v>641</v>
      </c>
      <c r="HX56" t="s">
        <v>756</v>
      </c>
      <c r="LJ56" t="s">
        <v>464</v>
      </c>
      <c r="LK56">
        <v>0</v>
      </c>
      <c r="LX56" s="186" t="s">
        <v>1027</v>
      </c>
      <c r="UT56" t="s">
        <v>2034</v>
      </c>
      <c r="WD56" s="204" t="s">
        <v>1868</v>
      </c>
      <c r="WF56" s="204" t="s">
        <v>1868</v>
      </c>
      <c r="WG56" s="204" t="s">
        <v>1868</v>
      </c>
      <c r="WI56" s="204" t="s">
        <v>1868</v>
      </c>
      <c r="WJ56" s="204" t="s">
        <v>1868</v>
      </c>
      <c r="WL56" s="204" t="s">
        <v>1868</v>
      </c>
      <c r="WM56" s="204" t="s">
        <v>1868</v>
      </c>
      <c r="WN56" s="204" t="s">
        <v>1868</v>
      </c>
      <c r="XF56" s="435"/>
      <c r="XG56" s="435" t="s">
        <v>1981</v>
      </c>
      <c r="XH56" s="435" t="s">
        <v>2198</v>
      </c>
    </row>
    <row r="57" spans="19:632">
      <c r="S57" t="s">
        <v>86</v>
      </c>
      <c r="T57">
        <v>2187</v>
      </c>
      <c r="V57" s="1"/>
      <c r="DO57" s="199" t="s">
        <v>464</v>
      </c>
      <c r="DP57" s="199">
        <v>8</v>
      </c>
      <c r="DQ57" s="199">
        <f t="shared" si="5"/>
        <v>0</v>
      </c>
      <c r="FF57" t="s">
        <v>618</v>
      </c>
      <c r="HX57" t="s">
        <v>757</v>
      </c>
      <c r="LJ57" t="s">
        <v>465</v>
      </c>
      <c r="LK57">
        <v>0</v>
      </c>
      <c r="LX57" s="186" t="s">
        <v>1015</v>
      </c>
      <c r="UT57" t="s">
        <v>2035</v>
      </c>
      <c r="WD57" s="204" t="s">
        <v>1869</v>
      </c>
      <c r="WF57" s="204" t="s">
        <v>1869</v>
      </c>
      <c r="WG57" s="204" t="s">
        <v>1869</v>
      </c>
      <c r="WI57" s="204" t="s">
        <v>1869</v>
      </c>
      <c r="WJ57" s="204" t="s">
        <v>1869</v>
      </c>
      <c r="WL57" s="204" t="s">
        <v>1869</v>
      </c>
      <c r="WM57" s="204" t="s">
        <v>1869</v>
      </c>
      <c r="WN57" s="204" t="s">
        <v>1869</v>
      </c>
      <c r="XF57" s="435"/>
      <c r="XG57" s="435" t="s">
        <v>1982</v>
      </c>
      <c r="XH57" s="435" t="s">
        <v>2199</v>
      </c>
    </row>
    <row r="58" spans="19:632">
      <c r="S58" t="s">
        <v>89</v>
      </c>
      <c r="T58">
        <v>2188</v>
      </c>
      <c r="V58" s="1"/>
      <c r="DO58" s="199" t="s">
        <v>465</v>
      </c>
      <c r="DP58" s="199">
        <v>6</v>
      </c>
      <c r="DQ58" s="199">
        <f t="shared" si="5"/>
        <v>0</v>
      </c>
      <c r="FF58" t="s">
        <v>619</v>
      </c>
      <c r="HX58" t="s">
        <v>769</v>
      </c>
      <c r="LJ58" t="s">
        <v>470</v>
      </c>
      <c r="LK58">
        <v>0</v>
      </c>
      <c r="LX58" s="186" t="s">
        <v>1016</v>
      </c>
      <c r="UT58" t="s">
        <v>2036</v>
      </c>
      <c r="WD58" s="204" t="s">
        <v>1870</v>
      </c>
      <c r="WF58" s="204" t="s">
        <v>1870</v>
      </c>
      <c r="WG58" s="204" t="s">
        <v>1870</v>
      </c>
      <c r="WI58" s="204" t="s">
        <v>1870</v>
      </c>
      <c r="WJ58" s="204" t="s">
        <v>1870</v>
      </c>
      <c r="WL58" s="204" t="s">
        <v>1870</v>
      </c>
      <c r="WM58" s="204" t="s">
        <v>1870</v>
      </c>
      <c r="WN58" s="204" t="s">
        <v>1870</v>
      </c>
      <c r="XF58" s="435"/>
      <c r="XG58" s="435" t="s">
        <v>1983</v>
      </c>
      <c r="XH58" s="435" t="s">
        <v>2200</v>
      </c>
    </row>
    <row r="59" spans="19:632">
      <c r="S59" t="s">
        <v>26</v>
      </c>
      <c r="T59">
        <v>2222</v>
      </c>
      <c r="V59" s="1"/>
      <c r="DO59" s="199" t="s">
        <v>470</v>
      </c>
      <c r="DP59" s="199">
        <v>6</v>
      </c>
      <c r="DQ59" s="199">
        <f t="shared" si="5"/>
        <v>0</v>
      </c>
      <c r="FF59" t="s">
        <v>620</v>
      </c>
      <c r="HX59" t="s">
        <v>391</v>
      </c>
      <c r="LJ59" t="s">
        <v>522</v>
      </c>
      <c r="LK59">
        <v>0</v>
      </c>
      <c r="LX59" s="186" t="s">
        <v>1028</v>
      </c>
      <c r="UT59" t="s">
        <v>2176</v>
      </c>
      <c r="WD59" s="204" t="s">
        <v>1188</v>
      </c>
      <c r="WF59" s="204" t="s">
        <v>1188</v>
      </c>
      <c r="WG59" s="204" t="s">
        <v>1188</v>
      </c>
      <c r="WI59" s="204" t="s">
        <v>1188</v>
      </c>
      <c r="WJ59" s="204" t="s">
        <v>1188</v>
      </c>
      <c r="WL59" s="204" t="s">
        <v>1188</v>
      </c>
      <c r="WM59" s="204" t="s">
        <v>1188</v>
      </c>
      <c r="WN59" s="204" t="s">
        <v>1188</v>
      </c>
      <c r="XF59" s="435"/>
      <c r="XG59" s="435" t="s">
        <v>1984</v>
      </c>
      <c r="XH59" s="435" t="s">
        <v>2201</v>
      </c>
    </row>
    <row r="60" spans="19:632">
      <c r="S60" t="s">
        <v>113</v>
      </c>
      <c r="T60">
        <v>2223</v>
      </c>
      <c r="V60" s="1"/>
      <c r="DO60" s="199" t="s">
        <v>522</v>
      </c>
      <c r="DP60" s="199">
        <v>8</v>
      </c>
      <c r="DQ60" s="199">
        <f t="shared" si="5"/>
        <v>0</v>
      </c>
      <c r="FF60" t="s">
        <v>621</v>
      </c>
      <c r="HX60" t="s">
        <v>669</v>
      </c>
      <c r="LJ60" t="s">
        <v>523</v>
      </c>
      <c r="LK60">
        <v>0</v>
      </c>
      <c r="LX60" s="186" t="s">
        <v>1029</v>
      </c>
      <c r="UT60" t="s">
        <v>2177</v>
      </c>
      <c r="VD60" t="s">
        <v>2049</v>
      </c>
      <c r="WD60" s="204" t="s">
        <v>1871</v>
      </c>
      <c r="WF60" s="204" t="s">
        <v>1871</v>
      </c>
      <c r="WG60" s="204" t="s">
        <v>1871</v>
      </c>
      <c r="WI60" s="204" t="s">
        <v>1871</v>
      </c>
      <c r="WJ60" s="204" t="s">
        <v>1871</v>
      </c>
      <c r="WL60" s="204" t="s">
        <v>1871</v>
      </c>
      <c r="WM60" s="204" t="s">
        <v>1871</v>
      </c>
      <c r="WN60" s="204" t="s">
        <v>1871</v>
      </c>
      <c r="XF60" s="435"/>
      <c r="XG60" s="435" t="s">
        <v>1985</v>
      </c>
      <c r="XH60" s="435" t="s">
        <v>2202</v>
      </c>
    </row>
    <row r="61" spans="19:632">
      <c r="S61" t="s">
        <v>25</v>
      </c>
      <c r="T61">
        <v>2234</v>
      </c>
      <c r="V61" s="1"/>
      <c r="DO61" s="199" t="s">
        <v>523</v>
      </c>
      <c r="DP61" s="199">
        <v>6</v>
      </c>
      <c r="DQ61" s="199">
        <f t="shared" si="5"/>
        <v>0</v>
      </c>
      <c r="FF61" t="s">
        <v>1083</v>
      </c>
      <c r="HX61" t="s">
        <v>670</v>
      </c>
      <c r="LJ61" t="s">
        <v>524</v>
      </c>
      <c r="LK61">
        <v>0</v>
      </c>
      <c r="LX61" s="186" t="s">
        <v>499</v>
      </c>
      <c r="VD61" t="s">
        <v>1451</v>
      </c>
      <c r="WD61" s="204" t="s">
        <v>2156</v>
      </c>
      <c r="WF61" s="204" t="s">
        <v>2156</v>
      </c>
      <c r="WG61" s="204" t="s">
        <v>2156</v>
      </c>
      <c r="WI61" s="204" t="s">
        <v>2156</v>
      </c>
      <c r="WJ61" s="204" t="s">
        <v>2156</v>
      </c>
      <c r="WL61" s="204" t="s">
        <v>2156</v>
      </c>
      <c r="WM61" s="204" t="s">
        <v>2156</v>
      </c>
      <c r="WN61" s="204" t="s">
        <v>2156</v>
      </c>
      <c r="XF61" s="435"/>
      <c r="XG61" s="435" t="s">
        <v>1986</v>
      </c>
      <c r="XH61" s="435" t="s">
        <v>1958</v>
      </c>
    </row>
    <row r="62" spans="19:632">
      <c r="S62" t="s">
        <v>28</v>
      </c>
      <c r="T62">
        <v>2235</v>
      </c>
      <c r="V62" s="1"/>
      <c r="DO62" s="199" t="s">
        <v>524</v>
      </c>
      <c r="DP62" s="199">
        <v>6</v>
      </c>
      <c r="DQ62" s="199">
        <f t="shared" si="5"/>
        <v>0</v>
      </c>
      <c r="FF62" t="s">
        <v>622</v>
      </c>
      <c r="HX62" t="s">
        <v>671</v>
      </c>
      <c r="LJ62" t="s">
        <v>525</v>
      </c>
      <c r="LK62">
        <v>0</v>
      </c>
      <c r="LX62" s="186" t="s">
        <v>515</v>
      </c>
      <c r="VD62" t="s">
        <v>1452</v>
      </c>
      <c r="XF62" s="435"/>
      <c r="XG62" s="435" t="s">
        <v>1291</v>
      </c>
      <c r="XH62" s="35"/>
    </row>
    <row r="63" spans="19:632">
      <c r="S63" t="s">
        <v>96</v>
      </c>
      <c r="T63">
        <v>2236</v>
      </c>
      <c r="V63" s="3"/>
      <c r="DO63" s="199" t="s">
        <v>525</v>
      </c>
      <c r="DP63" s="199">
        <v>2</v>
      </c>
      <c r="DQ63" s="199">
        <f t="shared" si="5"/>
        <v>0</v>
      </c>
      <c r="FF63" t="s">
        <v>623</v>
      </c>
      <c r="HX63" t="s">
        <v>672</v>
      </c>
      <c r="LJ63" t="s">
        <v>526</v>
      </c>
      <c r="LK63">
        <v>0</v>
      </c>
      <c r="LX63" s="186" t="s">
        <v>500</v>
      </c>
      <c r="VD63" t="s">
        <v>1811</v>
      </c>
      <c r="XF63" s="435"/>
      <c r="XG63" s="435" t="s">
        <v>1292</v>
      </c>
      <c r="XH63" s="35"/>
    </row>
    <row r="64" spans="19:632">
      <c r="S64" t="s">
        <v>21</v>
      </c>
      <c r="T64">
        <v>2237</v>
      </c>
      <c r="V64" s="1"/>
      <c r="DO64" s="199" t="s">
        <v>909</v>
      </c>
      <c r="DP64" s="199">
        <v>2</v>
      </c>
      <c r="DQ64" s="199">
        <f t="shared" si="5"/>
        <v>0</v>
      </c>
      <c r="FF64" t="s">
        <v>832</v>
      </c>
      <c r="HX64" t="s">
        <v>758</v>
      </c>
      <c r="LJ64" t="s">
        <v>527</v>
      </c>
      <c r="LK64">
        <v>0</v>
      </c>
      <c r="LX64" s="186" t="s">
        <v>501</v>
      </c>
      <c r="VD64" t="s">
        <v>1812</v>
      </c>
      <c r="XF64" s="435"/>
      <c r="XG64" s="435" t="s">
        <v>1293</v>
      </c>
      <c r="XH64" s="35"/>
    </row>
    <row r="65" spans="19:632">
      <c r="S65" t="s">
        <v>27</v>
      </c>
      <c r="T65">
        <v>2191</v>
      </c>
      <c r="V65" s="2"/>
      <c r="DO65" s="199" t="s">
        <v>530</v>
      </c>
      <c r="DP65" s="199">
        <v>3</v>
      </c>
      <c r="DQ65" s="199">
        <f t="shared" si="5"/>
        <v>0</v>
      </c>
      <c r="FF65" t="s">
        <v>309</v>
      </c>
      <c r="HX65" t="s">
        <v>674</v>
      </c>
      <c r="LJ65" t="s">
        <v>528</v>
      </c>
      <c r="LK65">
        <v>0</v>
      </c>
      <c r="LX65" s="186" t="s">
        <v>502</v>
      </c>
      <c r="VD65" t="s">
        <v>2128</v>
      </c>
      <c r="XF65" s="435"/>
      <c r="XG65" s="435" t="s">
        <v>1294</v>
      </c>
      <c r="XH65" s="35"/>
    </row>
    <row r="66" spans="19:632">
      <c r="S66" t="s">
        <v>20</v>
      </c>
      <c r="T66">
        <v>2192</v>
      </c>
      <c r="V66" s="1"/>
      <c r="DO66" s="199" t="s">
        <v>531</v>
      </c>
      <c r="DP66" s="199">
        <v>3</v>
      </c>
      <c r="DQ66" s="199">
        <f t="shared" si="5"/>
        <v>0</v>
      </c>
      <c r="FF66" t="s">
        <v>868</v>
      </c>
      <c r="HX66" t="s">
        <v>770</v>
      </c>
      <c r="LJ66" t="s">
        <v>529</v>
      </c>
      <c r="LK66">
        <v>0</v>
      </c>
      <c r="LX66" s="186" t="s">
        <v>906</v>
      </c>
      <c r="VD66" t="s">
        <v>2129</v>
      </c>
      <c r="XF66" s="435"/>
      <c r="XG66" s="435" t="s">
        <v>1295</v>
      </c>
      <c r="XH66" s="35"/>
    </row>
    <row r="67" spans="19:632">
      <c r="S67" t="s">
        <v>28</v>
      </c>
      <c r="T67">
        <v>2193</v>
      </c>
      <c r="V67" s="1"/>
      <c r="DO67" s="199" t="s">
        <v>528</v>
      </c>
      <c r="DP67" s="199">
        <v>3</v>
      </c>
      <c r="DQ67" s="199">
        <f t="shared" si="5"/>
        <v>0</v>
      </c>
      <c r="FF67" t="s">
        <v>869</v>
      </c>
      <c r="HX67" t="s">
        <v>759</v>
      </c>
      <c r="LJ67" t="s">
        <v>530</v>
      </c>
      <c r="LK67">
        <v>0</v>
      </c>
      <c r="LX67" s="186" t="s">
        <v>503</v>
      </c>
      <c r="VD67" t="s">
        <v>2130</v>
      </c>
      <c r="XF67" s="435"/>
      <c r="XG67" s="435" t="s">
        <v>1312</v>
      </c>
      <c r="XH67" s="35"/>
    </row>
    <row r="68" spans="19:632">
      <c r="S68" t="s">
        <v>21</v>
      </c>
      <c r="T68">
        <v>2194</v>
      </c>
      <c r="V68" s="1"/>
      <c r="DO68" s="199" t="s">
        <v>529</v>
      </c>
      <c r="DP68" s="199">
        <v>3</v>
      </c>
      <c r="DQ68" s="199">
        <f t="shared" si="5"/>
        <v>0</v>
      </c>
      <c r="FF68" s="327" t="s">
        <v>1790</v>
      </c>
      <c r="HX68" s="327" t="s">
        <v>1786</v>
      </c>
      <c r="LJ68" t="s">
        <v>531</v>
      </c>
      <c r="LK68">
        <v>0</v>
      </c>
      <c r="LX68" s="186" t="s">
        <v>504</v>
      </c>
      <c r="VD68" t="s">
        <v>2131</v>
      </c>
      <c r="XF68" s="435"/>
      <c r="XG68" s="435" t="s">
        <v>1313</v>
      </c>
      <c r="XH68" s="35"/>
    </row>
    <row r="69" spans="19:632">
      <c r="S69" t="s">
        <v>22</v>
      </c>
      <c r="T69">
        <v>2195</v>
      </c>
      <c r="V69" s="1"/>
      <c r="DO69" s="199" t="s">
        <v>897</v>
      </c>
      <c r="DP69" s="199">
        <v>4</v>
      </c>
      <c r="DQ69" s="199">
        <f t="shared" ref="DQ69:DQ132" si="16">LEN(DO69)-LEN(SUBSTITUTE(DO69,"T",""))</f>
        <v>0</v>
      </c>
      <c r="FF69" s="327" t="s">
        <v>1783</v>
      </c>
      <c r="HX69" t="s">
        <v>679</v>
      </c>
      <c r="LJ69" t="s">
        <v>532</v>
      </c>
      <c r="LK69">
        <v>0</v>
      </c>
      <c r="LX69" s="186" t="s">
        <v>533</v>
      </c>
      <c r="VD69" t="s">
        <v>2132</v>
      </c>
      <c r="XF69" s="435"/>
      <c r="XG69" s="435" t="s">
        <v>1314</v>
      </c>
      <c r="XH69" s="35"/>
    </row>
    <row r="70" spans="19:632">
      <c r="S70" t="s">
        <v>69</v>
      </c>
      <c r="T70">
        <v>2196</v>
      </c>
      <c r="V70" s="1"/>
      <c r="DO70" s="199" t="s">
        <v>922</v>
      </c>
      <c r="DP70" s="199">
        <v>4</v>
      </c>
      <c r="DQ70" s="199">
        <f t="shared" si="16"/>
        <v>0</v>
      </c>
      <c r="FF70" t="s">
        <v>624</v>
      </c>
      <c r="HX70" t="s">
        <v>683</v>
      </c>
      <c r="LJ70" t="s">
        <v>479</v>
      </c>
      <c r="LK70">
        <v>0</v>
      </c>
      <c r="LX70" s="186" t="s">
        <v>907</v>
      </c>
      <c r="VD70" t="s">
        <v>2133</v>
      </c>
      <c r="XF70" s="435"/>
      <c r="XG70" s="435" t="s">
        <v>1315</v>
      </c>
      <c r="XH70" s="35"/>
    </row>
    <row r="71" spans="19:632">
      <c r="S71" t="s">
        <v>28</v>
      </c>
      <c r="T71">
        <v>2197</v>
      </c>
      <c r="V71" s="1"/>
      <c r="DO71" s="199" t="s">
        <v>923</v>
      </c>
      <c r="DP71" s="199">
        <v>4</v>
      </c>
      <c r="DQ71" s="199">
        <f t="shared" si="16"/>
        <v>0</v>
      </c>
      <c r="FF71" t="s">
        <v>1526</v>
      </c>
      <c r="HX71" s="327" t="s">
        <v>760</v>
      </c>
      <c r="LJ71" t="s">
        <v>480</v>
      </c>
      <c r="LK71">
        <v>1</v>
      </c>
      <c r="LX71" s="186" t="s">
        <v>908</v>
      </c>
      <c r="VD71" t="s">
        <v>2134</v>
      </c>
      <c r="XF71" s="435"/>
      <c r="XG71" s="435" t="s">
        <v>2015</v>
      </c>
      <c r="XH71" s="35"/>
    </row>
    <row r="72" spans="19:632">
      <c r="S72" t="s">
        <v>21</v>
      </c>
      <c r="T72">
        <v>2198</v>
      </c>
      <c r="V72" s="2"/>
      <c r="DO72" s="199" t="s">
        <v>924</v>
      </c>
      <c r="DP72" s="199">
        <v>4</v>
      </c>
      <c r="DQ72" s="199">
        <f t="shared" si="16"/>
        <v>0</v>
      </c>
      <c r="FF72" t="s">
        <v>625</v>
      </c>
      <c r="HX72" s="327" t="s">
        <v>761</v>
      </c>
      <c r="LJ72" t="s">
        <v>533</v>
      </c>
      <c r="LK72">
        <v>2</v>
      </c>
      <c r="LX72" s="186" t="s">
        <v>505</v>
      </c>
      <c r="VD72" t="s">
        <v>2135</v>
      </c>
      <c r="XF72" s="435"/>
      <c r="XG72" s="435" t="s">
        <v>1316</v>
      </c>
      <c r="XH72" s="35"/>
    </row>
    <row r="73" spans="19:632">
      <c r="S73" t="s">
        <v>29</v>
      </c>
      <c r="T73">
        <v>2199</v>
      </c>
      <c r="V73" s="1"/>
      <c r="DO73" s="199" t="s">
        <v>925</v>
      </c>
      <c r="DP73" s="199">
        <v>4</v>
      </c>
      <c r="DQ73" s="199">
        <f t="shared" si="16"/>
        <v>0</v>
      </c>
      <c r="FF73" t="s">
        <v>310</v>
      </c>
      <c r="HX73" s="327" t="s">
        <v>762</v>
      </c>
      <c r="LJ73" t="s">
        <v>534</v>
      </c>
      <c r="LK73">
        <v>0</v>
      </c>
      <c r="LX73" s="186" t="s">
        <v>422</v>
      </c>
      <c r="XF73" s="435"/>
      <c r="XG73" s="435" t="s">
        <v>1322</v>
      </c>
      <c r="XH73" s="35"/>
    </row>
    <row r="74" spans="19:632">
      <c r="S74" t="s">
        <v>23</v>
      </c>
      <c r="T74">
        <v>2200</v>
      </c>
      <c r="V74" s="1"/>
      <c r="DO74" s="199" t="s">
        <v>479</v>
      </c>
      <c r="DP74" s="199">
        <v>4</v>
      </c>
      <c r="DQ74" s="199">
        <f t="shared" si="16"/>
        <v>0</v>
      </c>
      <c r="FF74" t="s">
        <v>626</v>
      </c>
      <c r="HX74" s="327" t="s">
        <v>1497</v>
      </c>
      <c r="LJ74" t="s">
        <v>535</v>
      </c>
      <c r="LK74">
        <v>1</v>
      </c>
      <c r="LX74" s="186" t="s">
        <v>909</v>
      </c>
      <c r="XF74" s="435"/>
      <c r="XG74" s="435" t="s">
        <v>1323</v>
      </c>
      <c r="XH74" s="35"/>
    </row>
    <row r="75" spans="19:632">
      <c r="S75" t="s">
        <v>24</v>
      </c>
      <c r="T75">
        <v>2201</v>
      </c>
      <c r="V75" s="1"/>
      <c r="DO75" s="199" t="s">
        <v>888</v>
      </c>
      <c r="DP75" s="199">
        <v>3</v>
      </c>
      <c r="DQ75" s="199">
        <f t="shared" si="16"/>
        <v>0</v>
      </c>
      <c r="FF75" t="s">
        <v>627</v>
      </c>
      <c r="HX75" s="327" t="s">
        <v>768</v>
      </c>
      <c r="LJ75" t="s">
        <v>536</v>
      </c>
      <c r="LK75">
        <v>2</v>
      </c>
      <c r="LX75" s="186" t="s">
        <v>910</v>
      </c>
      <c r="SF75" s="178" t="s">
        <v>1923</v>
      </c>
      <c r="SH75" s="178"/>
      <c r="XF75" s="435"/>
      <c r="XG75" s="435" t="s">
        <v>1324</v>
      </c>
      <c r="XH75" s="35"/>
    </row>
    <row r="76" spans="19:632">
      <c r="S76" t="s">
        <v>78</v>
      </c>
      <c r="T76">
        <v>2202</v>
      </c>
      <c r="V76" s="89"/>
      <c r="DO76" s="199" t="s">
        <v>912</v>
      </c>
      <c r="DP76" s="199">
        <v>3</v>
      </c>
      <c r="DQ76" s="199">
        <f t="shared" si="16"/>
        <v>0</v>
      </c>
      <c r="FF76" t="s">
        <v>628</v>
      </c>
      <c r="HX76" s="327" t="s">
        <v>763</v>
      </c>
      <c r="LJ76" t="s">
        <v>483</v>
      </c>
      <c r="LK76">
        <v>0</v>
      </c>
      <c r="LX76" s="186" t="s">
        <v>529</v>
      </c>
      <c r="SF76" s="435" t="s">
        <v>2157</v>
      </c>
      <c r="XF76" s="435"/>
      <c r="XG76" s="435" t="s">
        <v>1325</v>
      </c>
      <c r="XH76" s="35"/>
    </row>
    <row r="77" spans="19:632">
      <c r="S77" t="s">
        <v>80</v>
      </c>
      <c r="T77">
        <v>2203</v>
      </c>
      <c r="V77" s="4"/>
      <c r="DO77" s="199" t="s">
        <v>889</v>
      </c>
      <c r="DP77" s="199">
        <v>3</v>
      </c>
      <c r="DQ77" s="199">
        <f t="shared" si="16"/>
        <v>0</v>
      </c>
      <c r="FF77" t="s">
        <v>629</v>
      </c>
      <c r="HX77" s="327" t="s">
        <v>764</v>
      </c>
      <c r="LJ77" t="s">
        <v>481</v>
      </c>
      <c r="LK77">
        <v>0</v>
      </c>
      <c r="LX77" s="186" t="s">
        <v>911</v>
      </c>
      <c r="SF77" s="435" t="s">
        <v>1988</v>
      </c>
      <c r="XF77" s="435"/>
      <c r="XG77" s="435" t="s">
        <v>1326</v>
      </c>
      <c r="XH77" s="35"/>
    </row>
    <row r="78" spans="19:632">
      <c r="S78" t="s">
        <v>83</v>
      </c>
      <c r="T78">
        <v>2204</v>
      </c>
      <c r="V78" s="1"/>
      <c r="DO78" s="199" t="s">
        <v>910</v>
      </c>
      <c r="DP78" s="199">
        <v>3</v>
      </c>
      <c r="DQ78" s="199">
        <f t="shared" si="16"/>
        <v>0</v>
      </c>
      <c r="FF78" t="s">
        <v>630</v>
      </c>
      <c r="HX78" s="327" t="s">
        <v>765</v>
      </c>
      <c r="LJ78" t="s">
        <v>482</v>
      </c>
      <c r="LK78">
        <v>1</v>
      </c>
      <c r="LX78" s="186" t="s">
        <v>912</v>
      </c>
      <c r="SF78" s="435" t="s">
        <v>1105</v>
      </c>
      <c r="XF78" s="435"/>
      <c r="XG78" s="435" t="s">
        <v>1967</v>
      </c>
      <c r="XH78" s="35"/>
    </row>
    <row r="79" spans="19:632">
      <c r="S79" t="s">
        <v>86</v>
      </c>
      <c r="T79">
        <v>2205</v>
      </c>
      <c r="V79" s="1"/>
      <c r="DO79" s="199" t="s">
        <v>911</v>
      </c>
      <c r="DP79" s="199">
        <v>3</v>
      </c>
      <c r="DQ79" s="199">
        <f t="shared" si="16"/>
        <v>0</v>
      </c>
      <c r="FF79" t="s">
        <v>631</v>
      </c>
      <c r="LJ79" t="s">
        <v>537</v>
      </c>
      <c r="LK79">
        <v>0</v>
      </c>
      <c r="LX79" s="186" t="s">
        <v>913</v>
      </c>
      <c r="SF79" s="435" t="s">
        <v>1881</v>
      </c>
      <c r="SI79" s="178" t="s">
        <v>1925</v>
      </c>
      <c r="SJ79" s="178" t="s">
        <v>1926</v>
      </c>
      <c r="XF79" s="435"/>
      <c r="XG79" s="435" t="s">
        <v>1966</v>
      </c>
      <c r="XH79" s="35"/>
    </row>
    <row r="80" spans="19:632">
      <c r="S80" t="s">
        <v>89</v>
      </c>
      <c r="T80">
        <v>2206</v>
      </c>
      <c r="V80" s="1"/>
      <c r="DO80" s="199" t="s">
        <v>534</v>
      </c>
      <c r="DP80" s="199">
        <v>6</v>
      </c>
      <c r="DQ80" s="199">
        <f t="shared" si="16"/>
        <v>0</v>
      </c>
      <c r="FF80" t="s">
        <v>632</v>
      </c>
      <c r="LJ80" t="s">
        <v>538</v>
      </c>
      <c r="LK80">
        <v>1</v>
      </c>
      <c r="LX80" s="186" t="s">
        <v>914</v>
      </c>
      <c r="SF80" s="435" t="s">
        <v>1162</v>
      </c>
      <c r="SI80" s="435" t="s">
        <v>1872</v>
      </c>
      <c r="SJ80" s="435" t="s">
        <v>1218</v>
      </c>
      <c r="XF80" s="435"/>
      <c r="XG80" s="435" t="s">
        <v>1968</v>
      </c>
      <c r="XH80" s="35"/>
    </row>
    <row r="81" spans="19:632">
      <c r="S81" t="s">
        <v>26</v>
      </c>
      <c r="T81">
        <v>2220</v>
      </c>
      <c r="V81" s="1"/>
      <c r="DO81" s="199" t="s">
        <v>926</v>
      </c>
      <c r="DP81" s="199">
        <v>6</v>
      </c>
      <c r="DQ81" s="199">
        <f t="shared" si="16"/>
        <v>0</v>
      </c>
      <c r="FF81" t="s">
        <v>633</v>
      </c>
      <c r="LJ81" t="s">
        <v>539</v>
      </c>
      <c r="LK81">
        <v>3</v>
      </c>
      <c r="LX81" s="186" t="s">
        <v>915</v>
      </c>
      <c r="SF81" s="435" t="s">
        <v>1882</v>
      </c>
      <c r="SI81" s="435" t="s">
        <v>1873</v>
      </c>
      <c r="SJ81" s="435" t="s">
        <v>377</v>
      </c>
      <c r="XF81" s="435"/>
      <c r="XG81" s="435" t="s">
        <v>1969</v>
      </c>
      <c r="XH81" s="35"/>
    </row>
    <row r="82" spans="19:632">
      <c r="S82" t="s">
        <v>113</v>
      </c>
      <c r="T82">
        <v>2221</v>
      </c>
      <c r="V82" s="1"/>
      <c r="DO82" s="199" t="s">
        <v>533</v>
      </c>
      <c r="DP82" s="199">
        <v>4</v>
      </c>
      <c r="DQ82" s="199">
        <f t="shared" si="16"/>
        <v>2</v>
      </c>
      <c r="FF82" t="s">
        <v>317</v>
      </c>
      <c r="LJ82" t="s">
        <v>540</v>
      </c>
      <c r="LK82">
        <v>2</v>
      </c>
      <c r="LX82" s="186" t="s">
        <v>916</v>
      </c>
      <c r="SF82" s="435" t="s">
        <v>1883</v>
      </c>
      <c r="SI82" s="435" t="s">
        <v>1874</v>
      </c>
      <c r="SJ82" s="435" t="s">
        <v>1221</v>
      </c>
      <c r="XF82" s="435"/>
      <c r="XG82" s="435" t="s">
        <v>1255</v>
      </c>
      <c r="XH82" s="35"/>
    </row>
    <row r="83" spans="19:632">
      <c r="S83" t="s">
        <v>25</v>
      </c>
      <c r="T83">
        <v>2226</v>
      </c>
      <c r="V83" s="1"/>
      <c r="DO83" s="199" t="s">
        <v>480</v>
      </c>
      <c r="DP83" s="199">
        <v>4</v>
      </c>
      <c r="DQ83" s="199">
        <f t="shared" si="16"/>
        <v>1</v>
      </c>
      <c r="FF83" t="s">
        <v>634</v>
      </c>
      <c r="LJ83" t="s">
        <v>541</v>
      </c>
      <c r="LK83">
        <v>2</v>
      </c>
      <c r="LX83" s="186" t="s">
        <v>917</v>
      </c>
      <c r="SF83" s="435" t="s">
        <v>1884</v>
      </c>
      <c r="SI83" s="435" t="s">
        <v>1875</v>
      </c>
      <c r="SJ83" s="435" t="s">
        <v>1162</v>
      </c>
      <c r="WD83" s="204" t="s">
        <v>2137</v>
      </c>
      <c r="WE83" s="204" t="s">
        <v>2138</v>
      </c>
      <c r="WF83" s="204" t="s">
        <v>2139</v>
      </c>
      <c r="WG83" s="204" t="s">
        <v>2140</v>
      </c>
      <c r="WH83" s="204" t="s">
        <v>2141</v>
      </c>
      <c r="WI83" s="204" t="s">
        <v>2142</v>
      </c>
      <c r="WJ83" s="204" t="s">
        <v>2143</v>
      </c>
      <c r="WK83" s="204" t="s">
        <v>2144</v>
      </c>
      <c r="WL83" s="204" t="s">
        <v>2145</v>
      </c>
      <c r="WM83" s="204" t="s">
        <v>2146</v>
      </c>
      <c r="WN83" s="204" t="s">
        <v>2147</v>
      </c>
      <c r="XF83" s="435"/>
      <c r="XG83" s="435" t="s">
        <v>2016</v>
      </c>
      <c r="XH83" s="35"/>
    </row>
    <row r="84" spans="19:632">
      <c r="S84" t="s">
        <v>28</v>
      </c>
      <c r="T84">
        <v>2227</v>
      </c>
      <c r="V84" s="1"/>
      <c r="DO84" s="199" t="s">
        <v>927</v>
      </c>
      <c r="DP84" s="199">
        <v>8</v>
      </c>
      <c r="DQ84" s="199">
        <f t="shared" si="16"/>
        <v>0</v>
      </c>
      <c r="FF84" t="s">
        <v>635</v>
      </c>
      <c r="LX84" s="186" t="s">
        <v>918</v>
      </c>
      <c r="SF84" s="435" t="s">
        <v>2158</v>
      </c>
      <c r="SI84" s="435" t="s">
        <v>1876</v>
      </c>
      <c r="SJ84" s="435" t="s">
        <v>1234</v>
      </c>
      <c r="WD84" t="s">
        <v>1177</v>
      </c>
      <c r="WE84" t="s">
        <v>1215</v>
      </c>
      <c r="WF84" t="s">
        <v>1177</v>
      </c>
      <c r="WG84" t="s">
        <v>1177</v>
      </c>
      <c r="WH84" t="s">
        <v>1215</v>
      </c>
      <c r="WI84" t="s">
        <v>1177</v>
      </c>
      <c r="WJ84" t="s">
        <v>1177</v>
      </c>
      <c r="WK84" t="s">
        <v>1215</v>
      </c>
      <c r="WL84" t="s">
        <v>1177</v>
      </c>
      <c r="WM84" t="s">
        <v>1177</v>
      </c>
      <c r="WN84" t="s">
        <v>1177</v>
      </c>
      <c r="XF84" s="435"/>
      <c r="XG84" s="435" t="s">
        <v>2032</v>
      </c>
    </row>
    <row r="85" spans="19:632">
      <c r="S85" t="s">
        <v>96</v>
      </c>
      <c r="T85">
        <v>2228</v>
      </c>
      <c r="V85" s="1"/>
      <c r="DO85" s="199" t="s">
        <v>898</v>
      </c>
      <c r="DP85" s="199">
        <v>8</v>
      </c>
      <c r="DQ85" s="199">
        <f t="shared" si="16"/>
        <v>1</v>
      </c>
      <c r="FF85" t="s">
        <v>636</v>
      </c>
      <c r="LX85" s="186" t="s">
        <v>1011</v>
      </c>
      <c r="SF85" s="435" t="s">
        <v>2159</v>
      </c>
      <c r="SI85" s="435" t="s">
        <v>1877</v>
      </c>
      <c r="WD85" t="s">
        <v>1178</v>
      </c>
      <c r="WE85" t="s">
        <v>1440</v>
      </c>
      <c r="WF85" t="s">
        <v>1178</v>
      </c>
      <c r="WG85" t="s">
        <v>1178</v>
      </c>
      <c r="WH85" t="s">
        <v>1440</v>
      </c>
      <c r="WI85" t="s">
        <v>1178</v>
      </c>
      <c r="WJ85" t="s">
        <v>1178</v>
      </c>
      <c r="WK85" t="s">
        <v>1440</v>
      </c>
      <c r="WL85" t="s">
        <v>1178</v>
      </c>
      <c r="WM85" t="s">
        <v>1178</v>
      </c>
      <c r="WN85" t="s">
        <v>1178</v>
      </c>
      <c r="XF85" s="435"/>
      <c r="XG85" s="435" t="s">
        <v>2028</v>
      </c>
    </row>
    <row r="86" spans="19:632">
      <c r="S86" t="s">
        <v>21</v>
      </c>
      <c r="T86">
        <v>2229</v>
      </c>
      <c r="V86" s="2"/>
      <c r="DO86" s="199" t="s">
        <v>535</v>
      </c>
      <c r="DP86" s="199">
        <v>6</v>
      </c>
      <c r="DQ86" s="199">
        <f t="shared" si="16"/>
        <v>1</v>
      </c>
      <c r="FF86" t="s">
        <v>316</v>
      </c>
      <c r="LX86" s="186" t="s">
        <v>1012</v>
      </c>
      <c r="SE86" s="178" t="s">
        <v>1922</v>
      </c>
      <c r="SF86" s="435" t="s">
        <v>1885</v>
      </c>
      <c r="SI86" s="435" t="s">
        <v>1878</v>
      </c>
      <c r="WD86" t="s">
        <v>1852</v>
      </c>
      <c r="WF86" t="s">
        <v>1852</v>
      </c>
      <c r="WG86" t="s">
        <v>1852</v>
      </c>
      <c r="WI86" t="s">
        <v>1852</v>
      </c>
      <c r="WJ86" t="s">
        <v>1852</v>
      </c>
      <c r="WL86" t="s">
        <v>1852</v>
      </c>
      <c r="WM86" t="s">
        <v>1852</v>
      </c>
      <c r="WN86" t="s">
        <v>1852</v>
      </c>
      <c r="XF86" s="435"/>
      <c r="XG86" s="435" t="s">
        <v>1256</v>
      </c>
    </row>
    <row r="87" spans="19:632">
      <c r="V87" s="1"/>
      <c r="DO87" s="199" t="s">
        <v>899</v>
      </c>
      <c r="DP87" s="199">
        <v>7</v>
      </c>
      <c r="DQ87" s="199">
        <f t="shared" si="16"/>
        <v>2</v>
      </c>
      <c r="FF87" t="s">
        <v>637</v>
      </c>
      <c r="LX87" s="186" t="s">
        <v>1017</v>
      </c>
      <c r="SE87" s="435" t="s">
        <v>1872</v>
      </c>
      <c r="SF87" s="435" t="s">
        <v>1886</v>
      </c>
      <c r="SG87" s="178" t="s">
        <v>1924</v>
      </c>
      <c r="SI87" s="435" t="s">
        <v>1879</v>
      </c>
      <c r="WD87" t="s">
        <v>1854</v>
      </c>
      <c r="WF87" t="s">
        <v>1854</v>
      </c>
      <c r="WG87" t="s">
        <v>1854</v>
      </c>
      <c r="WI87" t="s">
        <v>1854</v>
      </c>
      <c r="WJ87" t="s">
        <v>1854</v>
      </c>
      <c r="WL87" t="s">
        <v>1854</v>
      </c>
      <c r="WM87" t="s">
        <v>1854</v>
      </c>
      <c r="WN87" t="s">
        <v>1854</v>
      </c>
      <c r="XF87" s="435"/>
      <c r="XG87" s="435" t="s">
        <v>1257</v>
      </c>
    </row>
    <row r="88" spans="19:632">
      <c r="V88" s="1"/>
      <c r="DO88" s="199" t="s">
        <v>483</v>
      </c>
      <c r="DP88" s="199">
        <v>2</v>
      </c>
      <c r="DQ88" s="199">
        <f t="shared" si="16"/>
        <v>0</v>
      </c>
      <c r="FF88" s="327" t="s">
        <v>1789</v>
      </c>
      <c r="LX88" s="186" t="s">
        <v>1018</v>
      </c>
      <c r="SE88" s="435" t="s">
        <v>1873</v>
      </c>
      <c r="SF88" s="435" t="s">
        <v>1887</v>
      </c>
      <c r="SG88" s="435" t="s">
        <v>1218</v>
      </c>
      <c r="SI88" s="435" t="s">
        <v>1880</v>
      </c>
      <c r="XF88" s="435"/>
      <c r="XG88" s="435" t="s">
        <v>1258</v>
      </c>
    </row>
    <row r="89" spans="19:632">
      <c r="V89" s="1"/>
      <c r="DO89" s="199" t="s">
        <v>913</v>
      </c>
      <c r="DP89" s="199">
        <v>2</v>
      </c>
      <c r="DQ89" s="199">
        <f t="shared" si="16"/>
        <v>0</v>
      </c>
      <c r="FF89" s="327" t="s">
        <v>1782</v>
      </c>
      <c r="LX89" s="186" t="s">
        <v>919</v>
      </c>
      <c r="SE89" s="435" t="s">
        <v>1874</v>
      </c>
      <c r="SF89" s="435" t="s">
        <v>2160</v>
      </c>
      <c r="SG89" s="435" t="s">
        <v>1162</v>
      </c>
      <c r="XF89" s="435"/>
      <c r="XG89" s="435" t="s">
        <v>2029</v>
      </c>
    </row>
    <row r="90" spans="19:632">
      <c r="V90" s="1"/>
      <c r="DO90" s="199" t="s">
        <v>900</v>
      </c>
      <c r="DP90" s="199">
        <v>3</v>
      </c>
      <c r="DQ90" s="199">
        <f t="shared" si="16"/>
        <v>0</v>
      </c>
      <c r="FF90" t="s">
        <v>638</v>
      </c>
      <c r="LX90" s="186" t="s">
        <v>920</v>
      </c>
      <c r="SE90" s="435" t="s">
        <v>1875</v>
      </c>
      <c r="SF90" s="435" t="s">
        <v>2161</v>
      </c>
      <c r="SG90" s="435" t="s">
        <v>1234</v>
      </c>
      <c r="XF90" s="435"/>
      <c r="XG90" s="435" t="s">
        <v>2031</v>
      </c>
    </row>
    <row r="91" spans="19:632">
      <c r="V91" s="1"/>
      <c r="DO91" s="199" t="s">
        <v>904</v>
      </c>
      <c r="DP91" s="199">
        <v>3</v>
      </c>
      <c r="DQ91" s="199">
        <f t="shared" si="16"/>
        <v>0</v>
      </c>
      <c r="FF91" t="s">
        <v>639</v>
      </c>
      <c r="LX91" s="186" t="s">
        <v>921</v>
      </c>
      <c r="SE91" s="435" t="s">
        <v>1876</v>
      </c>
      <c r="SF91" s="435" t="s">
        <v>1888</v>
      </c>
      <c r="SG91" s="435" t="s">
        <v>1227</v>
      </c>
      <c r="XF91" s="435"/>
      <c r="XG91" s="435" t="s">
        <v>1259</v>
      </c>
    </row>
    <row r="92" spans="19:632">
      <c r="V92" s="3"/>
      <c r="DO92" s="199" t="s">
        <v>891</v>
      </c>
      <c r="DP92" s="199">
        <v>3</v>
      </c>
      <c r="DQ92" s="199">
        <f t="shared" si="16"/>
        <v>0</v>
      </c>
      <c r="FF92" t="s">
        <v>640</v>
      </c>
      <c r="LX92" s="186" t="s">
        <v>509</v>
      </c>
      <c r="SE92" s="435" t="s">
        <v>1877</v>
      </c>
      <c r="SF92" s="435" t="s">
        <v>1889</v>
      </c>
      <c r="XF92" s="435"/>
      <c r="XG92" s="435" t="s">
        <v>1970</v>
      </c>
    </row>
    <row r="93" spans="19:632">
      <c r="V93" s="5"/>
      <c r="DO93" s="199" t="s">
        <v>915</v>
      </c>
      <c r="DP93" s="199">
        <v>3</v>
      </c>
      <c r="DQ93" s="199">
        <f t="shared" si="16"/>
        <v>0</v>
      </c>
      <c r="FF93" t="s">
        <v>393</v>
      </c>
      <c r="LX93" s="186"/>
      <c r="SE93" s="435" t="s">
        <v>1878</v>
      </c>
      <c r="SF93" s="435" t="s">
        <v>2162</v>
      </c>
      <c r="XF93" s="435"/>
      <c r="XG93" s="435" t="s">
        <v>1971</v>
      </c>
    </row>
    <row r="94" spans="19:632">
      <c r="V94" s="4"/>
      <c r="DO94" s="199" t="s">
        <v>901</v>
      </c>
      <c r="DP94" s="199">
        <v>4</v>
      </c>
      <c r="DQ94" s="199">
        <f t="shared" si="16"/>
        <v>0</v>
      </c>
      <c r="LX94" s="186"/>
      <c r="SE94" s="435" t="s">
        <v>1879</v>
      </c>
      <c r="SF94" s="435" t="s">
        <v>1890</v>
      </c>
      <c r="XF94" s="435"/>
      <c r="XG94" s="435" t="s">
        <v>1972</v>
      </c>
    </row>
    <row r="95" spans="19:632">
      <c r="V95" s="4"/>
      <c r="DO95" s="199" t="s">
        <v>928</v>
      </c>
      <c r="DP95" s="199">
        <v>4</v>
      </c>
      <c r="DQ95" s="199">
        <f t="shared" si="16"/>
        <v>0</v>
      </c>
      <c r="LX95" s="186"/>
      <c r="SE95" s="435" t="s">
        <v>1880</v>
      </c>
      <c r="SF95" s="435" t="s">
        <v>2163</v>
      </c>
      <c r="XF95" s="435"/>
      <c r="XG95" s="435" t="s">
        <v>1973</v>
      </c>
    </row>
    <row r="96" spans="19:632">
      <c r="V96" s="4"/>
      <c r="DO96" s="199" t="s">
        <v>929</v>
      </c>
      <c r="DP96" s="199">
        <v>4</v>
      </c>
      <c r="DQ96" s="199">
        <f t="shared" si="16"/>
        <v>0</v>
      </c>
      <c r="LX96" s="186"/>
      <c r="XF96" s="435"/>
      <c r="XG96" s="435" t="s">
        <v>1974</v>
      </c>
    </row>
    <row r="97" spans="22:631">
      <c r="V97" s="4"/>
      <c r="DO97" s="199" t="s">
        <v>930</v>
      </c>
      <c r="DP97" s="199">
        <v>4</v>
      </c>
      <c r="DQ97" s="199">
        <f t="shared" si="16"/>
        <v>0</v>
      </c>
      <c r="LX97" s="186"/>
      <c r="XF97" s="435"/>
      <c r="XG97" s="435" t="s">
        <v>1317</v>
      </c>
    </row>
    <row r="98" spans="22:631">
      <c r="V98" s="4"/>
      <c r="DO98" s="199" t="s">
        <v>931</v>
      </c>
      <c r="DP98" s="199">
        <v>4</v>
      </c>
      <c r="DQ98" s="199">
        <f t="shared" si="16"/>
        <v>0</v>
      </c>
      <c r="LX98" s="186"/>
      <c r="XF98" s="435"/>
      <c r="XG98" s="435" t="s">
        <v>1318</v>
      </c>
    </row>
    <row r="99" spans="22:631">
      <c r="V99" s="4"/>
      <c r="DO99" s="199" t="s">
        <v>481</v>
      </c>
      <c r="DP99" s="199">
        <v>4</v>
      </c>
      <c r="DQ99" s="199">
        <f t="shared" si="16"/>
        <v>0</v>
      </c>
      <c r="XF99" s="435"/>
      <c r="XG99" s="435" t="s">
        <v>1319</v>
      </c>
    </row>
    <row r="100" spans="22:631">
      <c r="V100" s="4"/>
      <c r="DO100" s="199" t="s">
        <v>890</v>
      </c>
      <c r="DP100" s="199">
        <v>3</v>
      </c>
      <c r="DQ100" s="199">
        <f t="shared" si="16"/>
        <v>0</v>
      </c>
      <c r="SH100" s="178" t="s">
        <v>1928</v>
      </c>
      <c r="WJ100" s="35" t="s">
        <v>2046</v>
      </c>
      <c r="WK100" t="s">
        <v>2047</v>
      </c>
      <c r="WL100" s="35" t="s">
        <v>2048</v>
      </c>
      <c r="XF100" s="435"/>
      <c r="XG100" s="435" t="s">
        <v>1320</v>
      </c>
    </row>
    <row r="101" spans="22:631">
      <c r="DO101" s="199" t="s">
        <v>917</v>
      </c>
      <c r="DP101" s="199">
        <v>3</v>
      </c>
      <c r="DQ101" s="199">
        <f t="shared" si="16"/>
        <v>0</v>
      </c>
      <c r="SH101" s="435" t="s">
        <v>1905</v>
      </c>
      <c r="WJ101" s="204" t="s">
        <v>1177</v>
      </c>
      <c r="WK101" t="s">
        <v>1215</v>
      </c>
      <c r="WL101" s="204" t="s">
        <v>1177</v>
      </c>
      <c r="XF101" s="435"/>
      <c r="XG101" s="435" t="s">
        <v>1321</v>
      </c>
    </row>
    <row r="102" spans="22:631">
      <c r="DO102" s="199" t="s">
        <v>895</v>
      </c>
      <c r="DP102" s="199">
        <v>3</v>
      </c>
      <c r="DQ102" s="199">
        <f t="shared" si="16"/>
        <v>0</v>
      </c>
      <c r="SH102" s="435" t="s">
        <v>1906</v>
      </c>
      <c r="WJ102" s="204" t="s">
        <v>2154</v>
      </c>
      <c r="WK102" t="s">
        <v>1440</v>
      </c>
      <c r="WL102" s="204" t="s">
        <v>2154</v>
      </c>
      <c r="XF102" s="435"/>
      <c r="XG102" s="435" t="s">
        <v>2017</v>
      </c>
    </row>
    <row r="103" spans="22:631">
      <c r="DO103" s="199" t="s">
        <v>914</v>
      </c>
      <c r="DP103" s="199">
        <v>3</v>
      </c>
      <c r="DQ103" s="199">
        <f t="shared" si="16"/>
        <v>0</v>
      </c>
      <c r="SH103" s="435" t="s">
        <v>1907</v>
      </c>
      <c r="WJ103" s="204" t="s">
        <v>2152</v>
      </c>
      <c r="WL103" s="204" t="s">
        <v>2152</v>
      </c>
      <c r="XF103" s="435"/>
      <c r="XG103" s="435" t="s">
        <v>2018</v>
      </c>
    </row>
    <row r="104" spans="22:631">
      <c r="DO104" s="199" t="s">
        <v>916</v>
      </c>
      <c r="DP104" s="199">
        <v>3</v>
      </c>
      <c r="DQ104" s="199">
        <f t="shared" si="16"/>
        <v>0</v>
      </c>
      <c r="SH104" s="435" t="s">
        <v>1908</v>
      </c>
      <c r="SI104" s="178" t="s">
        <v>1929</v>
      </c>
      <c r="SJ104" s="178" t="s">
        <v>1930</v>
      </c>
      <c r="SK104" s="178" t="s">
        <v>1931</v>
      </c>
      <c r="WJ104" s="204" t="s">
        <v>2151</v>
      </c>
      <c r="WL104" s="204" t="s">
        <v>2151</v>
      </c>
      <c r="XF104" s="435"/>
      <c r="XG104" s="435" t="s">
        <v>1307</v>
      </c>
    </row>
    <row r="105" spans="22:631">
      <c r="DO105" s="199" t="s">
        <v>537</v>
      </c>
      <c r="DP105" s="199">
        <v>6</v>
      </c>
      <c r="DQ105" s="199">
        <f t="shared" si="16"/>
        <v>0</v>
      </c>
      <c r="SH105" s="435" t="s">
        <v>1909</v>
      </c>
      <c r="SI105" s="435" t="s">
        <v>1900</v>
      </c>
      <c r="SJ105" s="435" t="s">
        <v>1218</v>
      </c>
      <c r="SK105" s="435" t="s">
        <v>1910</v>
      </c>
      <c r="WJ105" s="204" t="s">
        <v>2153</v>
      </c>
      <c r="WL105" s="204" t="s">
        <v>2153</v>
      </c>
      <c r="XF105" s="435"/>
      <c r="XG105" s="435" t="s">
        <v>1308</v>
      </c>
    </row>
    <row r="106" spans="22:631">
      <c r="DO106" s="199" t="s">
        <v>932</v>
      </c>
      <c r="DP106" s="199">
        <v>6</v>
      </c>
      <c r="DQ106" s="199">
        <f t="shared" si="16"/>
        <v>0</v>
      </c>
      <c r="SI106" s="435" t="s">
        <v>1901</v>
      </c>
      <c r="SJ106" s="435" t="s">
        <v>1221</v>
      </c>
      <c r="SK106" s="435" t="s">
        <v>1911</v>
      </c>
      <c r="WJ106" s="204" t="s">
        <v>2155</v>
      </c>
      <c r="WL106" s="204" t="s">
        <v>2155</v>
      </c>
      <c r="XF106" s="435"/>
      <c r="XG106" s="435" t="s">
        <v>1309</v>
      </c>
    </row>
    <row r="107" spans="22:631">
      <c r="DO107" s="199" t="s">
        <v>908</v>
      </c>
      <c r="DP107" s="199">
        <v>4</v>
      </c>
      <c r="DQ107" s="199">
        <f t="shared" si="16"/>
        <v>2</v>
      </c>
      <c r="SI107" s="435" t="s">
        <v>1902</v>
      </c>
      <c r="SJ107" s="435" t="s">
        <v>1162</v>
      </c>
      <c r="SK107" s="435" t="s">
        <v>1912</v>
      </c>
      <c r="WJ107" s="204" t="s">
        <v>1178</v>
      </c>
      <c r="WL107" s="204" t="s">
        <v>1178</v>
      </c>
      <c r="XF107" s="435"/>
      <c r="XG107" s="435" t="s">
        <v>1310</v>
      </c>
    </row>
    <row r="108" spans="22:631">
      <c r="DO108" s="199" t="s">
        <v>482</v>
      </c>
      <c r="DP108" s="199">
        <v>4</v>
      </c>
      <c r="DQ108" s="199">
        <f t="shared" si="16"/>
        <v>1</v>
      </c>
      <c r="SF108" s="178" t="s">
        <v>1927</v>
      </c>
      <c r="SI108" s="435" t="s">
        <v>1903</v>
      </c>
      <c r="SJ108" s="435" t="s">
        <v>1920</v>
      </c>
      <c r="SK108" s="435" t="s">
        <v>1913</v>
      </c>
      <c r="WJ108" s="204" t="s">
        <v>1853</v>
      </c>
      <c r="WL108" s="204" t="s">
        <v>1853</v>
      </c>
      <c r="XF108" s="435"/>
      <c r="XG108" s="435" t="s">
        <v>2019</v>
      </c>
    </row>
    <row r="109" spans="22:631">
      <c r="DO109" s="199" t="s">
        <v>933</v>
      </c>
      <c r="DP109" s="199">
        <v>8</v>
      </c>
      <c r="DQ109" s="199">
        <f t="shared" si="16"/>
        <v>0</v>
      </c>
      <c r="SF109" s="435" t="s">
        <v>1891</v>
      </c>
      <c r="SI109" s="435" t="s">
        <v>1904</v>
      </c>
      <c r="SK109" s="435" t="s">
        <v>1914</v>
      </c>
      <c r="WJ109" s="204" t="s">
        <v>1868</v>
      </c>
      <c r="WL109" s="204" t="s">
        <v>1868</v>
      </c>
      <c r="XF109" s="435"/>
      <c r="XG109" s="435" t="s">
        <v>2020</v>
      </c>
    </row>
    <row r="110" spans="22:631">
      <c r="DO110" s="199" t="s">
        <v>902</v>
      </c>
      <c r="DP110" s="199">
        <v>8</v>
      </c>
      <c r="DQ110" s="199">
        <f t="shared" si="16"/>
        <v>1</v>
      </c>
      <c r="SF110" s="435" t="s">
        <v>1892</v>
      </c>
      <c r="WJ110" s="204" t="s">
        <v>1869</v>
      </c>
      <c r="WL110" s="204" t="s">
        <v>1869</v>
      </c>
      <c r="XF110" s="435"/>
      <c r="XG110" s="435" t="s">
        <v>1311</v>
      </c>
    </row>
    <row r="111" spans="22:631">
      <c r="DO111" s="199" t="s">
        <v>892</v>
      </c>
      <c r="DP111" s="199">
        <v>6</v>
      </c>
      <c r="DQ111" s="199">
        <f t="shared" si="16"/>
        <v>1</v>
      </c>
      <c r="SE111" s="178" t="s">
        <v>1921</v>
      </c>
      <c r="SF111" s="435" t="s">
        <v>1162</v>
      </c>
      <c r="WJ111" s="204" t="s">
        <v>1870</v>
      </c>
      <c r="WL111" s="204" t="s">
        <v>1870</v>
      </c>
      <c r="XF111" s="435"/>
      <c r="XG111" s="435" t="s">
        <v>2021</v>
      </c>
    </row>
    <row r="112" spans="22:631">
      <c r="DO112" s="199" t="s">
        <v>903</v>
      </c>
      <c r="DP112" s="199">
        <v>7</v>
      </c>
      <c r="DQ112" s="199">
        <f t="shared" si="16"/>
        <v>2</v>
      </c>
      <c r="SE112" s="435" t="s">
        <v>1891</v>
      </c>
      <c r="SF112" s="435" t="s">
        <v>1893</v>
      </c>
      <c r="SG112" s="178" t="s">
        <v>2033</v>
      </c>
      <c r="WJ112" s="204" t="s">
        <v>1188</v>
      </c>
      <c r="WL112" s="204" t="s">
        <v>1188</v>
      </c>
    </row>
    <row r="113" spans="119:610">
      <c r="DO113" s="199" t="s">
        <v>896</v>
      </c>
      <c r="DP113" s="199">
        <v>3</v>
      </c>
      <c r="DQ113" s="199">
        <f t="shared" si="16"/>
        <v>1</v>
      </c>
      <c r="SE113" s="435" t="s">
        <v>1892</v>
      </c>
      <c r="SF113" s="435" t="s">
        <v>1894</v>
      </c>
      <c r="SG113" s="435" t="s">
        <v>1916</v>
      </c>
      <c r="WJ113" s="204" t="s">
        <v>1871</v>
      </c>
      <c r="WL113" s="204" t="s">
        <v>1871</v>
      </c>
    </row>
    <row r="114" spans="119:610">
      <c r="DO114" s="199" t="s">
        <v>894</v>
      </c>
      <c r="DP114" s="199">
        <v>3</v>
      </c>
      <c r="DQ114" s="199">
        <f t="shared" si="16"/>
        <v>1</v>
      </c>
      <c r="SE114" s="435" t="s">
        <v>1162</v>
      </c>
      <c r="SF114" s="435" t="s">
        <v>1895</v>
      </c>
      <c r="SG114" s="435" t="s">
        <v>1917</v>
      </c>
      <c r="WJ114" s="204" t="s">
        <v>2156</v>
      </c>
      <c r="WL114" s="204" t="s">
        <v>2156</v>
      </c>
    </row>
    <row r="115" spans="119:610">
      <c r="DO115" s="199" t="s">
        <v>907</v>
      </c>
      <c r="DP115" s="199">
        <v>3</v>
      </c>
      <c r="DQ115" s="199">
        <f t="shared" si="16"/>
        <v>1</v>
      </c>
      <c r="SE115" s="435" t="s">
        <v>1893</v>
      </c>
      <c r="SF115" s="435" t="s">
        <v>1896</v>
      </c>
      <c r="SG115" s="435" t="s">
        <v>1162</v>
      </c>
    </row>
    <row r="116" spans="119:610">
      <c r="DO116" s="199" t="s">
        <v>893</v>
      </c>
      <c r="DP116" s="199">
        <v>4</v>
      </c>
      <c r="DQ116" s="199">
        <f t="shared" si="16"/>
        <v>2</v>
      </c>
      <c r="SE116" s="435" t="s">
        <v>1894</v>
      </c>
      <c r="SF116" s="435" t="s">
        <v>1897</v>
      </c>
      <c r="SG116" s="435" t="s">
        <v>1918</v>
      </c>
    </row>
    <row r="117" spans="119:610">
      <c r="DO117" s="199" t="s">
        <v>906</v>
      </c>
      <c r="DP117" s="199">
        <v>4</v>
      </c>
      <c r="DQ117" s="199">
        <f t="shared" si="16"/>
        <v>2</v>
      </c>
      <c r="SE117" s="435" t="s">
        <v>1915</v>
      </c>
      <c r="SF117" s="435" t="s">
        <v>1898</v>
      </c>
      <c r="SG117" s="435" t="s">
        <v>1888</v>
      </c>
    </row>
    <row r="118" spans="119:610">
      <c r="DO118" s="35" t="s">
        <v>1074</v>
      </c>
      <c r="DP118">
        <v>3</v>
      </c>
      <c r="DQ118" s="199">
        <f t="shared" si="16"/>
        <v>0</v>
      </c>
      <c r="SE118" s="435" t="s">
        <v>1899</v>
      </c>
      <c r="SF118" s="435" t="s">
        <v>1899</v>
      </c>
      <c r="SG118" s="435" t="s">
        <v>1919</v>
      </c>
    </row>
    <row r="119" spans="119:610">
      <c r="DO119" s="206" t="s">
        <v>1003</v>
      </c>
      <c r="DP119" s="206">
        <v>2</v>
      </c>
      <c r="DQ119" s="199">
        <f t="shared" si="16"/>
        <v>0</v>
      </c>
    </row>
    <row r="120" spans="119:610">
      <c r="DO120" s="206" t="s">
        <v>905</v>
      </c>
      <c r="DP120" s="206">
        <v>2</v>
      </c>
      <c r="DQ120" s="199">
        <f t="shared" si="16"/>
        <v>1</v>
      </c>
    </row>
    <row r="121" spans="119:610">
      <c r="DO121" s="206" t="s">
        <v>920</v>
      </c>
      <c r="DP121" s="206">
        <v>2</v>
      </c>
      <c r="DQ121" s="199">
        <f t="shared" si="16"/>
        <v>1</v>
      </c>
    </row>
    <row r="122" spans="119:610">
      <c r="DO122" s="206" t="s">
        <v>918</v>
      </c>
      <c r="DP122" s="206">
        <v>2</v>
      </c>
      <c r="DQ122" s="199">
        <f t="shared" si="16"/>
        <v>1</v>
      </c>
    </row>
    <row r="123" spans="119:610">
      <c r="DO123" s="206" t="s">
        <v>1005</v>
      </c>
      <c r="DP123" s="199">
        <v>3</v>
      </c>
      <c r="DQ123" s="199">
        <f t="shared" si="16"/>
        <v>1</v>
      </c>
    </row>
    <row r="124" spans="119:610">
      <c r="DO124" s="199" t="s">
        <v>1006</v>
      </c>
      <c r="DP124" s="199">
        <v>3</v>
      </c>
      <c r="DQ124" s="199">
        <f t="shared" si="16"/>
        <v>1</v>
      </c>
    </row>
    <row r="125" spans="119:610">
      <c r="DO125" s="199" t="s">
        <v>1007</v>
      </c>
      <c r="DP125" s="199">
        <v>3</v>
      </c>
      <c r="DQ125" s="199">
        <f t="shared" si="16"/>
        <v>1</v>
      </c>
    </row>
    <row r="126" spans="119:610">
      <c r="DO126" s="199" t="s">
        <v>1008</v>
      </c>
      <c r="DP126" s="199">
        <v>3</v>
      </c>
      <c r="DQ126" s="199">
        <f t="shared" si="16"/>
        <v>1</v>
      </c>
      <c r="WJ126" t="s">
        <v>2148</v>
      </c>
      <c r="WK126" t="s">
        <v>2149</v>
      </c>
      <c r="WL126" t="s">
        <v>2150</v>
      </c>
    </row>
    <row r="127" spans="119:610">
      <c r="DO127" s="199" t="s">
        <v>1009</v>
      </c>
      <c r="DP127" s="199">
        <v>3</v>
      </c>
      <c r="DQ127" s="199">
        <f t="shared" si="16"/>
        <v>1</v>
      </c>
      <c r="WJ127" t="s">
        <v>1177</v>
      </c>
      <c r="WK127" t="s">
        <v>1215</v>
      </c>
      <c r="WL127" t="s">
        <v>1177</v>
      </c>
    </row>
    <row r="128" spans="119:610">
      <c r="DO128" s="199" t="s">
        <v>1010</v>
      </c>
      <c r="DP128" s="199">
        <v>3</v>
      </c>
      <c r="DQ128" s="199">
        <f t="shared" si="16"/>
        <v>1</v>
      </c>
      <c r="WJ128" t="s">
        <v>1178</v>
      </c>
      <c r="WK128" t="s">
        <v>1440</v>
      </c>
      <c r="WL128" t="s">
        <v>1178</v>
      </c>
    </row>
    <row r="129" spans="119:610">
      <c r="DO129" s="199" t="s">
        <v>1011</v>
      </c>
      <c r="DP129" s="199">
        <v>3</v>
      </c>
      <c r="DQ129" s="199">
        <f t="shared" si="16"/>
        <v>1</v>
      </c>
      <c r="WJ129" t="s">
        <v>1852</v>
      </c>
      <c r="WL129" t="s">
        <v>1852</v>
      </c>
    </row>
    <row r="130" spans="119:610">
      <c r="DO130" t="s">
        <v>1012</v>
      </c>
      <c r="DP130">
        <v>3</v>
      </c>
      <c r="DQ130" s="199">
        <f t="shared" si="16"/>
        <v>1</v>
      </c>
      <c r="WJ130" t="s">
        <v>1854</v>
      </c>
      <c r="WL130" t="s">
        <v>1854</v>
      </c>
    </row>
    <row r="131" spans="119:610">
      <c r="DO131" t="s">
        <v>921</v>
      </c>
      <c r="DP131">
        <v>3</v>
      </c>
      <c r="DQ131" s="199">
        <f t="shared" si="16"/>
        <v>2</v>
      </c>
    </row>
    <row r="132" spans="119:610">
      <c r="DO132" t="s">
        <v>919</v>
      </c>
      <c r="DP132">
        <v>3</v>
      </c>
      <c r="DQ132" s="199">
        <f t="shared" si="16"/>
        <v>2</v>
      </c>
    </row>
    <row r="133" spans="119:610">
      <c r="DO133" t="s">
        <v>1013</v>
      </c>
      <c r="DP133">
        <v>4</v>
      </c>
      <c r="DQ133" s="199">
        <f t="shared" ref="DQ133:DQ157" si="17">LEN(DO133)-LEN(SUBSTITUTE(DO133,"T",""))</f>
        <v>1</v>
      </c>
    </row>
    <row r="134" spans="119:610">
      <c r="DO134" t="s">
        <v>1014</v>
      </c>
      <c r="DP134">
        <v>4</v>
      </c>
      <c r="DQ134" s="199">
        <f t="shared" si="17"/>
        <v>1</v>
      </c>
    </row>
    <row r="135" spans="119:610">
      <c r="DO135" t="s">
        <v>1015</v>
      </c>
      <c r="DP135">
        <v>4</v>
      </c>
      <c r="DQ135" s="199">
        <f t="shared" si="17"/>
        <v>2</v>
      </c>
    </row>
    <row r="136" spans="119:610">
      <c r="DO136" t="s">
        <v>1016</v>
      </c>
      <c r="DP136">
        <v>4</v>
      </c>
      <c r="DQ136" s="199">
        <f t="shared" si="17"/>
        <v>2</v>
      </c>
    </row>
    <row r="137" spans="119:610">
      <c r="DO137" t="s">
        <v>1017</v>
      </c>
      <c r="DP137">
        <v>4</v>
      </c>
      <c r="DQ137" s="199">
        <f t="shared" si="17"/>
        <v>2</v>
      </c>
    </row>
    <row r="138" spans="119:610">
      <c r="DO138" t="s">
        <v>1018</v>
      </c>
      <c r="DP138">
        <v>4</v>
      </c>
      <c r="DQ138" s="199">
        <f t="shared" si="17"/>
        <v>2</v>
      </c>
    </row>
    <row r="139" spans="119:610">
      <c r="DO139" t="s">
        <v>1019</v>
      </c>
      <c r="DP139">
        <v>5</v>
      </c>
      <c r="DQ139" s="199">
        <f t="shared" si="17"/>
        <v>2</v>
      </c>
    </row>
    <row r="140" spans="119:610">
      <c r="DO140" t="s">
        <v>1020</v>
      </c>
      <c r="DP140">
        <v>5</v>
      </c>
      <c r="DQ140" s="199">
        <f t="shared" si="17"/>
        <v>2</v>
      </c>
    </row>
    <row r="141" spans="119:610">
      <c r="DO141" t="s">
        <v>1021</v>
      </c>
      <c r="DP141">
        <v>5</v>
      </c>
      <c r="DQ141" s="199">
        <f t="shared" si="17"/>
        <v>2</v>
      </c>
    </row>
    <row r="142" spans="119:610">
      <c r="DO142" t="s">
        <v>1022</v>
      </c>
      <c r="DP142">
        <v>5</v>
      </c>
      <c r="DQ142" s="199">
        <f t="shared" si="17"/>
        <v>2</v>
      </c>
    </row>
    <row r="143" spans="119:610">
      <c r="DO143" t="s">
        <v>1023</v>
      </c>
      <c r="DP143">
        <v>5</v>
      </c>
      <c r="DQ143" s="199">
        <f t="shared" si="17"/>
        <v>2</v>
      </c>
    </row>
    <row r="144" spans="119:610">
      <c r="DO144" t="s">
        <v>1024</v>
      </c>
      <c r="DP144">
        <v>6</v>
      </c>
      <c r="DQ144" s="199">
        <f t="shared" si="17"/>
        <v>2</v>
      </c>
    </row>
    <row r="145" spans="119:501">
      <c r="DO145" t="s">
        <v>1025</v>
      </c>
      <c r="DP145">
        <v>6</v>
      </c>
      <c r="DQ145" s="199">
        <f t="shared" si="17"/>
        <v>2</v>
      </c>
    </row>
    <row r="146" spans="119:501">
      <c r="DO146" t="s">
        <v>1026</v>
      </c>
      <c r="DP146">
        <v>6</v>
      </c>
      <c r="DQ146" s="199">
        <f t="shared" si="17"/>
        <v>3</v>
      </c>
      <c r="SE146" t="s">
        <v>2212</v>
      </c>
      <c r="SF146" t="s">
        <v>2213</v>
      </c>
      <c r="SG146" t="s">
        <v>1943</v>
      </c>
    </row>
    <row r="147" spans="119:501">
      <c r="DO147" t="s">
        <v>1027</v>
      </c>
      <c r="DP147">
        <v>6</v>
      </c>
      <c r="DQ147" s="199">
        <f t="shared" si="17"/>
        <v>3</v>
      </c>
      <c r="SE147" t="s">
        <v>1933</v>
      </c>
      <c r="SF147" t="s">
        <v>2204</v>
      </c>
      <c r="SG147" s="435" t="s">
        <v>1272</v>
      </c>
    </row>
    <row r="148" spans="119:501">
      <c r="DO148" t="s">
        <v>1028</v>
      </c>
      <c r="DP148">
        <v>8</v>
      </c>
      <c r="DQ148" s="199">
        <f t="shared" si="17"/>
        <v>5</v>
      </c>
      <c r="SE148" t="s">
        <v>1934</v>
      </c>
      <c r="SF148" t="s">
        <v>1274</v>
      </c>
      <c r="SG148" s="435" t="s">
        <v>2004</v>
      </c>
    </row>
    <row r="149" spans="119:501">
      <c r="DO149" t="s">
        <v>1029</v>
      </c>
      <c r="DP149">
        <v>8</v>
      </c>
      <c r="DQ149" s="199">
        <f t="shared" si="17"/>
        <v>5</v>
      </c>
      <c r="SE149" t="s">
        <v>1276</v>
      </c>
      <c r="SF149" t="s">
        <v>2205</v>
      </c>
      <c r="SG149" s="435" t="s">
        <v>2022</v>
      </c>
    </row>
    <row r="150" spans="119:501">
      <c r="DO150" s="35" t="s">
        <v>1074</v>
      </c>
      <c r="DP150">
        <v>3</v>
      </c>
      <c r="DQ150" s="199">
        <f t="shared" si="17"/>
        <v>0</v>
      </c>
      <c r="SE150" t="s">
        <v>1935</v>
      </c>
      <c r="SF150" t="s">
        <v>2206</v>
      </c>
      <c r="SG150" s="435" t="s">
        <v>1273</v>
      </c>
    </row>
    <row r="151" spans="119:501">
      <c r="DO151" t="s">
        <v>1075</v>
      </c>
      <c r="DP151">
        <v>3</v>
      </c>
      <c r="DQ151" s="199">
        <f t="shared" si="17"/>
        <v>0</v>
      </c>
      <c r="SE151" t="s">
        <v>1936</v>
      </c>
      <c r="SF151" t="s">
        <v>1276</v>
      </c>
      <c r="SG151" s="435" t="s">
        <v>1274</v>
      </c>
    </row>
    <row r="152" spans="119:501">
      <c r="DO152" s="35" t="s">
        <v>1076</v>
      </c>
      <c r="DP152">
        <v>3</v>
      </c>
      <c r="DQ152" s="199">
        <f t="shared" si="17"/>
        <v>0</v>
      </c>
      <c r="SE152" t="s">
        <v>2197</v>
      </c>
      <c r="SF152" t="s">
        <v>2207</v>
      </c>
      <c r="SG152" s="435" t="s">
        <v>1328</v>
      </c>
    </row>
    <row r="153" spans="119:501">
      <c r="DO153" s="35" t="s">
        <v>1077</v>
      </c>
      <c r="DP153">
        <v>4</v>
      </c>
      <c r="DQ153" s="199">
        <f t="shared" si="17"/>
        <v>0</v>
      </c>
      <c r="SE153" t="s">
        <v>1941</v>
      </c>
      <c r="SF153" t="s">
        <v>2208</v>
      </c>
      <c r="SG153" s="435" t="s">
        <v>2023</v>
      </c>
    </row>
    <row r="154" spans="119:501">
      <c r="DO154" s="35" t="s">
        <v>1035</v>
      </c>
      <c r="DP154">
        <v>4</v>
      </c>
      <c r="DQ154" s="199">
        <f t="shared" si="17"/>
        <v>0</v>
      </c>
      <c r="SE154" t="s">
        <v>1959</v>
      </c>
      <c r="SF154" t="s">
        <v>2209</v>
      </c>
      <c r="SG154" s="435" t="s">
        <v>2006</v>
      </c>
    </row>
    <row r="155" spans="119:501">
      <c r="DO155" s="204" t="s">
        <v>1073</v>
      </c>
      <c r="DP155">
        <v>3</v>
      </c>
      <c r="DQ155" s="199">
        <f t="shared" si="17"/>
        <v>0</v>
      </c>
      <c r="SE155" t="s">
        <v>1960</v>
      </c>
      <c r="SF155" t="s">
        <v>2210</v>
      </c>
      <c r="SG155" s="435" t="s">
        <v>1275</v>
      </c>
    </row>
    <row r="156" spans="119:501">
      <c r="DO156" s="234" t="s">
        <v>1002</v>
      </c>
      <c r="DP156">
        <v>2</v>
      </c>
      <c r="DQ156" s="199">
        <f t="shared" si="17"/>
        <v>0</v>
      </c>
      <c r="SE156" t="s">
        <v>1961</v>
      </c>
      <c r="SF156" t="s">
        <v>2211</v>
      </c>
      <c r="SG156" s="435" t="s">
        <v>1276</v>
      </c>
    </row>
    <row r="157" spans="119:501">
      <c r="DO157" s="35" t="s">
        <v>332</v>
      </c>
      <c r="DP157" t="s">
        <v>332</v>
      </c>
      <c r="DQ157" s="199">
        <f t="shared" si="17"/>
        <v>0</v>
      </c>
      <c r="SE157" t="s">
        <v>1962</v>
      </c>
      <c r="SG157" s="435" t="s">
        <v>2024</v>
      </c>
    </row>
    <row r="158" spans="119:501">
      <c r="SE158" t="s">
        <v>1963</v>
      </c>
      <c r="SG158" s="435" t="s">
        <v>2008</v>
      </c>
    </row>
    <row r="159" spans="119:501">
      <c r="SE159" t="s">
        <v>1964</v>
      </c>
      <c r="SG159" s="435" t="s">
        <v>1329</v>
      </c>
    </row>
    <row r="160" spans="119:501">
      <c r="SE160" t="s">
        <v>1949</v>
      </c>
      <c r="SG160" s="435" t="s">
        <v>1942</v>
      </c>
    </row>
    <row r="161" spans="499:501">
      <c r="SE161" t="s">
        <v>1953</v>
      </c>
      <c r="SG161" s="435" t="s">
        <v>2025</v>
      </c>
    </row>
    <row r="162" spans="499:501">
      <c r="SE162" t="s">
        <v>1950</v>
      </c>
      <c r="SG162" s="435" t="s">
        <v>1278</v>
      </c>
    </row>
    <row r="163" spans="499:501">
      <c r="SE163" t="s">
        <v>1951</v>
      </c>
      <c r="SG163" s="435" t="s">
        <v>1279</v>
      </c>
    </row>
    <row r="164" spans="499:501">
      <c r="SE164" t="s">
        <v>1952</v>
      </c>
      <c r="SG164" s="435" t="s">
        <v>1280</v>
      </c>
    </row>
    <row r="165" spans="499:501">
      <c r="SE165" t="s">
        <v>1944</v>
      </c>
      <c r="SG165" s="435" t="s">
        <v>1331</v>
      </c>
    </row>
    <row r="166" spans="499:501">
      <c r="SE166" t="s">
        <v>1945</v>
      </c>
      <c r="SG166" s="435" t="s">
        <v>1332</v>
      </c>
    </row>
    <row r="167" spans="499:501">
      <c r="SE167" t="s">
        <v>1946</v>
      </c>
      <c r="SG167" s="435" t="s">
        <v>2026</v>
      </c>
    </row>
    <row r="168" spans="499:501">
      <c r="SE168" t="s">
        <v>2203</v>
      </c>
      <c r="SG168" s="435" t="s">
        <v>1333</v>
      </c>
    </row>
    <row r="169" spans="499:501">
      <c r="SE169" t="s">
        <v>1948</v>
      </c>
      <c r="SG169" s="435" t="s">
        <v>1282</v>
      </c>
    </row>
    <row r="170" spans="499:501">
      <c r="SE170" t="s">
        <v>1954</v>
      </c>
      <c r="SG170" s="435" t="s">
        <v>1284</v>
      </c>
    </row>
    <row r="171" spans="499:501">
      <c r="SE171" t="s">
        <v>1955</v>
      </c>
      <c r="SG171" s="435" t="s">
        <v>2010</v>
      </c>
    </row>
    <row r="172" spans="499:501">
      <c r="SE172" t="s">
        <v>1956</v>
      </c>
      <c r="SG172" s="435" t="s">
        <v>2012</v>
      </c>
    </row>
    <row r="173" spans="499:501">
      <c r="SE173" t="s">
        <v>1957</v>
      </c>
      <c r="SG173" s="435" t="s">
        <v>2014</v>
      </c>
    </row>
    <row r="174" spans="499:501">
      <c r="SE174" t="s">
        <v>2198</v>
      </c>
      <c r="SG174" s="435" t="s">
        <v>1872</v>
      </c>
    </row>
    <row r="175" spans="499:501">
      <c r="SE175" t="s">
        <v>2199</v>
      </c>
      <c r="SG175" s="435" t="s">
        <v>1873</v>
      </c>
    </row>
    <row r="176" spans="499:501">
      <c r="SE176" t="s">
        <v>2200</v>
      </c>
      <c r="SG176" s="435" t="s">
        <v>1874</v>
      </c>
    </row>
    <row r="177" spans="499:501">
      <c r="SE177" t="s">
        <v>2201</v>
      </c>
      <c r="SG177" s="435" t="s">
        <v>1875</v>
      </c>
    </row>
    <row r="178" spans="499:501">
      <c r="SE178" t="s">
        <v>2202</v>
      </c>
      <c r="SG178" s="435" t="s">
        <v>1876</v>
      </c>
    </row>
    <row r="179" spans="499:501">
      <c r="SE179" t="s">
        <v>1958</v>
      </c>
      <c r="SG179" s="435" t="s">
        <v>1877</v>
      </c>
    </row>
    <row r="180" spans="499:501">
      <c r="SG180" s="435" t="s">
        <v>1878</v>
      </c>
    </row>
    <row r="181" spans="499:501">
      <c r="SG181" s="435" t="s">
        <v>1879</v>
      </c>
    </row>
    <row r="182" spans="499:501">
      <c r="SG182" s="435" t="s">
        <v>1880</v>
      </c>
    </row>
    <row r="214" spans="499:509">
      <c r="SE214" t="s">
        <v>2228</v>
      </c>
      <c r="SF214" t="s">
        <v>2227</v>
      </c>
      <c r="SG214" t="s">
        <v>2223</v>
      </c>
      <c r="SH214" t="s">
        <v>2224</v>
      </c>
      <c r="SI214" t="s">
        <v>2225</v>
      </c>
      <c r="SJ214" t="s">
        <v>2226</v>
      </c>
      <c r="SK214" t="s">
        <v>2298</v>
      </c>
      <c r="SL214" t="s">
        <v>2229</v>
      </c>
      <c r="SM214" t="s">
        <v>2230</v>
      </c>
      <c r="SN214" t="s">
        <v>2231</v>
      </c>
      <c r="SO214" t="s">
        <v>2232</v>
      </c>
    </row>
    <row r="215" spans="499:509">
      <c r="SE215" s="199" t="s">
        <v>1900</v>
      </c>
      <c r="SF215" s="199" t="s">
        <v>1905</v>
      </c>
      <c r="SG215" s="199" t="s">
        <v>1910</v>
      </c>
      <c r="SH215" s="451" t="s">
        <v>2157</v>
      </c>
      <c r="SI215" s="199" t="s">
        <v>2165</v>
      </c>
      <c r="SJ215" s="199" t="s">
        <v>2165</v>
      </c>
      <c r="SK215" s="199" t="s">
        <v>1916</v>
      </c>
      <c r="SL215" s="199" t="s">
        <v>2166</v>
      </c>
      <c r="SM215" s="199" t="s">
        <v>1989</v>
      </c>
      <c r="SN215" s="199" t="s">
        <v>2166</v>
      </c>
      <c r="SO215" s="199" t="s">
        <v>1989</v>
      </c>
    </row>
    <row r="216" spans="499:509">
      <c r="SE216" s="199" t="s">
        <v>1901</v>
      </c>
      <c r="SF216" s="199" t="s">
        <v>1906</v>
      </c>
      <c r="SG216" s="199" t="s">
        <v>1911</v>
      </c>
      <c r="SH216" s="451" t="s">
        <v>1988</v>
      </c>
      <c r="SI216" s="199" t="s">
        <v>2167</v>
      </c>
      <c r="SJ216" s="199" t="s">
        <v>2167</v>
      </c>
      <c r="SK216" s="199" t="s">
        <v>1917</v>
      </c>
      <c r="SL216" s="199" t="s">
        <v>377</v>
      </c>
      <c r="SM216" s="199" t="s">
        <v>1996</v>
      </c>
      <c r="SN216" s="199" t="s">
        <v>377</v>
      </c>
      <c r="SO216" s="199" t="s">
        <v>1996</v>
      </c>
    </row>
    <row r="217" spans="499:509">
      <c r="SE217" s="199" t="s">
        <v>1902</v>
      </c>
      <c r="SF217" s="199" t="s">
        <v>1907</v>
      </c>
      <c r="SG217" s="199" t="s">
        <v>1912</v>
      </c>
      <c r="SH217" s="451" t="s">
        <v>1105</v>
      </c>
      <c r="SI217" s="452" t="s">
        <v>2168</v>
      </c>
      <c r="SJ217" s="452" t="s">
        <v>2168</v>
      </c>
      <c r="SK217" s="199" t="s">
        <v>1162</v>
      </c>
      <c r="SL217" s="199" t="s">
        <v>2169</v>
      </c>
      <c r="SM217" s="199"/>
      <c r="SN217" s="199" t="s">
        <v>2169</v>
      </c>
      <c r="SO217" s="199"/>
    </row>
    <row r="218" spans="499:509">
      <c r="SE218" s="199" t="s">
        <v>2164</v>
      </c>
      <c r="SF218" s="199" t="s">
        <v>1908</v>
      </c>
      <c r="SG218" s="199" t="s">
        <v>1913</v>
      </c>
      <c r="SH218" s="451" t="s">
        <v>1881</v>
      </c>
      <c r="SI218" s="199" t="s">
        <v>2170</v>
      </c>
      <c r="SJ218" s="199" t="s">
        <v>2170</v>
      </c>
      <c r="SK218" s="199" t="s">
        <v>1918</v>
      </c>
      <c r="SL218" s="199" t="s">
        <v>2171</v>
      </c>
      <c r="SM218" s="199"/>
      <c r="SN218" s="199" t="s">
        <v>2171</v>
      </c>
      <c r="SO218" s="199"/>
    </row>
    <row r="219" spans="499:509">
      <c r="SE219" s="199" t="s">
        <v>1904</v>
      </c>
      <c r="SF219" s="199" t="s">
        <v>1909</v>
      </c>
      <c r="SG219" s="199" t="s">
        <v>1914</v>
      </c>
      <c r="SH219" s="451" t="s">
        <v>1162</v>
      </c>
      <c r="SI219" s="199" t="s">
        <v>2172</v>
      </c>
      <c r="SJ219" s="199" t="s">
        <v>2172</v>
      </c>
      <c r="SK219" s="199" t="s">
        <v>1888</v>
      </c>
      <c r="SL219" s="199" t="s">
        <v>1162</v>
      </c>
      <c r="SM219" s="199"/>
      <c r="SN219" s="199" t="s">
        <v>1162</v>
      </c>
      <c r="SO219" s="199"/>
    </row>
    <row r="220" spans="499:509">
      <c r="SH220" s="451" t="s">
        <v>1882</v>
      </c>
      <c r="SI220" s="199"/>
      <c r="SJ220" s="199"/>
      <c r="SK220" s="199" t="s">
        <v>1919</v>
      </c>
      <c r="SL220" s="199" t="s">
        <v>2173</v>
      </c>
      <c r="SM220" s="199"/>
      <c r="SN220" s="199" t="s">
        <v>2173</v>
      </c>
      <c r="SO220" s="199"/>
    </row>
    <row r="221" spans="499:509">
      <c r="SH221" s="451" t="s">
        <v>1883</v>
      </c>
      <c r="SI221" s="199"/>
      <c r="SJ221" s="199"/>
      <c r="SK221" s="199"/>
      <c r="SL221" s="199" t="s">
        <v>2174</v>
      </c>
      <c r="SM221" s="199"/>
      <c r="SN221" s="199" t="s">
        <v>2174</v>
      </c>
      <c r="SO221" s="199"/>
    </row>
    <row r="222" spans="499:509">
      <c r="SH222" s="451" t="s">
        <v>1884</v>
      </c>
      <c r="SI222" s="199"/>
      <c r="SJ222" s="199"/>
      <c r="SK222" s="199"/>
      <c r="SL222" s="199" t="s">
        <v>2175</v>
      </c>
      <c r="SM222" s="199"/>
      <c r="SN222" s="199" t="s">
        <v>2175</v>
      </c>
      <c r="SO222" s="199"/>
    </row>
    <row r="223" spans="499:509">
      <c r="SH223" s="451" t="s">
        <v>2158</v>
      </c>
      <c r="SI223" s="199"/>
      <c r="SJ223" s="199"/>
      <c r="SK223" s="199"/>
      <c r="SL223" s="199"/>
      <c r="SM223" s="199"/>
      <c r="SN223" s="199"/>
      <c r="SO223" s="199"/>
    </row>
    <row r="224" spans="499:509">
      <c r="SH224" s="451" t="s">
        <v>2159</v>
      </c>
      <c r="SI224" s="199"/>
      <c r="SJ224" s="199"/>
      <c r="SK224" s="199"/>
      <c r="SL224" s="199"/>
      <c r="SM224" s="199"/>
      <c r="SN224" s="199"/>
      <c r="SO224" s="199"/>
    </row>
    <row r="225" spans="502:509">
      <c r="SH225" s="451" t="s">
        <v>1885</v>
      </c>
      <c r="SI225" s="199"/>
      <c r="SJ225" s="199"/>
      <c r="SK225" s="199"/>
      <c r="SL225" s="199"/>
      <c r="SM225" s="199"/>
      <c r="SN225" s="199"/>
      <c r="SO225" s="199"/>
    </row>
    <row r="226" spans="502:509">
      <c r="SH226" s="451" t="s">
        <v>1886</v>
      </c>
      <c r="SI226" s="199"/>
      <c r="SJ226" s="199"/>
      <c r="SK226" s="199"/>
      <c r="SL226" s="199"/>
      <c r="SM226" s="199"/>
      <c r="SN226" s="199"/>
      <c r="SO226" s="199"/>
    </row>
    <row r="227" spans="502:509">
      <c r="SH227" s="451" t="s">
        <v>1887</v>
      </c>
      <c r="SI227" s="199"/>
      <c r="SJ227" s="199"/>
      <c r="SK227" s="199"/>
      <c r="SL227" s="199"/>
      <c r="SM227" s="199"/>
      <c r="SN227" s="199"/>
      <c r="SO227" s="199"/>
    </row>
    <row r="228" spans="502:509">
      <c r="SH228" s="451" t="s">
        <v>2160</v>
      </c>
      <c r="SI228" s="199"/>
      <c r="SJ228" s="199"/>
      <c r="SK228" s="199"/>
      <c r="SL228" s="199"/>
      <c r="SM228" s="199"/>
      <c r="SN228" s="199"/>
      <c r="SO228" s="199"/>
    </row>
    <row r="229" spans="502:509">
      <c r="SH229" s="451" t="s">
        <v>2161</v>
      </c>
      <c r="SI229" s="199"/>
      <c r="SJ229" s="199"/>
      <c r="SK229" s="199"/>
      <c r="SL229" s="199"/>
      <c r="SM229" s="199"/>
      <c r="SN229" s="199"/>
      <c r="SO229" s="199"/>
    </row>
    <row r="230" spans="502:509">
      <c r="SH230" s="451" t="s">
        <v>1888</v>
      </c>
      <c r="SI230" s="199"/>
      <c r="SJ230" s="199"/>
      <c r="SK230" s="199"/>
      <c r="SL230" s="199"/>
      <c r="SM230" s="199"/>
      <c r="SN230" s="199"/>
      <c r="SO230" s="199"/>
    </row>
    <row r="231" spans="502:509">
      <c r="SH231" s="451" t="s">
        <v>1889</v>
      </c>
      <c r="SI231" s="199"/>
      <c r="SJ231" s="199"/>
      <c r="SK231" s="199"/>
      <c r="SL231" s="199"/>
      <c r="SM231" s="199"/>
      <c r="SN231" s="199"/>
      <c r="SO231" s="199"/>
    </row>
    <row r="232" spans="502:509">
      <c r="SH232" s="451" t="s">
        <v>2162</v>
      </c>
      <c r="SI232" s="199"/>
      <c r="SJ232" s="199"/>
      <c r="SK232" s="199"/>
      <c r="SL232" s="199"/>
      <c r="SM232" s="199"/>
      <c r="SN232" s="199"/>
      <c r="SO232" s="199"/>
    </row>
    <row r="233" spans="502:509">
      <c r="SH233" s="451" t="s">
        <v>1890</v>
      </c>
      <c r="SI233" s="199"/>
      <c r="SJ233" s="199"/>
      <c r="SK233" s="199"/>
      <c r="SL233" s="199"/>
      <c r="SM233" s="199"/>
      <c r="SN233" s="199"/>
      <c r="SO233" s="199"/>
    </row>
    <row r="234" spans="502:509">
      <c r="SH234" s="451" t="s">
        <v>2163</v>
      </c>
      <c r="SI234" s="199"/>
      <c r="SJ234" s="199"/>
      <c r="SK234" s="199"/>
      <c r="SL234" s="199"/>
      <c r="SM234" s="199"/>
      <c r="SN234" s="199"/>
      <c r="SO234" s="199"/>
    </row>
  </sheetData>
  <sortState xmlns:xlrd2="http://schemas.microsoft.com/office/spreadsheetml/2017/richdata2" ref="VD36:VD49">
    <sortCondition ref="VD36:VD49"/>
  </sortState>
  <mergeCells count="4">
    <mergeCell ref="AU1:AY1"/>
    <mergeCell ref="JH1:JW1"/>
    <mergeCell ref="NO1:OE1"/>
    <mergeCell ref="NO14:OE14"/>
  </mergeCells>
  <phoneticPr fontId="26" type="noConversion"/>
  <conditionalFormatting sqref="DO3:DO84">
    <cfRule type="duplicateValues" dxfId="23" priority="15"/>
  </conditionalFormatting>
  <conditionalFormatting sqref="MA2:MA14">
    <cfRule type="duplicateValues" dxfId="22" priority="14"/>
  </conditionalFormatting>
  <conditionalFormatting sqref="LZ2:LZ17 MA18:MA24">
    <cfRule type="duplicateValues" dxfId="21" priority="13"/>
  </conditionalFormatting>
  <conditionalFormatting sqref="LX2:LX17 LX26:LX65 LY18:LY25">
    <cfRule type="duplicateValues" dxfId="20" priority="12"/>
  </conditionalFormatting>
  <conditionalFormatting sqref="LY2:LY17 LZ18:LZ23">
    <cfRule type="duplicateValues" dxfId="19" priority="11"/>
  </conditionalFormatting>
  <conditionalFormatting sqref="DO4:DO123">
    <cfRule type="duplicateValues" dxfId="18" priority="10"/>
  </conditionalFormatting>
  <conditionalFormatting sqref="DO3:DO123">
    <cfRule type="duplicateValues" dxfId="17" priority="9"/>
  </conditionalFormatting>
  <conditionalFormatting sqref="DO4:DO84">
    <cfRule type="duplicateValues" dxfId="16" priority="7"/>
  </conditionalFormatting>
  <conditionalFormatting sqref="DO4:DO117 DO119:DO123">
    <cfRule type="duplicateValues" dxfId="15" priority="6"/>
  </conditionalFormatting>
  <conditionalFormatting sqref="DO4:DO117 DO119:DO123">
    <cfRule type="duplicateValues" dxfId="14" priority="5"/>
  </conditionalFormatting>
  <conditionalFormatting sqref="DO156">
    <cfRule type="duplicateValues" dxfId="13" priority="2"/>
  </conditionalFormatting>
  <hyperlinks>
    <hyperlink ref="BA37" r:id="rId1" xr:uid="{00000000-0004-0000-0A00-000000000000}"/>
    <hyperlink ref="BA36" r:id="rId2" display="shuttersales@pacificwholesale.com.au" xr:uid="{00000000-0004-0000-0A00-000001000000}"/>
    <hyperlink ref="BA35" r:id="rId3" display="shutterorders@pacificwholesale.com.au" xr:uid="{00000000-0004-0000-0A00-000002000000}"/>
    <hyperlink ref="BA26" r:id="rId4" xr:uid="{00000000-0004-0000-0A00-000003000000}"/>
    <hyperlink ref="BA25" r:id="rId5" xr:uid="{00000000-0004-0000-0A00-000004000000}"/>
  </hyperlinks>
  <pageMargins left="0.74803149606299213" right="0.74803149606299213" top="0.98425196850393704" bottom="0.98425196850393704" header="0.51181102362204722" footer="0.51181102362204722"/>
  <pageSetup paperSize="9" scale="10" firstPageNumber="4294963191" orientation="landscape" r:id="rId6"/>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C66BE-1740-4787-BF87-A3EF709DCE10}">
  <sheetPr>
    <tabColor rgb="FFFFC000"/>
    <pageSetUpPr fitToPage="1"/>
  </sheetPr>
  <dimension ref="A1:CG67"/>
  <sheetViews>
    <sheetView view="pageBreakPreview" zoomScale="85" zoomScaleSheetLayoutView="85" workbookViewId="0">
      <selection activeCell="B8" sqref="B8"/>
    </sheetView>
  </sheetViews>
  <sheetFormatPr defaultRowHeight="15"/>
  <cols>
    <col min="1" max="1" width="7.140625" style="390" customWidth="1"/>
    <col min="2" max="2" width="13" style="390" customWidth="1"/>
    <col min="3" max="3" width="9.5703125" style="390" customWidth="1"/>
    <col min="4" max="4" width="39.85546875" style="390" customWidth="1"/>
    <col min="5" max="5" width="29.5703125" style="390" customWidth="1"/>
    <col min="6" max="6" width="13" style="390" customWidth="1"/>
    <col min="7" max="7" width="12.42578125" style="390" customWidth="1"/>
    <col min="8" max="8" width="15.28515625" style="390" customWidth="1"/>
    <col min="9" max="9" width="16" style="390" customWidth="1"/>
    <col min="10" max="11" width="17.28515625" style="390" customWidth="1"/>
    <col min="12" max="13" width="20.85546875" style="390" customWidth="1"/>
    <col min="14" max="14" width="14" style="390" customWidth="1"/>
    <col min="15" max="16" width="11.7109375" style="390" customWidth="1"/>
    <col min="17" max="17" width="15.28515625" style="390" customWidth="1"/>
    <col min="18" max="18" width="15.140625" style="390" customWidth="1"/>
    <col min="19" max="20" width="14.7109375" style="390" customWidth="1"/>
    <col min="21" max="21" width="16.28515625" style="390" customWidth="1"/>
    <col min="22" max="22" width="40.42578125" style="390" customWidth="1"/>
    <col min="23" max="23" width="15.42578125" style="390" customWidth="1"/>
    <col min="24" max="24" width="47.5703125" style="390" hidden="1" customWidth="1"/>
    <col min="25" max="27" width="9.140625" style="384" hidden="1" customWidth="1"/>
    <col min="28" max="29" width="46.85546875" style="384" hidden="1" customWidth="1"/>
    <col min="30" max="41" width="9.140625" style="384" hidden="1" customWidth="1"/>
    <col min="42" max="44" width="32.85546875" style="384" hidden="1" customWidth="1"/>
    <col min="45" max="45" width="31.85546875" style="384" hidden="1" customWidth="1"/>
    <col min="46" max="46" width="9.140625" style="384" hidden="1" customWidth="1"/>
    <col min="47" max="47" width="13.5703125" style="384" hidden="1" customWidth="1"/>
    <col min="48" max="48" width="24" style="384" hidden="1" customWidth="1"/>
    <col min="49" max="50" width="9.140625" style="384" hidden="1" customWidth="1"/>
    <col min="51" max="55" width="46.140625" style="384" hidden="1" customWidth="1"/>
    <col min="56" max="56" width="17.7109375" style="384" hidden="1" customWidth="1"/>
    <col min="57" max="57" width="17.42578125" style="384" hidden="1" customWidth="1"/>
    <col min="58" max="58" width="17.7109375" style="384" hidden="1" customWidth="1"/>
    <col min="59" max="59" width="18" style="384" hidden="1" customWidth="1"/>
    <col min="60" max="62" width="17.7109375" style="384" hidden="1" customWidth="1"/>
    <col min="63" max="63" width="17.42578125" style="384" hidden="1" customWidth="1"/>
    <col min="64" max="64" width="0" style="384" hidden="1" customWidth="1"/>
    <col min="65" max="66" width="12" style="384" hidden="1" customWidth="1"/>
    <col min="67" max="67" width="16.42578125" style="384" hidden="1" customWidth="1"/>
    <col min="68" max="70" width="0" style="384" hidden="1" customWidth="1"/>
    <col min="71" max="72" width="15.140625" style="384" hidden="1" customWidth="1"/>
    <col min="73" max="73" width="24" style="384" hidden="1" customWidth="1"/>
    <col min="74" max="74" width="18.7109375" style="384" hidden="1" customWidth="1"/>
    <col min="75" max="78" width="0" style="384" hidden="1" customWidth="1"/>
    <col min="79" max="79" width="9.7109375" style="384" hidden="1" customWidth="1"/>
    <col min="80" max="80" width="8.7109375" style="384" hidden="1" customWidth="1"/>
    <col min="81" max="104" width="0" style="384" hidden="1" customWidth="1"/>
    <col min="105" max="16384" width="9.140625" style="384"/>
  </cols>
  <sheetData>
    <row r="1" spans="1:85" ht="26.25">
      <c r="A1" s="657"/>
      <c r="B1" s="658"/>
      <c r="C1" s="658"/>
      <c r="D1" s="658"/>
      <c r="E1" s="658"/>
      <c r="F1" s="663"/>
      <c r="G1" s="664"/>
      <c r="H1" s="664"/>
      <c r="I1" s="665"/>
      <c r="J1" s="666"/>
      <c r="K1" s="666"/>
      <c r="L1" s="617" t="s">
        <v>0</v>
      </c>
      <c r="M1" s="617"/>
      <c r="N1" s="618">
        <f>Summary!D3</f>
        <v>0</v>
      </c>
      <c r="O1" s="619"/>
      <c r="P1" s="619"/>
      <c r="Q1" s="619"/>
      <c r="R1" s="619"/>
      <c r="S1" s="619"/>
      <c r="T1" s="619"/>
      <c r="U1" s="619"/>
      <c r="V1" s="383"/>
      <c r="W1" s="614"/>
      <c r="X1" s="615"/>
    </row>
    <row r="2" spans="1:85" ht="19.5">
      <c r="A2" s="659"/>
      <c r="B2" s="660"/>
      <c r="C2" s="660"/>
      <c r="D2" s="660"/>
      <c r="E2" s="660"/>
      <c r="F2" s="810" t="s">
        <v>2386</v>
      </c>
      <c r="G2" s="811"/>
      <c r="H2" s="811"/>
      <c r="I2" s="812"/>
      <c r="J2" s="666"/>
      <c r="K2" s="666"/>
      <c r="L2" s="617" t="s">
        <v>141</v>
      </c>
      <c r="M2" s="617"/>
      <c r="N2" s="623">
        <f>Summary!D6</f>
        <v>0</v>
      </c>
      <c r="O2" s="624"/>
      <c r="P2" s="624"/>
      <c r="Q2" s="624"/>
      <c r="R2" s="624"/>
      <c r="S2" s="624"/>
      <c r="T2" s="624"/>
      <c r="U2" s="624"/>
      <c r="V2" s="385"/>
      <c r="W2" s="614"/>
      <c r="X2" s="615"/>
    </row>
    <row r="3" spans="1:85" ht="18" customHeight="1">
      <c r="A3" s="661"/>
      <c r="B3" s="662"/>
      <c r="C3" s="662"/>
      <c r="D3" s="662"/>
      <c r="E3" s="662"/>
      <c r="F3" s="644"/>
      <c r="G3" s="645"/>
      <c r="H3" s="645"/>
      <c r="I3" s="646"/>
      <c r="J3" s="666"/>
      <c r="K3" s="666"/>
      <c r="L3" s="617" t="s">
        <v>143</v>
      </c>
      <c r="M3" s="617"/>
      <c r="N3" s="647">
        <f>Summary!D4</f>
        <v>0</v>
      </c>
      <c r="O3" s="648"/>
      <c r="P3" s="648"/>
      <c r="Q3" s="648"/>
      <c r="R3" s="648"/>
      <c r="S3" s="648"/>
      <c r="T3" s="648"/>
      <c r="U3" s="648"/>
      <c r="V3" s="385"/>
      <c r="W3" s="386"/>
      <c r="X3" s="387"/>
    </row>
    <row r="4" spans="1:85" ht="17.25" customHeight="1">
      <c r="A4" s="667" t="s">
        <v>452</v>
      </c>
      <c r="B4" s="667"/>
      <c r="C4" s="667"/>
      <c r="D4" s="633"/>
      <c r="E4" s="634"/>
      <c r="F4" s="634"/>
      <c r="G4" s="634"/>
      <c r="H4" s="634"/>
      <c r="I4" s="635"/>
      <c r="J4" s="653" t="s">
        <v>1036</v>
      </c>
      <c r="K4" s="653"/>
      <c r="L4" s="617" t="s">
        <v>978</v>
      </c>
      <c r="M4" s="617"/>
      <c r="N4" s="630">
        <f>Summary!D7</f>
        <v>0</v>
      </c>
      <c r="O4" s="631"/>
      <c r="P4" s="631"/>
      <c r="Q4" s="631"/>
      <c r="R4" s="631"/>
      <c r="S4" s="631"/>
      <c r="T4" s="631"/>
      <c r="U4" s="632"/>
      <c r="V4" s="385"/>
      <c r="W4" s="614"/>
      <c r="X4" s="616"/>
    </row>
    <row r="5" spans="1:85" ht="17.25" customHeight="1">
      <c r="A5" s="96" t="s">
        <v>2526</v>
      </c>
      <c r="B5" s="388"/>
      <c r="C5" s="388"/>
      <c r="D5" s="625"/>
      <c r="E5" s="626"/>
      <c r="F5" s="626"/>
      <c r="G5" s="626"/>
      <c r="H5" s="626"/>
      <c r="I5" s="627"/>
      <c r="J5" s="654">
        <v>3</v>
      </c>
      <c r="K5" s="654"/>
      <c r="L5" s="617" t="s">
        <v>144</v>
      </c>
      <c r="M5" s="617"/>
      <c r="N5" s="628">
        <f>Summary!D8</f>
        <v>0</v>
      </c>
      <c r="O5" s="629"/>
      <c r="P5" s="629"/>
      <c r="Q5" s="629"/>
      <c r="R5" s="629"/>
      <c r="S5" s="629"/>
      <c r="T5" s="629"/>
      <c r="U5" s="629"/>
      <c r="V5" s="389"/>
      <c r="W5" s="614"/>
      <c r="X5" s="616"/>
    </row>
    <row r="6" spans="1:85" ht="15.75" thickBot="1">
      <c r="A6" s="655" t="s">
        <v>723</v>
      </c>
      <c r="B6" s="655"/>
      <c r="C6" s="655"/>
      <c r="D6" s="655"/>
      <c r="E6" s="655"/>
      <c r="F6" s="655"/>
      <c r="G6" s="655"/>
      <c r="H6" s="655"/>
      <c r="I6" s="655"/>
      <c r="J6" s="655"/>
      <c r="K6" s="656"/>
      <c r="L6" s="649" t="s">
        <v>654</v>
      </c>
      <c r="M6" s="649"/>
      <c r="N6" s="650" t="str">
        <f>AB18</f>
        <v/>
      </c>
      <c r="O6" s="651"/>
      <c r="P6" s="651"/>
      <c r="Q6" s="651"/>
      <c r="R6" s="651"/>
      <c r="S6" s="651"/>
      <c r="T6" s="651"/>
      <c r="U6" s="652"/>
      <c r="X6" s="391"/>
      <c r="AV6" s="33" t="s">
        <v>2349</v>
      </c>
    </row>
    <row r="7" spans="1:85" ht="48.75" customHeight="1" thickTop="1" thickBot="1">
      <c r="A7" s="392" t="s">
        <v>146</v>
      </c>
      <c r="B7" s="393" t="s">
        <v>147</v>
      </c>
      <c r="C7" s="67" t="s">
        <v>726</v>
      </c>
      <c r="D7" s="393" t="s">
        <v>181</v>
      </c>
      <c r="E7" s="393" t="s">
        <v>152</v>
      </c>
      <c r="F7" s="393" t="s">
        <v>148</v>
      </c>
      <c r="G7" s="394" t="s">
        <v>149</v>
      </c>
      <c r="H7" s="395" t="s">
        <v>14</v>
      </c>
      <c r="I7" s="395" t="s">
        <v>165</v>
      </c>
      <c r="J7" s="490" t="s">
        <v>13</v>
      </c>
      <c r="K7" s="489" t="s">
        <v>1192</v>
      </c>
      <c r="L7" s="68" t="s">
        <v>1536</v>
      </c>
      <c r="M7" s="393" t="s">
        <v>12</v>
      </c>
      <c r="N7" s="393" t="s">
        <v>183</v>
      </c>
      <c r="O7" s="590" t="s">
        <v>2514</v>
      </c>
      <c r="P7" s="639"/>
      <c r="Q7" s="394" t="s">
        <v>15</v>
      </c>
      <c r="R7" s="393" t="s">
        <v>4</v>
      </c>
      <c r="S7" s="393" t="s">
        <v>5</v>
      </c>
      <c r="T7" s="393" t="s">
        <v>6</v>
      </c>
      <c r="U7" s="393" t="s">
        <v>7</v>
      </c>
      <c r="V7" s="396" t="s">
        <v>203</v>
      </c>
      <c r="W7" s="397"/>
      <c r="X7" s="397"/>
      <c r="AG7" s="384" t="s">
        <v>1081</v>
      </c>
      <c r="AR7" s="33" t="s">
        <v>2347</v>
      </c>
      <c r="AS7" s="33" t="s">
        <v>2348</v>
      </c>
      <c r="AT7" s="33" t="s">
        <v>2350</v>
      </c>
      <c r="AV7" s="33" t="s">
        <v>2351</v>
      </c>
      <c r="AW7" s="33" t="s">
        <v>2352</v>
      </c>
      <c r="AY7" s="33" t="s">
        <v>2388</v>
      </c>
      <c r="AZ7" s="33" t="s">
        <v>152</v>
      </c>
      <c r="BA7" s="33" t="s">
        <v>1192</v>
      </c>
      <c r="BB7" s="33" t="s">
        <v>2500</v>
      </c>
      <c r="BC7" s="33" t="s">
        <v>152</v>
      </c>
      <c r="BD7" s="33" t="s">
        <v>2494</v>
      </c>
      <c r="BE7" s="33" t="s">
        <v>2495</v>
      </c>
      <c r="BF7" s="33" t="s">
        <v>2496</v>
      </c>
      <c r="BG7" s="33" t="s">
        <v>2507</v>
      </c>
      <c r="BH7" s="33" t="s">
        <v>2497</v>
      </c>
      <c r="BI7" s="33" t="s">
        <v>2503</v>
      </c>
      <c r="BJ7" s="33" t="s">
        <v>2498</v>
      </c>
      <c r="BK7" s="33" t="s">
        <v>2499</v>
      </c>
      <c r="BM7" s="33" t="s">
        <v>2488</v>
      </c>
      <c r="BN7" s="33" t="s">
        <v>2512</v>
      </c>
      <c r="BO7" s="33" t="s">
        <v>2490</v>
      </c>
      <c r="BP7" s="33" t="s">
        <v>2492</v>
      </c>
      <c r="BS7" s="33" t="s">
        <v>10</v>
      </c>
      <c r="BT7" s="33" t="s">
        <v>12</v>
      </c>
      <c r="BU7" s="33" t="s">
        <v>2521</v>
      </c>
      <c r="BV7" s="33" t="s">
        <v>2504</v>
      </c>
      <c r="BW7" s="33" t="s">
        <v>2505</v>
      </c>
      <c r="BY7" s="33" t="s">
        <v>2513</v>
      </c>
      <c r="CA7" s="33" t="s">
        <v>2516</v>
      </c>
      <c r="CB7" s="33" t="s">
        <v>2515</v>
      </c>
      <c r="CC7" s="33" t="s">
        <v>2517</v>
      </c>
      <c r="CD7" s="33" t="s">
        <v>2518</v>
      </c>
      <c r="CF7" s="33" t="s">
        <v>2522</v>
      </c>
      <c r="CG7" s="33" t="s">
        <v>2523</v>
      </c>
    </row>
    <row r="8" spans="1:85" ht="30" customHeight="1" thickTop="1">
      <c r="A8" s="398">
        <v>1</v>
      </c>
      <c r="B8" s="399"/>
      <c r="C8" s="399"/>
      <c r="D8" s="399"/>
      <c r="E8" s="400"/>
      <c r="F8" s="402"/>
      <c r="G8" s="402"/>
      <c r="H8" s="402"/>
      <c r="I8" s="402"/>
      <c r="J8" s="402"/>
      <c r="K8" s="402"/>
      <c r="L8" s="403"/>
      <c r="M8" s="403"/>
      <c r="N8" s="403"/>
      <c r="O8" s="813"/>
      <c r="P8" s="813"/>
      <c r="Q8" s="404"/>
      <c r="R8" s="400"/>
      <c r="S8" s="400"/>
      <c r="T8" s="400"/>
      <c r="U8" s="400"/>
      <c r="V8" s="405"/>
      <c r="W8" s="406"/>
      <c r="X8" s="407"/>
      <c r="AA8" s="384" t="str">
        <f>IF(AND(C8&gt;0,N8=""),"Enter","OK")</f>
        <v>OK</v>
      </c>
      <c r="AB8" s="384" t="str">
        <f>IF(COUNTIF($H$8:$H$57,Data!KF3),Data!KG3,"")</f>
        <v/>
      </c>
      <c r="AC8" s="384" t="str">
        <f>IF(SUM(--ISNUMBER(SEARCH({"Bay","Corner"}, H8:H17))),"Yes","No")</f>
        <v>No</v>
      </c>
      <c r="AG8" s="384" t="b">
        <f>IF(D8=Data!$OL$3,Data!$AP$1, IF(D8=Data!$OL$4,Data!$AP$1, IF(D8=Data!$OL$5,Data!$AQ$1, IF(D8=Data!$OL$6,Data!$AQ$1, IF(D8=Data!$OL$7,Data!$AR$1)))))</f>
        <v>0</v>
      </c>
      <c r="AP8" s="485" t="s">
        <v>360</v>
      </c>
      <c r="AQ8" s="485" t="str">
        <f>$AS$7</f>
        <v>CordlockYesCordless</v>
      </c>
      <c r="AR8" s="33" t="s">
        <v>21</v>
      </c>
      <c r="AS8" s="33" t="s">
        <v>21</v>
      </c>
      <c r="AT8" s="384" t="e">
        <f>VLOOKUP(D8,$AP$8:$AQ$12,2,FALSE)</f>
        <v>#N/A</v>
      </c>
      <c r="AV8" s="33" t="s">
        <v>2353</v>
      </c>
      <c r="AW8" s="384" t="str">
        <f>IF(L8=$AV$6,$AV$7,$AR$7)</f>
        <v>CordlockNoCordless</v>
      </c>
      <c r="AY8" s="33" t="s">
        <v>2389</v>
      </c>
      <c r="AZ8" s="33" t="str">
        <f>$BD$7</f>
        <v xml:space="preserve"> 25mmCBladeColour</v>
      </c>
      <c r="BA8" s="33" t="str">
        <f>$BM$7</f>
        <v>Control25mm</v>
      </c>
      <c r="BB8" s="33" t="e">
        <f>VLOOKUP(D8,$AY$8:$BA$15,3,FALSE)</f>
        <v>#N/A</v>
      </c>
      <c r="BC8" s="33" t="e">
        <f>VLOOKUP(D8,$AY$8:$AZ$15,2,FALSE)</f>
        <v>#N/A</v>
      </c>
      <c r="BD8" s="384" t="s">
        <v>2412</v>
      </c>
      <c r="BE8" s="384" t="s">
        <v>2412</v>
      </c>
      <c r="BF8" s="384" t="s">
        <v>2412</v>
      </c>
      <c r="BG8" s="384" t="s">
        <v>2412</v>
      </c>
      <c r="BH8" s="384" t="s">
        <v>2452</v>
      </c>
      <c r="BI8" s="384" t="s">
        <v>2452</v>
      </c>
      <c r="BJ8" s="384" t="s">
        <v>2510</v>
      </c>
      <c r="BK8" s="384" t="s">
        <v>2510</v>
      </c>
      <c r="BM8" s="33" t="s">
        <v>10</v>
      </c>
      <c r="BN8" s="33" t="s">
        <v>2491</v>
      </c>
      <c r="BO8" s="33" t="s">
        <v>2491</v>
      </c>
      <c r="BP8" s="33" t="s">
        <v>2493</v>
      </c>
      <c r="BR8" s="384" t="s">
        <v>10</v>
      </c>
      <c r="BS8" s="384" t="str">
        <f>$BV$7</f>
        <v>IVBCordlockSide</v>
      </c>
      <c r="BT8" s="384" t="str">
        <f>$CA$7</f>
        <v>IVBTiltYes</v>
      </c>
      <c r="BU8" s="384" t="str">
        <f>$CC$7</f>
        <v>MotorNo</v>
      </c>
      <c r="BV8" s="33" t="s">
        <v>21</v>
      </c>
      <c r="BW8" s="33" t="s">
        <v>332</v>
      </c>
      <c r="BY8" s="384" t="e">
        <f>VLOOKUP(K8,$BR$8:$BS$12,2,FALSE)</f>
        <v>#N/A</v>
      </c>
      <c r="CA8" s="33" t="s">
        <v>21</v>
      </c>
      <c r="CB8" s="33" t="s">
        <v>332</v>
      </c>
      <c r="CC8" s="33" t="s">
        <v>332</v>
      </c>
      <c r="CD8" s="33" t="s">
        <v>2519</v>
      </c>
      <c r="CF8" s="384" t="e">
        <f>VLOOKUP(K8,$BR$8:$BT$12,3,FALSE)</f>
        <v>#N/A</v>
      </c>
      <c r="CG8" s="384" t="e">
        <f>VLOOKUP(K8,$BR$8:$BU$12,4,FALSE)</f>
        <v>#N/A</v>
      </c>
    </row>
    <row r="9" spans="1:85" ht="30" customHeight="1">
      <c r="A9" s="408">
        <v>2</v>
      </c>
      <c r="B9" s="409"/>
      <c r="C9" s="410"/>
      <c r="D9" s="410"/>
      <c r="E9" s="409"/>
      <c r="F9" s="411"/>
      <c r="G9" s="411"/>
      <c r="H9" s="411"/>
      <c r="I9" s="411"/>
      <c r="J9" s="411"/>
      <c r="K9" s="411"/>
      <c r="L9" s="412"/>
      <c r="M9" s="412"/>
      <c r="N9" s="412"/>
      <c r="O9" s="814"/>
      <c r="P9" s="814"/>
      <c r="Q9" s="409"/>
      <c r="R9" s="409"/>
      <c r="S9" s="409"/>
      <c r="T9" s="409"/>
      <c r="U9" s="409"/>
      <c r="V9" s="413"/>
      <c r="W9" s="406"/>
      <c r="X9" s="407"/>
      <c r="AA9" s="384" t="str">
        <f t="shared" ref="AA9:AA57" si="0">IF(AND(C9&gt;0,N9=""),"Enter","OK")</f>
        <v>OK</v>
      </c>
      <c r="AB9" s="384" t="str">
        <f>IF(COUNTIF($H$8:$H$57,Data!KF4),Data!KG4,"")</f>
        <v/>
      </c>
      <c r="AG9" s="384" t="b">
        <f>IF(D9=Data!$OL$3,Data!$AP$1, IF(D9=Data!$OL$4,Data!$AP$1, IF(D9=Data!$OL$5,Data!$AQ$1, IF(D9=Data!$OL$6,Data!$AQ$1, IF(D9=Data!$OL$7,Data!$AR$1)))))</f>
        <v>0</v>
      </c>
      <c r="AP9" s="485" t="s">
        <v>361</v>
      </c>
      <c r="AQ9" s="485" t="str">
        <f>$AR$7</f>
        <v>CordlockNoCordless</v>
      </c>
      <c r="AR9" s="33" t="s">
        <v>28</v>
      </c>
      <c r="AS9" s="33" t="s">
        <v>28</v>
      </c>
      <c r="AT9" s="384" t="e">
        <f t="shared" ref="AT9:AT57" si="1">VLOOKUP(D9,$AP$8:$AQ$12,2,FALSE)</f>
        <v>#N/A</v>
      </c>
      <c r="AV9" s="33" t="s">
        <v>2354</v>
      </c>
      <c r="AW9" s="384" t="str">
        <f t="shared" ref="AW9:AW57" si="2">IF(L9=$AV$6,$AV$7,$AR$7)</f>
        <v>CordlockNoCordless</v>
      </c>
      <c r="AY9" s="33" t="s">
        <v>2390</v>
      </c>
      <c r="AZ9" s="33" t="str">
        <f>$BE$7</f>
        <v xml:space="preserve"> 25mmLBladeColour</v>
      </c>
      <c r="BA9" s="33" t="str">
        <f>$BM$7</f>
        <v>Control25mm</v>
      </c>
      <c r="BB9" s="33" t="e">
        <f t="shared" ref="BB9:BB57" si="3">VLOOKUP(D9,$AY$8:$BA$15,3,FALSE)</f>
        <v>#N/A</v>
      </c>
      <c r="BC9" s="33" t="e">
        <f t="shared" ref="BC9:BC57" si="4">VLOOKUP(D9,$AY$8:$AZ$15,2,FALSE)</f>
        <v>#N/A</v>
      </c>
      <c r="BD9" s="384" t="s">
        <v>2413</v>
      </c>
      <c r="BE9" s="384" t="s">
        <v>2413</v>
      </c>
      <c r="BF9" s="384" t="s">
        <v>2413</v>
      </c>
      <c r="BG9" s="384" t="s">
        <v>2424</v>
      </c>
      <c r="BH9" s="384" t="s">
        <v>2458</v>
      </c>
      <c r="BI9" s="384" t="s">
        <v>2458</v>
      </c>
      <c r="BJ9" s="384" t="s">
        <v>2474</v>
      </c>
      <c r="BK9" s="384" t="s">
        <v>2474</v>
      </c>
      <c r="BM9" s="33" t="s">
        <v>2349</v>
      </c>
      <c r="BN9" s="33" t="s">
        <v>2489</v>
      </c>
      <c r="BO9" s="33" t="s">
        <v>2489</v>
      </c>
      <c r="BP9" s="33" t="s">
        <v>2489</v>
      </c>
      <c r="BR9" s="384" t="s">
        <v>2349</v>
      </c>
      <c r="BS9" s="384" t="str">
        <f>$BW$7</f>
        <v>IVBCordlockNA</v>
      </c>
      <c r="BT9" s="384" t="str">
        <f>$CB$7</f>
        <v>IVBTiltNo</v>
      </c>
      <c r="BU9" s="384" t="str">
        <f>$CC$7</f>
        <v>MotorNo</v>
      </c>
      <c r="BV9" s="33" t="s">
        <v>28</v>
      </c>
      <c r="BY9" s="384" t="e">
        <f t="shared" ref="BY9:BY57" si="5">VLOOKUP(K9,$BR$8:$BS$12,2,FALSE)</f>
        <v>#N/A</v>
      </c>
      <c r="CA9" s="33" t="s">
        <v>28</v>
      </c>
      <c r="CD9" s="33" t="s">
        <v>2520</v>
      </c>
      <c r="CF9" s="384" t="e">
        <f t="shared" ref="CF9:CF57" si="6">VLOOKUP(K9,$BR$8:$BT$12,3,FALSE)</f>
        <v>#N/A</v>
      </c>
      <c r="CG9" s="384" t="e">
        <f t="shared" ref="CG9:CG57" si="7">VLOOKUP(K9,$BR$8:$BU$12,4,FALSE)</f>
        <v>#N/A</v>
      </c>
    </row>
    <row r="10" spans="1:85" ht="30" customHeight="1">
      <c r="A10" s="414">
        <v>3</v>
      </c>
      <c r="B10" s="410"/>
      <c r="C10" s="410"/>
      <c r="D10" s="410"/>
      <c r="E10" s="409"/>
      <c r="F10" s="411"/>
      <c r="G10" s="411"/>
      <c r="H10" s="411"/>
      <c r="I10" s="411"/>
      <c r="J10" s="411"/>
      <c r="K10" s="411"/>
      <c r="L10" s="412"/>
      <c r="M10" s="412"/>
      <c r="N10" s="412"/>
      <c r="O10" s="814"/>
      <c r="P10" s="814"/>
      <c r="Q10" s="409"/>
      <c r="R10" s="409"/>
      <c r="S10" s="409"/>
      <c r="T10" s="409"/>
      <c r="U10" s="409"/>
      <c r="V10" s="413"/>
      <c r="W10" s="406"/>
      <c r="X10" s="407"/>
      <c r="AA10" s="384" t="str">
        <f t="shared" si="0"/>
        <v>OK</v>
      </c>
      <c r="AB10" s="384" t="str">
        <f>IF(COUNTIF($H$8:$H$57,Data!KF5),Data!KG5,"")</f>
        <v/>
      </c>
      <c r="AG10" s="384" t="b">
        <f>IF(D10=Data!$OL$3,Data!$AP$1, IF(D10=Data!$OL$4,Data!$AP$1, IF(D10=Data!$OL$5,Data!$AQ$1, IF(D10=Data!$OL$6,Data!$AQ$1, IF(D10=Data!$OL$7,Data!$AR$1)))))</f>
        <v>0</v>
      </c>
      <c r="AP10" s="485" t="s">
        <v>359</v>
      </c>
      <c r="AQ10" s="485" t="str">
        <f>$AR$7</f>
        <v>CordlockNoCordless</v>
      </c>
      <c r="AS10" s="33" t="s">
        <v>2349</v>
      </c>
      <c r="AT10" s="384" t="e">
        <f t="shared" si="1"/>
        <v>#N/A</v>
      </c>
      <c r="AW10" s="384" t="str">
        <f t="shared" si="2"/>
        <v>CordlockNoCordless</v>
      </c>
      <c r="AY10" s="33" t="s">
        <v>2501</v>
      </c>
      <c r="AZ10" s="33" t="str">
        <f>$BF$7</f>
        <v xml:space="preserve"> 25mmSBladeColour</v>
      </c>
      <c r="BA10" s="33" t="str">
        <f>$BM$7</f>
        <v>Control25mm</v>
      </c>
      <c r="BB10" s="33" t="e">
        <f t="shared" si="3"/>
        <v>#N/A</v>
      </c>
      <c r="BC10" s="33" t="e">
        <f t="shared" si="4"/>
        <v>#N/A</v>
      </c>
      <c r="BD10" s="384" t="s">
        <v>2414</v>
      </c>
      <c r="BE10" s="384" t="s">
        <v>2414</v>
      </c>
      <c r="BF10" s="384" t="s">
        <v>2414</v>
      </c>
      <c r="BG10" s="384" t="s">
        <v>2399</v>
      </c>
      <c r="BH10" s="384" t="s">
        <v>2451</v>
      </c>
      <c r="BI10" s="384" t="s">
        <v>2451</v>
      </c>
      <c r="BJ10" s="384" t="s">
        <v>2476</v>
      </c>
      <c r="BK10" s="384" t="s">
        <v>2476</v>
      </c>
      <c r="BM10" s="33" t="s">
        <v>2491</v>
      </c>
      <c r="BN10" s="33"/>
      <c r="BR10" s="384" t="s">
        <v>2491</v>
      </c>
      <c r="BS10" s="384" t="str">
        <f>$BV$7</f>
        <v>IVBCordlockSide</v>
      </c>
      <c r="BT10" s="384" t="str">
        <f>$CB$7</f>
        <v>IVBTiltNo</v>
      </c>
      <c r="BU10" s="384" t="str">
        <f>$CC$7</f>
        <v>MotorNo</v>
      </c>
      <c r="BY10" s="384" t="e">
        <f t="shared" si="5"/>
        <v>#N/A</v>
      </c>
      <c r="CF10" s="384" t="e">
        <f t="shared" si="6"/>
        <v>#N/A</v>
      </c>
      <c r="CG10" s="384" t="e">
        <f t="shared" si="7"/>
        <v>#N/A</v>
      </c>
    </row>
    <row r="11" spans="1:85" ht="30" customHeight="1">
      <c r="A11" s="414">
        <v>4</v>
      </c>
      <c r="B11" s="410"/>
      <c r="C11" s="410"/>
      <c r="D11" s="410"/>
      <c r="E11" s="409"/>
      <c r="F11" s="411"/>
      <c r="G11" s="411"/>
      <c r="H11" s="411"/>
      <c r="I11" s="411"/>
      <c r="J11" s="411"/>
      <c r="K11" s="411"/>
      <c r="L11" s="412"/>
      <c r="M11" s="412"/>
      <c r="N11" s="412"/>
      <c r="O11" s="814"/>
      <c r="P11" s="814"/>
      <c r="Q11" s="409"/>
      <c r="R11" s="409"/>
      <c r="S11" s="409"/>
      <c r="T11" s="409"/>
      <c r="U11" s="409"/>
      <c r="V11" s="413"/>
      <c r="W11" s="406"/>
      <c r="X11" s="407"/>
      <c r="AA11" s="384" t="str">
        <f t="shared" si="0"/>
        <v>OK</v>
      </c>
      <c r="AB11" s="384" t="str">
        <f>IF(COUNTIF($H$8:$H$57,Data!KF6),Data!KG6,"")</f>
        <v/>
      </c>
      <c r="AG11" s="384" t="b">
        <f>IF(D11=Data!$OL$3,Data!$AP$1, IF(D11=Data!$OL$4,Data!$AP$1, IF(D11=Data!$OL$5,Data!$AQ$1, IF(D11=Data!$OL$6,Data!$AQ$1, IF(D11=Data!$OL$7,Data!$AR$1)))))</f>
        <v>0</v>
      </c>
      <c r="AP11" s="485" t="s">
        <v>358</v>
      </c>
      <c r="AQ11" s="485" t="str">
        <f>$AR$7</f>
        <v>CordlockNoCordless</v>
      </c>
      <c r="AT11" s="384" t="e">
        <f t="shared" si="1"/>
        <v>#N/A</v>
      </c>
      <c r="AW11" s="384" t="str">
        <f t="shared" si="2"/>
        <v>CordlockNoCordless</v>
      </c>
      <c r="AY11" s="33" t="s">
        <v>2511</v>
      </c>
      <c r="AZ11" s="384" t="str">
        <f>BG7</f>
        <v xml:space="preserve"> 30mmLBladeColour</v>
      </c>
      <c r="BA11" s="384" t="str">
        <f>$BN$7</f>
        <v>Control30mm</v>
      </c>
      <c r="BB11" s="33" t="e">
        <f t="shared" si="3"/>
        <v>#N/A</v>
      </c>
      <c r="BC11" s="33" t="e">
        <f t="shared" si="4"/>
        <v>#N/A</v>
      </c>
      <c r="BD11" s="384" t="s">
        <v>2422</v>
      </c>
      <c r="BE11" s="384" t="s">
        <v>2422</v>
      </c>
      <c r="BF11" s="384" t="s">
        <v>2422</v>
      </c>
      <c r="BG11" s="384" t="s">
        <v>2430</v>
      </c>
      <c r="BH11" s="384" t="s">
        <v>2457</v>
      </c>
      <c r="BI11" s="384" t="s">
        <v>2457</v>
      </c>
      <c r="BJ11" s="384" t="s">
        <v>2471</v>
      </c>
      <c r="BK11" s="384" t="s">
        <v>2471</v>
      </c>
      <c r="BM11" s="33" t="s">
        <v>2489</v>
      </c>
      <c r="BN11" s="33"/>
      <c r="BR11" s="384" t="s">
        <v>2489</v>
      </c>
      <c r="BS11" s="384" t="str">
        <f>$BW$7</f>
        <v>IVBCordlockNA</v>
      </c>
      <c r="BT11" s="384" t="str">
        <f>$CB$7</f>
        <v>IVBTiltNo</v>
      </c>
      <c r="BU11" s="384" t="str">
        <f>$CD$7</f>
        <v>MotorYes</v>
      </c>
      <c r="BY11" s="384" t="e">
        <f t="shared" si="5"/>
        <v>#N/A</v>
      </c>
      <c r="CF11" s="384" t="e">
        <f t="shared" si="6"/>
        <v>#N/A</v>
      </c>
      <c r="CG11" s="384" t="e">
        <f t="shared" si="7"/>
        <v>#N/A</v>
      </c>
    </row>
    <row r="12" spans="1:85" ht="30" customHeight="1">
      <c r="A12" s="414">
        <v>5</v>
      </c>
      <c r="B12" s="410"/>
      <c r="C12" s="410"/>
      <c r="D12" s="410"/>
      <c r="E12" s="409"/>
      <c r="F12" s="411"/>
      <c r="G12" s="411"/>
      <c r="H12" s="411"/>
      <c r="I12" s="411"/>
      <c r="J12" s="411"/>
      <c r="K12" s="411"/>
      <c r="L12" s="412"/>
      <c r="M12" s="412"/>
      <c r="N12" s="412"/>
      <c r="O12" s="814"/>
      <c r="P12" s="814"/>
      <c r="Q12" s="409"/>
      <c r="R12" s="409"/>
      <c r="S12" s="409"/>
      <c r="T12" s="409"/>
      <c r="U12" s="409"/>
      <c r="V12" s="413"/>
      <c r="W12" s="406"/>
      <c r="X12" s="407"/>
      <c r="AA12" s="384" t="str">
        <f t="shared" si="0"/>
        <v>OK</v>
      </c>
      <c r="AB12" s="384" t="str">
        <f>IF(COUNTIF($H$8:$H$57,Data!KF7),Data!KG7,"")</f>
        <v/>
      </c>
      <c r="AG12" s="384" t="b">
        <f>IF(D12=Data!$OL$3,Data!$AP$1, IF(D12=Data!$OL$4,Data!$AP$1, IF(D12=Data!$OL$5,Data!$AQ$1, IF(D12=Data!$OL$6,Data!$AQ$1, IF(D12=Data!$OL$7,Data!$AR$1)))))</f>
        <v>0</v>
      </c>
      <c r="AP12" s="485" t="s">
        <v>2283</v>
      </c>
      <c r="AQ12" s="485" t="str">
        <f>$AS$7</f>
        <v>CordlockYesCordless</v>
      </c>
      <c r="AT12" s="384" t="e">
        <f t="shared" si="1"/>
        <v>#N/A</v>
      </c>
      <c r="AW12" s="384" t="str">
        <f t="shared" si="2"/>
        <v>CordlockNoCordless</v>
      </c>
      <c r="AY12" s="33" t="s">
        <v>2485</v>
      </c>
      <c r="AZ12" s="384" t="str">
        <f>$BH$7</f>
        <v xml:space="preserve"> 35mmCBladeColour</v>
      </c>
      <c r="BA12" s="384" t="str">
        <f>$BO$7</f>
        <v>Control35mm</v>
      </c>
      <c r="BB12" s="33" t="e">
        <f t="shared" si="3"/>
        <v>#N/A</v>
      </c>
      <c r="BC12" s="33" t="e">
        <f t="shared" si="4"/>
        <v>#N/A</v>
      </c>
      <c r="BD12" s="384" t="s">
        <v>2423</v>
      </c>
      <c r="BE12" s="384" t="s">
        <v>2423</v>
      </c>
      <c r="BF12" s="384" t="s">
        <v>2423</v>
      </c>
      <c r="BG12" s="384" t="s">
        <v>2398</v>
      </c>
      <c r="BH12" s="384" t="s">
        <v>2461</v>
      </c>
      <c r="BI12" s="384" t="s">
        <v>2461</v>
      </c>
      <c r="BJ12" s="384" t="s">
        <v>2470</v>
      </c>
      <c r="BK12" s="384" t="s">
        <v>2470</v>
      </c>
      <c r="BR12" s="33" t="s">
        <v>2493</v>
      </c>
      <c r="BS12" s="384" t="str">
        <f>$BV$7</f>
        <v>IVBCordlockSide</v>
      </c>
      <c r="BT12" s="384" t="str">
        <f>$CB$7</f>
        <v>IVBTiltNo</v>
      </c>
      <c r="BU12" s="384" t="str">
        <f>$CC$7</f>
        <v>MotorNo</v>
      </c>
      <c r="BY12" s="384" t="e">
        <f t="shared" si="5"/>
        <v>#N/A</v>
      </c>
      <c r="CF12" s="384" t="e">
        <f t="shared" si="6"/>
        <v>#N/A</v>
      </c>
      <c r="CG12" s="384" t="e">
        <f t="shared" si="7"/>
        <v>#N/A</v>
      </c>
    </row>
    <row r="13" spans="1:85" ht="30" customHeight="1">
      <c r="A13" s="414">
        <v>6</v>
      </c>
      <c r="B13" s="410"/>
      <c r="C13" s="410"/>
      <c r="D13" s="410"/>
      <c r="E13" s="409"/>
      <c r="F13" s="411"/>
      <c r="G13" s="411"/>
      <c r="H13" s="411"/>
      <c r="I13" s="411"/>
      <c r="J13" s="411"/>
      <c r="K13" s="411"/>
      <c r="L13" s="412"/>
      <c r="M13" s="412"/>
      <c r="N13" s="412"/>
      <c r="O13" s="814"/>
      <c r="P13" s="814"/>
      <c r="Q13" s="409"/>
      <c r="R13" s="409"/>
      <c r="S13" s="409"/>
      <c r="T13" s="409"/>
      <c r="U13" s="409"/>
      <c r="V13" s="413"/>
      <c r="W13" s="406"/>
      <c r="X13" s="407"/>
      <c r="AA13" s="384" t="str">
        <f t="shared" si="0"/>
        <v>OK</v>
      </c>
      <c r="AB13" s="384" t="str">
        <f>IF(COUNTIF($H$8:$H$57,Data!KF8),Data!KG8,"")</f>
        <v/>
      </c>
      <c r="AG13" s="384" t="b">
        <f>IF(D13=Data!$OL$3,Data!$AP$1, IF(D13=Data!$OL$4,Data!$AP$1, IF(D13=Data!$OL$5,Data!$AQ$1, IF(D13=Data!$OL$6,Data!$AQ$1, IF(D13=Data!$OL$7,Data!$AR$1)))))</f>
        <v>0</v>
      </c>
      <c r="AT13" s="384" t="e">
        <f t="shared" si="1"/>
        <v>#N/A</v>
      </c>
      <c r="AW13" s="384" t="str">
        <f t="shared" si="2"/>
        <v>CordlockNoCordless</v>
      </c>
      <c r="AY13" s="33" t="s">
        <v>2502</v>
      </c>
      <c r="AZ13" s="384" t="str">
        <f>$BI$7</f>
        <v xml:space="preserve"> 35mmSBladeColour</v>
      </c>
      <c r="BA13" s="384" t="str">
        <f>$BO$7</f>
        <v>Control35mm</v>
      </c>
      <c r="BB13" s="33" t="e">
        <f t="shared" si="3"/>
        <v>#N/A</v>
      </c>
      <c r="BC13" s="33" t="e">
        <f t="shared" si="4"/>
        <v>#N/A</v>
      </c>
      <c r="BD13" s="384" t="s">
        <v>2424</v>
      </c>
      <c r="BE13" s="384" t="s">
        <v>2424</v>
      </c>
      <c r="BF13" s="384" t="s">
        <v>2424</v>
      </c>
      <c r="BG13" s="384" t="s">
        <v>2391</v>
      </c>
      <c r="BH13" s="384" t="s">
        <v>2467</v>
      </c>
      <c r="BI13" s="384" t="s">
        <v>2467</v>
      </c>
      <c r="BJ13" s="384" t="s">
        <v>2472</v>
      </c>
      <c r="BK13" s="384" t="s">
        <v>2472</v>
      </c>
      <c r="BY13" s="384" t="e">
        <f t="shared" si="5"/>
        <v>#N/A</v>
      </c>
      <c r="CF13" s="384" t="e">
        <f t="shared" si="6"/>
        <v>#N/A</v>
      </c>
      <c r="CG13" s="384" t="e">
        <f t="shared" si="7"/>
        <v>#N/A</v>
      </c>
    </row>
    <row r="14" spans="1:85" ht="30" customHeight="1">
      <c r="A14" s="414">
        <v>7</v>
      </c>
      <c r="B14" s="410"/>
      <c r="C14" s="410"/>
      <c r="D14" s="410"/>
      <c r="E14" s="409"/>
      <c r="F14" s="411"/>
      <c r="G14" s="411"/>
      <c r="H14" s="411"/>
      <c r="I14" s="411"/>
      <c r="J14" s="411"/>
      <c r="K14" s="411"/>
      <c r="L14" s="412"/>
      <c r="M14" s="412"/>
      <c r="N14" s="412"/>
      <c r="O14" s="814"/>
      <c r="P14" s="814"/>
      <c r="Q14" s="409"/>
      <c r="R14" s="409"/>
      <c r="S14" s="409"/>
      <c r="T14" s="409"/>
      <c r="U14" s="409"/>
      <c r="V14" s="413"/>
      <c r="W14" s="406"/>
      <c r="X14" s="407"/>
      <c r="AA14" s="384" t="str">
        <f t="shared" si="0"/>
        <v>OK</v>
      </c>
      <c r="AB14" s="384" t="str">
        <f>IF(COUNTIF($H$8:$H$57,Data!KF9),Data!KG9,"")</f>
        <v/>
      </c>
      <c r="AG14" s="384" t="b">
        <f>IF(D14=Data!$OL$3,Data!$AP$1, IF(D14=Data!$OL$4,Data!$AP$1, IF(D14=Data!$OL$5,Data!$AQ$1, IF(D14=Data!$OL$6,Data!$AQ$1, IF(D14=Data!$OL$7,Data!$AR$1)))))</f>
        <v>0</v>
      </c>
      <c r="AT14" s="384" t="e">
        <f t="shared" si="1"/>
        <v>#N/A</v>
      </c>
      <c r="AW14" s="384" t="str">
        <f t="shared" si="2"/>
        <v>CordlockNoCordless</v>
      </c>
      <c r="AY14" s="33" t="s">
        <v>2486</v>
      </c>
      <c r="AZ14" s="384" t="str">
        <f>$BJ$7</f>
        <v xml:space="preserve"> 50mmCBladeColour</v>
      </c>
      <c r="BA14" s="384" t="str">
        <f>$BP$7</f>
        <v>Control50mm</v>
      </c>
      <c r="BB14" s="33" t="e">
        <f t="shared" si="3"/>
        <v>#N/A</v>
      </c>
      <c r="BC14" s="33" t="e">
        <f t="shared" si="4"/>
        <v>#N/A</v>
      </c>
      <c r="BD14" s="384" t="s">
        <v>2425</v>
      </c>
      <c r="BE14" s="384" t="s">
        <v>2425</v>
      </c>
      <c r="BF14" s="384" t="s">
        <v>2425</v>
      </c>
      <c r="BG14" s="384" t="s">
        <v>2406</v>
      </c>
      <c r="BH14" s="384" t="s">
        <v>2464</v>
      </c>
      <c r="BI14" s="384" t="s">
        <v>2464</v>
      </c>
      <c r="BJ14" s="384" t="s">
        <v>2484</v>
      </c>
      <c r="BK14" s="384" t="s">
        <v>2484</v>
      </c>
      <c r="BY14" s="384" t="e">
        <f t="shared" si="5"/>
        <v>#N/A</v>
      </c>
      <c r="CF14" s="384" t="e">
        <f t="shared" si="6"/>
        <v>#N/A</v>
      </c>
      <c r="CG14" s="384" t="e">
        <f t="shared" si="7"/>
        <v>#N/A</v>
      </c>
    </row>
    <row r="15" spans="1:85" ht="30" customHeight="1">
      <c r="A15" s="414">
        <v>8</v>
      </c>
      <c r="B15" s="415"/>
      <c r="C15" s="415"/>
      <c r="D15" s="410"/>
      <c r="E15" s="409"/>
      <c r="F15" s="411"/>
      <c r="G15" s="411"/>
      <c r="H15" s="411"/>
      <c r="I15" s="411"/>
      <c r="J15" s="411"/>
      <c r="K15" s="411"/>
      <c r="L15" s="412"/>
      <c r="M15" s="412"/>
      <c r="N15" s="412"/>
      <c r="O15" s="814"/>
      <c r="P15" s="814"/>
      <c r="Q15" s="409"/>
      <c r="R15" s="409"/>
      <c r="S15" s="409"/>
      <c r="T15" s="409"/>
      <c r="U15" s="409"/>
      <c r="V15" s="413"/>
      <c r="W15" s="406"/>
      <c r="X15" s="407"/>
      <c r="AA15" s="384" t="str">
        <f t="shared" si="0"/>
        <v>OK</v>
      </c>
      <c r="AB15" s="384" t="str">
        <f>IF(COUNTIF(AB8:AB14,Data!KG6),Data!KH6,"")</f>
        <v/>
      </c>
      <c r="AG15" s="384" t="b">
        <f>IF(D15=Data!$OL$3,Data!$AP$1, IF(D15=Data!$OL$4,Data!$AP$1, IF(D15=Data!$OL$5,Data!$AQ$1, IF(D15=Data!$OL$6,Data!$AQ$1, IF(D15=Data!$OL$7,Data!$AR$1)))))</f>
        <v>0</v>
      </c>
      <c r="AT15" s="384" t="e">
        <f t="shared" si="1"/>
        <v>#N/A</v>
      </c>
      <c r="AW15" s="384" t="str">
        <f t="shared" si="2"/>
        <v>CordlockNoCordless</v>
      </c>
      <c r="AY15" s="33" t="s">
        <v>2487</v>
      </c>
      <c r="AZ15" s="384" t="str">
        <f>$BK$7</f>
        <v xml:space="preserve"> 50mmLBladeColour</v>
      </c>
      <c r="BA15" s="384" t="str">
        <f>$BP$7</f>
        <v>Control50mm</v>
      </c>
      <c r="BB15" s="33" t="e">
        <f t="shared" si="3"/>
        <v>#N/A</v>
      </c>
      <c r="BC15" s="33" t="e">
        <f t="shared" si="4"/>
        <v>#N/A</v>
      </c>
      <c r="BD15" s="384" t="s">
        <v>2426</v>
      </c>
      <c r="BE15" s="384" t="s">
        <v>2426</v>
      </c>
      <c r="BF15" s="384" t="s">
        <v>2426</v>
      </c>
      <c r="BG15" s="384" t="s">
        <v>2416</v>
      </c>
      <c r="BH15" s="384" t="s">
        <v>2508</v>
      </c>
      <c r="BI15" s="384" t="s">
        <v>2508</v>
      </c>
      <c r="BJ15" s="384" t="s">
        <v>2477</v>
      </c>
      <c r="BK15" s="384" t="s">
        <v>2477</v>
      </c>
      <c r="BY15" s="384" t="e">
        <f t="shared" si="5"/>
        <v>#N/A</v>
      </c>
      <c r="CF15" s="384" t="e">
        <f t="shared" si="6"/>
        <v>#N/A</v>
      </c>
      <c r="CG15" s="384" t="e">
        <f t="shared" si="7"/>
        <v>#N/A</v>
      </c>
    </row>
    <row r="16" spans="1:85" ht="30" customHeight="1">
      <c r="A16" s="414">
        <v>9</v>
      </c>
      <c r="B16" s="410"/>
      <c r="C16" s="410"/>
      <c r="D16" s="410"/>
      <c r="E16" s="409"/>
      <c r="F16" s="411"/>
      <c r="G16" s="411"/>
      <c r="H16" s="411"/>
      <c r="I16" s="411"/>
      <c r="J16" s="411"/>
      <c r="K16" s="411"/>
      <c r="L16" s="412"/>
      <c r="M16" s="412"/>
      <c r="N16" s="412"/>
      <c r="O16" s="814"/>
      <c r="P16" s="814"/>
      <c r="Q16" s="409"/>
      <c r="R16" s="409"/>
      <c r="S16" s="409"/>
      <c r="T16" s="409"/>
      <c r="U16" s="409"/>
      <c r="V16" s="413"/>
      <c r="W16" s="406"/>
      <c r="X16" s="407"/>
      <c r="AA16" s="384" t="str">
        <f t="shared" si="0"/>
        <v>OK</v>
      </c>
      <c r="AB16" s="384" t="str">
        <f>IF(COUNTIF(AB8:AB14,Data!KG7),Data!KH7,"")</f>
        <v/>
      </c>
      <c r="AG16" s="384" t="b">
        <f>IF(D16=Data!$OL$3,Data!$AP$1, IF(D16=Data!$OL$4,Data!$AP$1, IF(D16=Data!$OL$5,Data!$AQ$1, IF(D16=Data!$OL$6,Data!$AQ$1, IF(D16=Data!$OL$7,Data!$AR$1)))))</f>
        <v>0</v>
      </c>
      <c r="AT16" s="384" t="e">
        <f t="shared" si="1"/>
        <v>#N/A</v>
      </c>
      <c r="AW16" s="384" t="str">
        <f t="shared" si="2"/>
        <v>CordlockNoCordless</v>
      </c>
      <c r="BB16" s="33" t="e">
        <f t="shared" si="3"/>
        <v>#N/A</v>
      </c>
      <c r="BC16" s="33" t="e">
        <f t="shared" si="4"/>
        <v>#N/A</v>
      </c>
      <c r="BD16" s="384" t="s">
        <v>2399</v>
      </c>
      <c r="BE16" s="384" t="s">
        <v>2399</v>
      </c>
      <c r="BF16" s="384" t="s">
        <v>2399</v>
      </c>
      <c r="BG16" s="384" t="s">
        <v>2506</v>
      </c>
      <c r="BH16" s="384" t="s">
        <v>2466</v>
      </c>
      <c r="BI16" s="384" t="s">
        <v>2466</v>
      </c>
      <c r="BJ16" s="384" t="s">
        <v>2480</v>
      </c>
      <c r="BK16" s="384" t="s">
        <v>2480</v>
      </c>
      <c r="BY16" s="384" t="e">
        <f t="shared" si="5"/>
        <v>#N/A</v>
      </c>
      <c r="CF16" s="384" t="e">
        <f t="shared" si="6"/>
        <v>#N/A</v>
      </c>
      <c r="CG16" s="384" t="e">
        <f t="shared" si="7"/>
        <v>#N/A</v>
      </c>
    </row>
    <row r="17" spans="1:85" ht="30" customHeight="1">
      <c r="A17" s="414">
        <v>10</v>
      </c>
      <c r="B17" s="410"/>
      <c r="C17" s="410"/>
      <c r="D17" s="410"/>
      <c r="E17" s="409"/>
      <c r="F17" s="411"/>
      <c r="G17" s="411"/>
      <c r="H17" s="411"/>
      <c r="I17" s="411"/>
      <c r="J17" s="411"/>
      <c r="K17" s="411"/>
      <c r="L17" s="412"/>
      <c r="M17" s="412"/>
      <c r="N17" s="412"/>
      <c r="O17" s="814"/>
      <c r="P17" s="814"/>
      <c r="Q17" s="409"/>
      <c r="R17" s="409"/>
      <c r="S17" s="409"/>
      <c r="T17" s="409"/>
      <c r="U17" s="409"/>
      <c r="V17" s="413"/>
      <c r="W17" s="406"/>
      <c r="X17" s="407"/>
      <c r="AA17" s="384" t="str">
        <f t="shared" si="0"/>
        <v>OK</v>
      </c>
      <c r="AB17" s="384" t="str">
        <f>AB15&amp;" &amp; "&amp;AB16&amp;""</f>
        <v xml:space="preserve"> &amp; </v>
      </c>
      <c r="AG17" s="384" t="b">
        <f>IF(D17=Data!$OL$3,Data!$AP$1, IF(D17=Data!$OL$4,Data!$AP$1, IF(D17=Data!$OL$5,Data!$AQ$1, IF(D17=Data!$OL$6,Data!$AQ$1, IF(D17=Data!$OL$7,Data!$AR$1)))))</f>
        <v>0</v>
      </c>
      <c r="AT17" s="384" t="e">
        <f t="shared" si="1"/>
        <v>#N/A</v>
      </c>
      <c r="AW17" s="384" t="str">
        <f t="shared" si="2"/>
        <v>CordlockNoCordless</v>
      </c>
      <c r="BB17" s="33" t="e">
        <f t="shared" si="3"/>
        <v>#N/A</v>
      </c>
      <c r="BC17" s="33" t="e">
        <f t="shared" si="4"/>
        <v>#N/A</v>
      </c>
      <c r="BD17" s="384" t="s">
        <v>2396</v>
      </c>
      <c r="BE17" s="384" t="s">
        <v>2396</v>
      </c>
      <c r="BF17" s="384" t="s">
        <v>2396</v>
      </c>
      <c r="BG17" s="384" t="s">
        <v>2445</v>
      </c>
      <c r="BH17" s="384" t="s">
        <v>2453</v>
      </c>
      <c r="BI17" s="384" t="s">
        <v>2453</v>
      </c>
      <c r="BJ17" s="384" t="s">
        <v>2479</v>
      </c>
      <c r="BK17" s="384" t="s">
        <v>2479</v>
      </c>
      <c r="BY17" s="384" t="e">
        <f t="shared" si="5"/>
        <v>#N/A</v>
      </c>
      <c r="CF17" s="384" t="e">
        <f t="shared" si="6"/>
        <v>#N/A</v>
      </c>
      <c r="CG17" s="384" t="e">
        <f t="shared" si="7"/>
        <v>#N/A</v>
      </c>
    </row>
    <row r="18" spans="1:85" ht="30" customHeight="1">
      <c r="A18" s="414">
        <v>11</v>
      </c>
      <c r="B18" s="410"/>
      <c r="C18" s="410"/>
      <c r="D18" s="410"/>
      <c r="E18" s="409"/>
      <c r="F18" s="411"/>
      <c r="G18" s="411"/>
      <c r="H18" s="411"/>
      <c r="I18" s="411"/>
      <c r="J18" s="411"/>
      <c r="K18" s="411"/>
      <c r="L18" s="412"/>
      <c r="M18" s="412"/>
      <c r="N18" s="412"/>
      <c r="O18" s="814"/>
      <c r="P18" s="814"/>
      <c r="Q18" s="409"/>
      <c r="R18" s="409"/>
      <c r="S18" s="409"/>
      <c r="T18" s="409"/>
      <c r="U18" s="409"/>
      <c r="V18" s="413"/>
      <c r="W18" s="406"/>
      <c r="X18" s="407"/>
      <c r="AA18" s="384" t="str">
        <f t="shared" si="0"/>
        <v>OK</v>
      </c>
      <c r="AB18" s="384" t="str">
        <f>IF(AB17="Corner &amp; Bay","Corner &amp; Bay Window Diagram Must Be Supplied",IF(AB15="Corner","Corner Window Diagram Must Be Supplied",IF(AB16="Bay","Bay Window Diagram Must Be Supplied","")))</f>
        <v/>
      </c>
      <c r="AG18" s="384" t="b">
        <f>IF(D18=Data!$OL$3,Data!$AP$1, IF(D18=Data!$OL$4,Data!$AP$1, IF(D18=Data!$OL$5,Data!$AQ$1, IF(D18=Data!$OL$6,Data!$AQ$1, IF(D18=Data!$OL$7,Data!$AR$1)))))</f>
        <v>0</v>
      </c>
      <c r="AT18" s="384" t="e">
        <f t="shared" si="1"/>
        <v>#N/A</v>
      </c>
      <c r="AW18" s="384" t="str">
        <f t="shared" si="2"/>
        <v>CordlockNoCordless</v>
      </c>
      <c r="BB18" s="33" t="e">
        <f t="shared" si="3"/>
        <v>#N/A</v>
      </c>
      <c r="BC18" s="33" t="e">
        <f t="shared" si="4"/>
        <v>#N/A</v>
      </c>
      <c r="BD18" s="384" t="s">
        <v>2397</v>
      </c>
      <c r="BE18" s="384" t="s">
        <v>2397</v>
      </c>
      <c r="BF18" s="384" t="s">
        <v>2397</v>
      </c>
      <c r="BG18" s="384" t="s">
        <v>2440</v>
      </c>
      <c r="BH18" s="384" t="s">
        <v>2459</v>
      </c>
      <c r="BI18" s="384" t="s">
        <v>2459</v>
      </c>
      <c r="BJ18" s="384" t="s">
        <v>2473</v>
      </c>
      <c r="BK18" s="384" t="s">
        <v>2473</v>
      </c>
      <c r="BY18" s="384" t="e">
        <f t="shared" si="5"/>
        <v>#N/A</v>
      </c>
      <c r="CF18" s="384" t="e">
        <f t="shared" si="6"/>
        <v>#N/A</v>
      </c>
      <c r="CG18" s="384" t="e">
        <f t="shared" si="7"/>
        <v>#N/A</v>
      </c>
    </row>
    <row r="19" spans="1:85" ht="30" customHeight="1">
      <c r="A19" s="414">
        <v>12</v>
      </c>
      <c r="B19" s="410"/>
      <c r="C19" s="410"/>
      <c r="D19" s="410"/>
      <c r="E19" s="409"/>
      <c r="F19" s="411"/>
      <c r="G19" s="411"/>
      <c r="H19" s="411"/>
      <c r="I19" s="411"/>
      <c r="J19" s="411"/>
      <c r="K19" s="411"/>
      <c r="L19" s="412"/>
      <c r="M19" s="412"/>
      <c r="N19" s="412"/>
      <c r="O19" s="814"/>
      <c r="P19" s="814"/>
      <c r="Q19" s="409"/>
      <c r="R19" s="409"/>
      <c r="S19" s="409"/>
      <c r="T19" s="409"/>
      <c r="U19" s="409"/>
      <c r="V19" s="413"/>
      <c r="W19" s="406"/>
      <c r="X19" s="407"/>
      <c r="AA19" s="384" t="str">
        <f t="shared" si="0"/>
        <v>OK</v>
      </c>
      <c r="AG19" s="384" t="b">
        <f>IF(D19=Data!$OL$3,Data!$AP$1, IF(D19=Data!$OL$4,Data!$AP$1, IF(D19=Data!$OL$5,Data!$AQ$1, IF(D19=Data!$OL$6,Data!$AQ$1, IF(D19=Data!$OL$7,Data!$AR$1)))))</f>
        <v>0</v>
      </c>
      <c r="AT19" s="384" t="e">
        <f t="shared" si="1"/>
        <v>#N/A</v>
      </c>
      <c r="AW19" s="384" t="str">
        <f t="shared" si="2"/>
        <v>CordlockNoCordless</v>
      </c>
      <c r="BB19" s="33" t="e">
        <f t="shared" si="3"/>
        <v>#N/A</v>
      </c>
      <c r="BC19" s="33" t="e">
        <f t="shared" si="4"/>
        <v>#N/A</v>
      </c>
      <c r="BD19" s="384" t="s">
        <v>2442</v>
      </c>
      <c r="BE19" s="384" t="s">
        <v>2442</v>
      </c>
      <c r="BF19" s="384" t="s">
        <v>2442</v>
      </c>
      <c r="BG19" s="384" t="s">
        <v>2436</v>
      </c>
      <c r="BH19" s="384" t="s">
        <v>2462</v>
      </c>
      <c r="BI19" s="384" t="s">
        <v>2462</v>
      </c>
      <c r="BJ19" s="384" t="s">
        <v>2475</v>
      </c>
      <c r="BK19" s="384" t="s">
        <v>2475</v>
      </c>
      <c r="BY19" s="384" t="e">
        <f t="shared" si="5"/>
        <v>#N/A</v>
      </c>
      <c r="CF19" s="384" t="e">
        <f t="shared" si="6"/>
        <v>#N/A</v>
      </c>
      <c r="CG19" s="384" t="e">
        <f t="shared" si="7"/>
        <v>#N/A</v>
      </c>
    </row>
    <row r="20" spans="1:85" ht="30" customHeight="1">
      <c r="A20" s="414">
        <v>13</v>
      </c>
      <c r="B20" s="410"/>
      <c r="C20" s="410"/>
      <c r="D20" s="410"/>
      <c r="E20" s="409"/>
      <c r="F20" s="411"/>
      <c r="G20" s="411"/>
      <c r="H20" s="411"/>
      <c r="I20" s="411"/>
      <c r="J20" s="411"/>
      <c r="K20" s="411"/>
      <c r="L20" s="412"/>
      <c r="M20" s="412"/>
      <c r="N20" s="412"/>
      <c r="O20" s="814"/>
      <c r="P20" s="814"/>
      <c r="Q20" s="409"/>
      <c r="R20" s="409"/>
      <c r="S20" s="409"/>
      <c r="T20" s="409"/>
      <c r="U20" s="409"/>
      <c r="V20" s="413"/>
      <c r="W20" s="406"/>
      <c r="X20" s="407"/>
      <c r="AA20" s="384" t="str">
        <f t="shared" si="0"/>
        <v>OK</v>
      </c>
      <c r="AG20" s="384" t="b">
        <f>IF(D20=Data!$OL$3,Data!$AP$1, IF(D20=Data!$OL$4,Data!$AP$1, IF(D20=Data!$OL$5,Data!$AQ$1, IF(D20=Data!$OL$6,Data!$AQ$1, IF(D20=Data!$OL$7,Data!$AR$1)))))</f>
        <v>0</v>
      </c>
      <c r="AT20" s="384" t="e">
        <f t="shared" si="1"/>
        <v>#N/A</v>
      </c>
      <c r="AW20" s="384" t="str">
        <f t="shared" si="2"/>
        <v>CordlockNoCordless</v>
      </c>
      <c r="BB20" s="33" t="e">
        <f t="shared" si="3"/>
        <v>#N/A</v>
      </c>
      <c r="BC20" s="33" t="e">
        <f t="shared" si="4"/>
        <v>#N/A</v>
      </c>
      <c r="BD20" s="384" t="s">
        <v>2443</v>
      </c>
      <c r="BE20" s="384" t="s">
        <v>2443</v>
      </c>
      <c r="BF20" s="384" t="s">
        <v>2443</v>
      </c>
      <c r="BG20" s="384" t="s">
        <v>2446</v>
      </c>
      <c r="BH20" s="384" t="s">
        <v>2468</v>
      </c>
      <c r="BI20" s="384" t="s">
        <v>2468</v>
      </c>
      <c r="BJ20" s="384" t="s">
        <v>2478</v>
      </c>
      <c r="BK20" s="384" t="s">
        <v>2478</v>
      </c>
      <c r="BY20" s="384" t="e">
        <f t="shared" si="5"/>
        <v>#N/A</v>
      </c>
      <c r="CF20" s="384" t="e">
        <f t="shared" si="6"/>
        <v>#N/A</v>
      </c>
      <c r="CG20" s="384" t="e">
        <f t="shared" si="7"/>
        <v>#N/A</v>
      </c>
    </row>
    <row r="21" spans="1:85" ht="30" customHeight="1">
      <c r="A21" s="414">
        <v>14</v>
      </c>
      <c r="B21" s="410"/>
      <c r="C21" s="410"/>
      <c r="D21" s="410"/>
      <c r="E21" s="409"/>
      <c r="F21" s="411"/>
      <c r="G21" s="411"/>
      <c r="H21" s="411"/>
      <c r="I21" s="411"/>
      <c r="J21" s="411"/>
      <c r="K21" s="411"/>
      <c r="L21" s="412"/>
      <c r="M21" s="412"/>
      <c r="N21" s="412"/>
      <c r="O21" s="814"/>
      <c r="P21" s="814"/>
      <c r="Q21" s="409"/>
      <c r="R21" s="409"/>
      <c r="S21" s="409"/>
      <c r="T21" s="409"/>
      <c r="U21" s="409"/>
      <c r="V21" s="413"/>
      <c r="W21" s="406"/>
      <c r="X21" s="407"/>
      <c r="AA21" s="384" t="str">
        <f t="shared" si="0"/>
        <v>OK</v>
      </c>
      <c r="AG21" s="384" t="b">
        <f>IF(D21=Data!$OL$3,Data!$AP$1, IF(D21=Data!$OL$4,Data!$AP$1, IF(D21=Data!$OL$5,Data!$AQ$1, IF(D21=Data!$OL$6,Data!$AQ$1, IF(D21=Data!$OL$7,Data!$AR$1)))))</f>
        <v>0</v>
      </c>
      <c r="AT21" s="384" t="e">
        <f t="shared" si="1"/>
        <v>#N/A</v>
      </c>
      <c r="AW21" s="384" t="str">
        <f t="shared" si="2"/>
        <v>CordlockNoCordless</v>
      </c>
      <c r="BB21" s="33" t="e">
        <f t="shared" si="3"/>
        <v>#N/A</v>
      </c>
      <c r="BC21" s="33" t="e">
        <f t="shared" si="4"/>
        <v>#N/A</v>
      </c>
      <c r="BD21" s="384" t="s">
        <v>2428</v>
      </c>
      <c r="BE21" s="384" t="s">
        <v>2428</v>
      </c>
      <c r="BF21" s="384" t="s">
        <v>2428</v>
      </c>
      <c r="BH21" s="384" t="s">
        <v>2509</v>
      </c>
      <c r="BI21" s="384" t="s">
        <v>2509</v>
      </c>
      <c r="BJ21" s="384" t="s">
        <v>2469</v>
      </c>
      <c r="BK21" s="384" t="s">
        <v>2469</v>
      </c>
      <c r="BY21" s="384" t="e">
        <f t="shared" si="5"/>
        <v>#N/A</v>
      </c>
      <c r="CF21" s="384" t="e">
        <f t="shared" si="6"/>
        <v>#N/A</v>
      </c>
      <c r="CG21" s="384" t="e">
        <f t="shared" si="7"/>
        <v>#N/A</v>
      </c>
    </row>
    <row r="22" spans="1:85" ht="30" customHeight="1">
      <c r="A22" s="414">
        <v>15</v>
      </c>
      <c r="B22" s="410"/>
      <c r="C22" s="410"/>
      <c r="D22" s="410"/>
      <c r="E22" s="409"/>
      <c r="F22" s="411"/>
      <c r="G22" s="411"/>
      <c r="H22" s="411"/>
      <c r="I22" s="411"/>
      <c r="J22" s="411"/>
      <c r="K22" s="411"/>
      <c r="L22" s="412"/>
      <c r="M22" s="412"/>
      <c r="N22" s="412"/>
      <c r="O22" s="814"/>
      <c r="P22" s="814"/>
      <c r="Q22" s="409"/>
      <c r="R22" s="409"/>
      <c r="S22" s="409"/>
      <c r="T22" s="409"/>
      <c r="U22" s="409"/>
      <c r="V22" s="413"/>
      <c r="W22" s="406"/>
      <c r="X22" s="407"/>
      <c r="AA22" s="384" t="str">
        <f t="shared" si="0"/>
        <v>OK</v>
      </c>
      <c r="AG22" s="384" t="b">
        <f>IF(D22=Data!$OL$3,Data!$AP$1, IF(D22=Data!$OL$4,Data!$AP$1, IF(D22=Data!$OL$5,Data!$AQ$1, IF(D22=Data!$OL$6,Data!$AQ$1, IF(D22=Data!$OL$7,Data!$AR$1)))))</f>
        <v>0</v>
      </c>
      <c r="AT22" s="384" t="e">
        <f t="shared" si="1"/>
        <v>#N/A</v>
      </c>
      <c r="AW22" s="384" t="str">
        <f t="shared" si="2"/>
        <v>CordlockNoCordless</v>
      </c>
      <c r="BB22" s="33" t="e">
        <f t="shared" si="3"/>
        <v>#N/A</v>
      </c>
      <c r="BC22" s="33" t="e">
        <f t="shared" si="4"/>
        <v>#N/A</v>
      </c>
      <c r="BD22" s="384" t="s">
        <v>2429</v>
      </c>
      <c r="BE22" s="384" t="s">
        <v>2429</v>
      </c>
      <c r="BF22" s="384" t="s">
        <v>2429</v>
      </c>
      <c r="BH22" s="384" t="s">
        <v>2455</v>
      </c>
      <c r="BI22" s="384" t="s">
        <v>2455</v>
      </c>
      <c r="BJ22" s="384" t="s">
        <v>2481</v>
      </c>
      <c r="BK22" s="384" t="s">
        <v>2481</v>
      </c>
      <c r="BY22" s="384" t="e">
        <f t="shared" si="5"/>
        <v>#N/A</v>
      </c>
      <c r="CF22" s="384" t="e">
        <f t="shared" si="6"/>
        <v>#N/A</v>
      </c>
      <c r="CG22" s="384" t="e">
        <f t="shared" si="7"/>
        <v>#N/A</v>
      </c>
    </row>
    <row r="23" spans="1:85" ht="30" customHeight="1">
      <c r="A23" s="414">
        <v>16</v>
      </c>
      <c r="B23" s="410"/>
      <c r="C23" s="410"/>
      <c r="D23" s="410"/>
      <c r="E23" s="409"/>
      <c r="F23" s="411"/>
      <c r="G23" s="411"/>
      <c r="H23" s="411"/>
      <c r="I23" s="411"/>
      <c r="J23" s="411"/>
      <c r="K23" s="411"/>
      <c r="L23" s="412"/>
      <c r="M23" s="412"/>
      <c r="N23" s="412"/>
      <c r="O23" s="814"/>
      <c r="P23" s="814"/>
      <c r="Q23" s="409"/>
      <c r="R23" s="409"/>
      <c r="S23" s="409"/>
      <c r="T23" s="409"/>
      <c r="U23" s="409"/>
      <c r="V23" s="413"/>
      <c r="W23" s="406"/>
      <c r="X23" s="407"/>
      <c r="AA23" s="384" t="str">
        <f t="shared" si="0"/>
        <v>OK</v>
      </c>
      <c r="AG23" s="384" t="b">
        <f>IF(D23=Data!$OL$3,Data!$AP$1, IF(D23=Data!$OL$4,Data!$AP$1, IF(D23=Data!$OL$5,Data!$AQ$1, IF(D23=Data!$OL$6,Data!$AQ$1, IF(D23=Data!$OL$7,Data!$AR$1)))))</f>
        <v>0</v>
      </c>
      <c r="AT23" s="384" t="e">
        <f t="shared" si="1"/>
        <v>#N/A</v>
      </c>
      <c r="AW23" s="384" t="str">
        <f t="shared" si="2"/>
        <v>CordlockNoCordless</v>
      </c>
      <c r="BB23" s="33" t="e">
        <f t="shared" si="3"/>
        <v>#N/A</v>
      </c>
      <c r="BC23" s="33" t="e">
        <f t="shared" si="4"/>
        <v>#N/A</v>
      </c>
      <c r="BD23" s="384" t="s">
        <v>2430</v>
      </c>
      <c r="BE23" s="384" t="s">
        <v>2430</v>
      </c>
      <c r="BF23" s="384" t="s">
        <v>2430</v>
      </c>
      <c r="BH23" s="384" t="s">
        <v>2454</v>
      </c>
      <c r="BI23" s="384" t="s">
        <v>2454</v>
      </c>
      <c r="BJ23" s="384" t="s">
        <v>2482</v>
      </c>
      <c r="BK23" s="384" t="s">
        <v>2482</v>
      </c>
      <c r="BY23" s="384" t="e">
        <f t="shared" si="5"/>
        <v>#N/A</v>
      </c>
      <c r="CF23" s="384" t="e">
        <f t="shared" si="6"/>
        <v>#N/A</v>
      </c>
      <c r="CG23" s="384" t="e">
        <f t="shared" si="7"/>
        <v>#N/A</v>
      </c>
    </row>
    <row r="24" spans="1:85" ht="30" customHeight="1">
      <c r="A24" s="414">
        <v>17</v>
      </c>
      <c r="B24" s="415"/>
      <c r="C24" s="415"/>
      <c r="D24" s="410"/>
      <c r="E24" s="409"/>
      <c r="F24" s="411"/>
      <c r="G24" s="411"/>
      <c r="H24" s="411"/>
      <c r="I24" s="411"/>
      <c r="J24" s="411"/>
      <c r="K24" s="411"/>
      <c r="L24" s="412"/>
      <c r="M24" s="412"/>
      <c r="N24" s="412"/>
      <c r="O24" s="814"/>
      <c r="P24" s="814"/>
      <c r="Q24" s="409"/>
      <c r="R24" s="409"/>
      <c r="S24" s="409"/>
      <c r="T24" s="409"/>
      <c r="U24" s="409"/>
      <c r="V24" s="413"/>
      <c r="W24" s="406"/>
      <c r="X24" s="407"/>
      <c r="AA24" s="384" t="str">
        <f t="shared" si="0"/>
        <v>OK</v>
      </c>
      <c r="AG24" s="384" t="b">
        <f>IF(D24=Data!$OL$3,Data!$AP$1, IF(D24=Data!$OL$4,Data!$AP$1, IF(D24=Data!$OL$5,Data!$AQ$1, IF(D24=Data!$OL$6,Data!$AQ$1, IF(D24=Data!$OL$7,Data!$AR$1)))))</f>
        <v>0</v>
      </c>
      <c r="AT24" s="384" t="e">
        <f t="shared" si="1"/>
        <v>#N/A</v>
      </c>
      <c r="AW24" s="384" t="str">
        <f t="shared" si="2"/>
        <v>CordlockNoCordless</v>
      </c>
      <c r="BB24" s="33" t="e">
        <f t="shared" si="3"/>
        <v>#N/A</v>
      </c>
      <c r="BC24" s="33" t="e">
        <f t="shared" si="4"/>
        <v>#N/A</v>
      </c>
      <c r="BD24" s="384" t="s">
        <v>2398</v>
      </c>
      <c r="BE24" s="384" t="s">
        <v>2398</v>
      </c>
      <c r="BF24" s="384" t="s">
        <v>2398</v>
      </c>
      <c r="BH24" s="384" t="s">
        <v>2460</v>
      </c>
      <c r="BI24" s="384" t="s">
        <v>2460</v>
      </c>
      <c r="BJ24" s="384" t="s">
        <v>2483</v>
      </c>
      <c r="BK24" s="384" t="s">
        <v>2483</v>
      </c>
      <c r="BY24" s="384" t="e">
        <f t="shared" si="5"/>
        <v>#N/A</v>
      </c>
      <c r="CF24" s="384" t="e">
        <f t="shared" si="6"/>
        <v>#N/A</v>
      </c>
      <c r="CG24" s="384" t="e">
        <f t="shared" si="7"/>
        <v>#N/A</v>
      </c>
    </row>
    <row r="25" spans="1:85" ht="30" customHeight="1">
      <c r="A25" s="414">
        <v>18</v>
      </c>
      <c r="B25" s="410"/>
      <c r="C25" s="410"/>
      <c r="D25" s="410"/>
      <c r="E25" s="409"/>
      <c r="F25" s="411"/>
      <c r="G25" s="411"/>
      <c r="H25" s="411"/>
      <c r="I25" s="411"/>
      <c r="J25" s="411"/>
      <c r="K25" s="411"/>
      <c r="L25" s="412"/>
      <c r="M25" s="412"/>
      <c r="N25" s="412"/>
      <c r="O25" s="814"/>
      <c r="P25" s="814"/>
      <c r="Q25" s="409"/>
      <c r="R25" s="409"/>
      <c r="S25" s="409"/>
      <c r="T25" s="409"/>
      <c r="U25" s="409"/>
      <c r="V25" s="413"/>
      <c r="W25" s="406"/>
      <c r="X25" s="407"/>
      <c r="AA25" s="384" t="str">
        <f t="shared" si="0"/>
        <v>OK</v>
      </c>
      <c r="AG25" s="384" t="b">
        <f>IF(D25=Data!$OL$3,Data!$AP$1, IF(D25=Data!$OL$4,Data!$AP$1, IF(D25=Data!$OL$5,Data!$AQ$1, IF(D25=Data!$OL$6,Data!$AQ$1, IF(D25=Data!$OL$7,Data!$AR$1)))))</f>
        <v>0</v>
      </c>
      <c r="AT25" s="384" t="e">
        <f t="shared" si="1"/>
        <v>#N/A</v>
      </c>
      <c r="AW25" s="384" t="str">
        <f t="shared" si="2"/>
        <v>CordlockNoCordless</v>
      </c>
      <c r="BB25" s="33" t="e">
        <f t="shared" si="3"/>
        <v>#N/A</v>
      </c>
      <c r="BC25" s="33" t="e">
        <f t="shared" si="4"/>
        <v>#N/A</v>
      </c>
      <c r="BD25" s="384" t="s">
        <v>2444</v>
      </c>
      <c r="BE25" s="384" t="s">
        <v>2444</v>
      </c>
      <c r="BF25" s="384" t="s">
        <v>2444</v>
      </c>
      <c r="BH25" s="384" t="s">
        <v>2465</v>
      </c>
      <c r="BI25" s="384" t="s">
        <v>2465</v>
      </c>
      <c r="BY25" s="384" t="e">
        <f t="shared" si="5"/>
        <v>#N/A</v>
      </c>
      <c r="CF25" s="384" t="e">
        <f t="shared" si="6"/>
        <v>#N/A</v>
      </c>
      <c r="CG25" s="384" t="e">
        <f t="shared" si="7"/>
        <v>#N/A</v>
      </c>
    </row>
    <row r="26" spans="1:85" ht="30" customHeight="1">
      <c r="A26" s="414">
        <v>19</v>
      </c>
      <c r="B26" s="410"/>
      <c r="C26" s="410"/>
      <c r="D26" s="410"/>
      <c r="E26" s="409"/>
      <c r="F26" s="411"/>
      <c r="G26" s="411"/>
      <c r="H26" s="411"/>
      <c r="I26" s="411"/>
      <c r="J26" s="411"/>
      <c r="K26" s="411"/>
      <c r="L26" s="412"/>
      <c r="M26" s="412"/>
      <c r="N26" s="412"/>
      <c r="O26" s="814"/>
      <c r="P26" s="814"/>
      <c r="Q26" s="409"/>
      <c r="R26" s="409"/>
      <c r="S26" s="409"/>
      <c r="T26" s="409"/>
      <c r="U26" s="409"/>
      <c r="V26" s="413"/>
      <c r="W26" s="406"/>
      <c r="X26" s="407"/>
      <c r="AA26" s="384" t="str">
        <f t="shared" si="0"/>
        <v>OK</v>
      </c>
      <c r="AG26" s="384" t="b">
        <f>IF(D26=Data!$OL$3,Data!$AP$1, IF(D26=Data!$OL$4,Data!$AP$1, IF(D26=Data!$OL$5,Data!$AQ$1, IF(D26=Data!$OL$6,Data!$AQ$1, IF(D26=Data!$OL$7,Data!$AR$1)))))</f>
        <v>0</v>
      </c>
      <c r="AT26" s="384" t="e">
        <f t="shared" si="1"/>
        <v>#N/A</v>
      </c>
      <c r="AW26" s="384" t="str">
        <f t="shared" si="2"/>
        <v>CordlockNoCordless</v>
      </c>
      <c r="BB26" s="33" t="e">
        <f t="shared" si="3"/>
        <v>#N/A</v>
      </c>
      <c r="BC26" s="33" t="e">
        <f t="shared" si="4"/>
        <v>#N/A</v>
      </c>
      <c r="BD26" s="384" t="s">
        <v>2431</v>
      </c>
      <c r="BE26" s="384" t="s">
        <v>2431</v>
      </c>
      <c r="BF26" s="384" t="s">
        <v>2431</v>
      </c>
      <c r="BH26" s="384" t="s">
        <v>2463</v>
      </c>
      <c r="BI26" s="384" t="s">
        <v>2463</v>
      </c>
      <c r="BY26" s="384" t="e">
        <f t="shared" si="5"/>
        <v>#N/A</v>
      </c>
      <c r="CF26" s="384" t="e">
        <f t="shared" si="6"/>
        <v>#N/A</v>
      </c>
      <c r="CG26" s="384" t="e">
        <f t="shared" si="7"/>
        <v>#N/A</v>
      </c>
    </row>
    <row r="27" spans="1:85" ht="30" customHeight="1">
      <c r="A27" s="414">
        <v>20</v>
      </c>
      <c r="B27" s="409"/>
      <c r="C27" s="410"/>
      <c r="D27" s="410"/>
      <c r="E27" s="409"/>
      <c r="F27" s="411"/>
      <c r="G27" s="411"/>
      <c r="H27" s="411"/>
      <c r="I27" s="411"/>
      <c r="J27" s="411"/>
      <c r="K27" s="411"/>
      <c r="L27" s="412"/>
      <c r="M27" s="412"/>
      <c r="N27" s="412"/>
      <c r="O27" s="814"/>
      <c r="P27" s="814"/>
      <c r="Q27" s="409"/>
      <c r="R27" s="409"/>
      <c r="S27" s="409"/>
      <c r="T27" s="409"/>
      <c r="U27" s="409"/>
      <c r="V27" s="413"/>
      <c r="W27" s="406"/>
      <c r="X27" s="407"/>
      <c r="AA27" s="384" t="str">
        <f t="shared" si="0"/>
        <v>OK</v>
      </c>
      <c r="AG27" s="384" t="b">
        <f>IF(D27=Data!$OL$3,Data!$AP$1, IF(D27=Data!$OL$4,Data!$AP$1, IF(D27=Data!$OL$5,Data!$AQ$1, IF(D27=Data!$OL$6,Data!$AQ$1, IF(D27=Data!$OL$7,Data!$AR$1)))))</f>
        <v>0</v>
      </c>
      <c r="AT27" s="384" t="e">
        <f t="shared" si="1"/>
        <v>#N/A</v>
      </c>
      <c r="AW27" s="384" t="str">
        <f t="shared" si="2"/>
        <v>CordlockNoCordless</v>
      </c>
      <c r="BB27" s="33" t="e">
        <f t="shared" si="3"/>
        <v>#N/A</v>
      </c>
      <c r="BC27" s="33" t="e">
        <f t="shared" si="4"/>
        <v>#N/A</v>
      </c>
      <c r="BD27" s="384" t="s">
        <v>2415</v>
      </c>
      <c r="BE27" s="384" t="s">
        <v>2415</v>
      </c>
      <c r="BF27" s="384" t="s">
        <v>2415</v>
      </c>
      <c r="BH27" s="384" t="s">
        <v>2456</v>
      </c>
      <c r="BI27" s="384" t="s">
        <v>2456</v>
      </c>
      <c r="BY27" s="384" t="e">
        <f t="shared" si="5"/>
        <v>#N/A</v>
      </c>
      <c r="CF27" s="384" t="e">
        <f t="shared" si="6"/>
        <v>#N/A</v>
      </c>
      <c r="CG27" s="384" t="e">
        <f t="shared" si="7"/>
        <v>#N/A</v>
      </c>
    </row>
    <row r="28" spans="1:85" ht="30" customHeight="1">
      <c r="A28" s="414">
        <v>21</v>
      </c>
      <c r="B28" s="409"/>
      <c r="C28" s="410"/>
      <c r="D28" s="410"/>
      <c r="E28" s="409"/>
      <c r="F28" s="411"/>
      <c r="G28" s="411"/>
      <c r="H28" s="411"/>
      <c r="I28" s="411"/>
      <c r="J28" s="411"/>
      <c r="K28" s="411"/>
      <c r="L28" s="412"/>
      <c r="M28" s="412"/>
      <c r="N28" s="412"/>
      <c r="O28" s="814"/>
      <c r="P28" s="814"/>
      <c r="Q28" s="409"/>
      <c r="R28" s="409"/>
      <c r="S28" s="409"/>
      <c r="T28" s="409"/>
      <c r="U28" s="409"/>
      <c r="V28" s="413"/>
      <c r="W28" s="406"/>
      <c r="X28" s="407"/>
      <c r="AA28" s="384" t="str">
        <f t="shared" si="0"/>
        <v>OK</v>
      </c>
      <c r="AG28" s="384" t="b">
        <f>IF(D28=Data!$OL$3,Data!$AP$1, IF(D28=Data!$OL$4,Data!$AP$1, IF(D28=Data!$OL$5,Data!$AQ$1, IF(D28=Data!$OL$6,Data!$AQ$1, IF(D28=Data!$OL$7,Data!$AR$1)))))</f>
        <v>0</v>
      </c>
      <c r="AT28" s="384" t="e">
        <f t="shared" si="1"/>
        <v>#N/A</v>
      </c>
      <c r="AW28" s="384" t="str">
        <f t="shared" si="2"/>
        <v>CordlockNoCordless</v>
      </c>
      <c r="BB28" s="33" t="e">
        <f t="shared" si="3"/>
        <v>#N/A</v>
      </c>
      <c r="BC28" s="33" t="e">
        <f t="shared" si="4"/>
        <v>#N/A</v>
      </c>
      <c r="BD28" s="384" t="s">
        <v>2403</v>
      </c>
      <c r="BE28" s="384" t="s">
        <v>2403</v>
      </c>
      <c r="BF28" s="384" t="s">
        <v>2403</v>
      </c>
      <c r="BY28" s="384" t="e">
        <f t="shared" si="5"/>
        <v>#N/A</v>
      </c>
      <c r="CF28" s="384" t="e">
        <f t="shared" si="6"/>
        <v>#N/A</v>
      </c>
      <c r="CG28" s="384" t="e">
        <f t="shared" si="7"/>
        <v>#N/A</v>
      </c>
    </row>
    <row r="29" spans="1:85" ht="30" customHeight="1">
      <c r="A29" s="414">
        <v>22</v>
      </c>
      <c r="B29" s="409"/>
      <c r="C29" s="410"/>
      <c r="D29" s="410"/>
      <c r="E29" s="409"/>
      <c r="F29" s="411"/>
      <c r="G29" s="411"/>
      <c r="H29" s="411"/>
      <c r="I29" s="411"/>
      <c r="J29" s="411"/>
      <c r="K29" s="411"/>
      <c r="L29" s="412"/>
      <c r="M29" s="412"/>
      <c r="N29" s="412"/>
      <c r="O29" s="814"/>
      <c r="P29" s="814"/>
      <c r="Q29" s="409"/>
      <c r="R29" s="409"/>
      <c r="S29" s="409"/>
      <c r="T29" s="409"/>
      <c r="U29" s="409"/>
      <c r="V29" s="413"/>
      <c r="W29" s="406"/>
      <c r="X29" s="407"/>
      <c r="AA29" s="384" t="str">
        <f t="shared" si="0"/>
        <v>OK</v>
      </c>
      <c r="AG29" s="384" t="b">
        <f>IF(D29=Data!$OL$3,Data!$AP$1, IF(D29=Data!$OL$4,Data!$AP$1, IF(D29=Data!$OL$5,Data!$AQ$1, IF(D29=Data!$OL$6,Data!$AQ$1, IF(D29=Data!$OL$7,Data!$AR$1)))))</f>
        <v>0</v>
      </c>
      <c r="AT29" s="384" t="e">
        <f t="shared" si="1"/>
        <v>#N/A</v>
      </c>
      <c r="AW29" s="384" t="str">
        <f t="shared" si="2"/>
        <v>CordlockNoCordless</v>
      </c>
      <c r="BB29" s="33" t="e">
        <f t="shared" si="3"/>
        <v>#N/A</v>
      </c>
      <c r="BC29" s="33" t="e">
        <f t="shared" si="4"/>
        <v>#N/A</v>
      </c>
      <c r="BD29" s="384" t="s">
        <v>2404</v>
      </c>
      <c r="BE29" s="384" t="s">
        <v>2404</v>
      </c>
      <c r="BF29" s="384" t="s">
        <v>2404</v>
      </c>
      <c r="BY29" s="384" t="e">
        <f t="shared" si="5"/>
        <v>#N/A</v>
      </c>
      <c r="CF29" s="384" t="e">
        <f t="shared" si="6"/>
        <v>#N/A</v>
      </c>
      <c r="CG29" s="384" t="e">
        <f t="shared" si="7"/>
        <v>#N/A</v>
      </c>
    </row>
    <row r="30" spans="1:85" ht="30" customHeight="1">
      <c r="A30" s="414">
        <v>23</v>
      </c>
      <c r="B30" s="409"/>
      <c r="C30" s="410"/>
      <c r="D30" s="410"/>
      <c r="E30" s="409"/>
      <c r="F30" s="411"/>
      <c r="G30" s="411"/>
      <c r="H30" s="411"/>
      <c r="I30" s="411"/>
      <c r="J30" s="411"/>
      <c r="K30" s="411"/>
      <c r="L30" s="412"/>
      <c r="M30" s="412"/>
      <c r="N30" s="412"/>
      <c r="O30" s="814"/>
      <c r="P30" s="814"/>
      <c r="Q30" s="409"/>
      <c r="R30" s="409"/>
      <c r="S30" s="409"/>
      <c r="T30" s="409"/>
      <c r="U30" s="409"/>
      <c r="V30" s="413"/>
      <c r="W30" s="406"/>
      <c r="X30" s="407"/>
      <c r="AA30" s="384" t="str">
        <f t="shared" si="0"/>
        <v>OK</v>
      </c>
      <c r="AG30" s="384" t="b">
        <f>IF(D30=Data!$OL$3,Data!$AP$1, IF(D30=Data!$OL$4,Data!$AP$1, IF(D30=Data!$OL$5,Data!$AQ$1, IF(D30=Data!$OL$6,Data!$AQ$1, IF(D30=Data!$OL$7,Data!$AR$1)))))</f>
        <v>0</v>
      </c>
      <c r="AT30" s="384" t="e">
        <f t="shared" si="1"/>
        <v>#N/A</v>
      </c>
      <c r="AW30" s="384" t="str">
        <f t="shared" si="2"/>
        <v>CordlockNoCordless</v>
      </c>
      <c r="BB30" s="33" t="e">
        <f t="shared" si="3"/>
        <v>#N/A</v>
      </c>
      <c r="BC30" s="33" t="e">
        <f t="shared" si="4"/>
        <v>#N/A</v>
      </c>
      <c r="BD30" s="384" t="s">
        <v>2405</v>
      </c>
      <c r="BE30" s="384" t="s">
        <v>2405</v>
      </c>
      <c r="BF30" s="384" t="s">
        <v>2405</v>
      </c>
      <c r="BY30" s="384" t="e">
        <f t="shared" si="5"/>
        <v>#N/A</v>
      </c>
      <c r="CF30" s="384" t="e">
        <f t="shared" si="6"/>
        <v>#N/A</v>
      </c>
      <c r="CG30" s="384" t="e">
        <f t="shared" si="7"/>
        <v>#N/A</v>
      </c>
    </row>
    <row r="31" spans="1:85" ht="30" customHeight="1">
      <c r="A31" s="414">
        <v>24</v>
      </c>
      <c r="B31" s="409"/>
      <c r="C31" s="410"/>
      <c r="D31" s="410"/>
      <c r="E31" s="409"/>
      <c r="F31" s="411"/>
      <c r="G31" s="411"/>
      <c r="H31" s="411"/>
      <c r="I31" s="411"/>
      <c r="J31" s="411"/>
      <c r="K31" s="411"/>
      <c r="L31" s="412"/>
      <c r="M31" s="412"/>
      <c r="N31" s="412"/>
      <c r="O31" s="814"/>
      <c r="P31" s="814"/>
      <c r="Q31" s="409"/>
      <c r="R31" s="409"/>
      <c r="S31" s="409"/>
      <c r="T31" s="409"/>
      <c r="U31" s="409"/>
      <c r="V31" s="413"/>
      <c r="W31" s="406"/>
      <c r="X31" s="407"/>
      <c r="AA31" s="384" t="str">
        <f t="shared" si="0"/>
        <v>OK</v>
      </c>
      <c r="AG31" s="384" t="b">
        <f>IF(D31=Data!$OL$3,Data!$AP$1, IF(D31=Data!$OL$4,Data!$AP$1, IF(D31=Data!$OL$5,Data!$AQ$1, IF(D31=Data!$OL$6,Data!$AQ$1, IF(D31=Data!$OL$7,Data!$AR$1)))))</f>
        <v>0</v>
      </c>
      <c r="AT31" s="384" t="e">
        <f t="shared" si="1"/>
        <v>#N/A</v>
      </c>
      <c r="AW31" s="384" t="str">
        <f t="shared" si="2"/>
        <v>CordlockNoCordless</v>
      </c>
      <c r="BB31" s="33" t="e">
        <f t="shared" si="3"/>
        <v>#N/A</v>
      </c>
      <c r="BC31" s="33" t="e">
        <f t="shared" si="4"/>
        <v>#N/A</v>
      </c>
      <c r="BD31" s="384" t="s">
        <v>2449</v>
      </c>
      <c r="BE31" s="384" t="s">
        <v>2449</v>
      </c>
      <c r="BF31" s="384" t="s">
        <v>2449</v>
      </c>
      <c r="BY31" s="384" t="e">
        <f t="shared" si="5"/>
        <v>#N/A</v>
      </c>
      <c r="CF31" s="384" t="e">
        <f t="shared" si="6"/>
        <v>#N/A</v>
      </c>
      <c r="CG31" s="384" t="e">
        <f t="shared" si="7"/>
        <v>#N/A</v>
      </c>
    </row>
    <row r="32" spans="1:85" ht="30" customHeight="1">
      <c r="A32" s="414">
        <v>25</v>
      </c>
      <c r="B32" s="409"/>
      <c r="C32" s="410"/>
      <c r="D32" s="410"/>
      <c r="E32" s="409"/>
      <c r="F32" s="411"/>
      <c r="G32" s="411"/>
      <c r="H32" s="411"/>
      <c r="I32" s="411"/>
      <c r="J32" s="411"/>
      <c r="K32" s="411"/>
      <c r="L32" s="412"/>
      <c r="M32" s="412"/>
      <c r="N32" s="412"/>
      <c r="O32" s="814"/>
      <c r="P32" s="814"/>
      <c r="Q32" s="409"/>
      <c r="R32" s="409"/>
      <c r="S32" s="409"/>
      <c r="T32" s="409"/>
      <c r="U32" s="409"/>
      <c r="V32" s="413"/>
      <c r="W32" s="406"/>
      <c r="X32" s="407"/>
      <c r="AA32" s="384" t="str">
        <f t="shared" si="0"/>
        <v>OK</v>
      </c>
      <c r="AG32" s="384" t="b">
        <f>IF(D32=Data!$OL$3,Data!$AP$1, IF(D32=Data!$OL$4,Data!$AP$1, IF(D32=Data!$OL$5,Data!$AQ$1, IF(D32=Data!$OL$6,Data!$AQ$1, IF(D32=Data!$OL$7,Data!$AR$1)))))</f>
        <v>0</v>
      </c>
      <c r="AT32" s="384" t="e">
        <f t="shared" si="1"/>
        <v>#N/A</v>
      </c>
      <c r="AW32" s="384" t="str">
        <f t="shared" si="2"/>
        <v>CordlockNoCordless</v>
      </c>
      <c r="BB32" s="33" t="e">
        <f t="shared" si="3"/>
        <v>#N/A</v>
      </c>
      <c r="BC32" s="33" t="e">
        <f t="shared" si="4"/>
        <v>#N/A</v>
      </c>
      <c r="BD32" s="384" t="s">
        <v>2450</v>
      </c>
      <c r="BE32" s="384" t="s">
        <v>2450</v>
      </c>
      <c r="BF32" s="384" t="s">
        <v>2450</v>
      </c>
      <c r="BY32" s="384" t="e">
        <f t="shared" si="5"/>
        <v>#N/A</v>
      </c>
      <c r="CF32" s="384" t="e">
        <f t="shared" si="6"/>
        <v>#N/A</v>
      </c>
      <c r="CG32" s="384" t="e">
        <f t="shared" si="7"/>
        <v>#N/A</v>
      </c>
    </row>
    <row r="33" spans="1:85" ht="30" customHeight="1">
      <c r="A33" s="414">
        <v>26</v>
      </c>
      <c r="B33" s="409"/>
      <c r="C33" s="410"/>
      <c r="D33" s="410"/>
      <c r="E33" s="409"/>
      <c r="F33" s="411"/>
      <c r="G33" s="411"/>
      <c r="H33" s="411"/>
      <c r="I33" s="411"/>
      <c r="J33" s="411"/>
      <c r="K33" s="411"/>
      <c r="L33" s="412"/>
      <c r="M33" s="412"/>
      <c r="N33" s="412"/>
      <c r="O33" s="814"/>
      <c r="P33" s="814"/>
      <c r="Q33" s="409"/>
      <c r="R33" s="409"/>
      <c r="S33" s="409"/>
      <c r="T33" s="409"/>
      <c r="U33" s="409"/>
      <c r="V33" s="413"/>
      <c r="W33" s="406"/>
      <c r="X33" s="407"/>
      <c r="AA33" s="384" t="str">
        <f t="shared" si="0"/>
        <v>OK</v>
      </c>
      <c r="AG33" s="384" t="b">
        <f>IF(D33=Data!$OL$3,Data!$AP$1, IF(D33=Data!$OL$4,Data!$AP$1, IF(D33=Data!$OL$5,Data!$AQ$1, IF(D33=Data!$OL$6,Data!$AQ$1, IF(D33=Data!$OL$7,Data!$AR$1)))))</f>
        <v>0</v>
      </c>
      <c r="AT33" s="384" t="e">
        <f t="shared" si="1"/>
        <v>#N/A</v>
      </c>
      <c r="AW33" s="384" t="str">
        <f t="shared" si="2"/>
        <v>CordlockNoCordless</v>
      </c>
      <c r="BB33" s="33" t="e">
        <f t="shared" si="3"/>
        <v>#N/A</v>
      </c>
      <c r="BC33" s="33" t="e">
        <f t="shared" si="4"/>
        <v>#N/A</v>
      </c>
      <c r="BD33" s="384" t="s">
        <v>2432</v>
      </c>
      <c r="BE33" s="384" t="s">
        <v>2432</v>
      </c>
      <c r="BF33" s="384" t="s">
        <v>2432</v>
      </c>
      <c r="BY33" s="384" t="e">
        <f t="shared" si="5"/>
        <v>#N/A</v>
      </c>
      <c r="CF33" s="384" t="e">
        <f t="shared" si="6"/>
        <v>#N/A</v>
      </c>
      <c r="CG33" s="384" t="e">
        <f t="shared" si="7"/>
        <v>#N/A</v>
      </c>
    </row>
    <row r="34" spans="1:85" ht="30" customHeight="1">
      <c r="A34" s="414">
        <v>27</v>
      </c>
      <c r="B34" s="418"/>
      <c r="C34" s="415"/>
      <c r="D34" s="410"/>
      <c r="E34" s="409"/>
      <c r="F34" s="411"/>
      <c r="G34" s="411"/>
      <c r="H34" s="411"/>
      <c r="I34" s="411"/>
      <c r="J34" s="411"/>
      <c r="K34" s="411"/>
      <c r="L34" s="412"/>
      <c r="M34" s="412"/>
      <c r="N34" s="412"/>
      <c r="O34" s="814"/>
      <c r="P34" s="814"/>
      <c r="Q34" s="409"/>
      <c r="R34" s="409"/>
      <c r="S34" s="409"/>
      <c r="T34" s="409"/>
      <c r="U34" s="409"/>
      <c r="V34" s="413"/>
      <c r="W34" s="406"/>
      <c r="X34" s="407"/>
      <c r="AA34" s="384" t="str">
        <f t="shared" si="0"/>
        <v>OK</v>
      </c>
      <c r="AG34" s="384" t="b">
        <f>IF(D34=Data!$OL$3,Data!$AP$1, IF(D34=Data!$OL$4,Data!$AP$1, IF(D34=Data!$OL$5,Data!$AQ$1, IF(D34=Data!$OL$6,Data!$AQ$1, IF(D34=Data!$OL$7,Data!$AR$1)))))</f>
        <v>0</v>
      </c>
      <c r="AT34" s="384" t="e">
        <f t="shared" si="1"/>
        <v>#N/A</v>
      </c>
      <c r="AW34" s="384" t="str">
        <f t="shared" si="2"/>
        <v>CordlockNoCordless</v>
      </c>
      <c r="BB34" s="33" t="e">
        <f t="shared" si="3"/>
        <v>#N/A</v>
      </c>
      <c r="BC34" s="33" t="e">
        <f t="shared" si="4"/>
        <v>#N/A</v>
      </c>
      <c r="BD34" s="384" t="s">
        <v>2409</v>
      </c>
      <c r="BE34" s="384" t="s">
        <v>2409</v>
      </c>
      <c r="BF34" s="384" t="s">
        <v>2409</v>
      </c>
      <c r="BY34" s="384" t="e">
        <f t="shared" si="5"/>
        <v>#N/A</v>
      </c>
      <c r="CF34" s="384" t="e">
        <f t="shared" si="6"/>
        <v>#N/A</v>
      </c>
      <c r="CG34" s="384" t="e">
        <f t="shared" si="7"/>
        <v>#N/A</v>
      </c>
    </row>
    <row r="35" spans="1:85" ht="30" customHeight="1">
      <c r="A35" s="414">
        <v>28</v>
      </c>
      <c r="B35" s="409"/>
      <c r="C35" s="410"/>
      <c r="D35" s="410"/>
      <c r="E35" s="409"/>
      <c r="F35" s="411"/>
      <c r="G35" s="411"/>
      <c r="H35" s="411"/>
      <c r="I35" s="411"/>
      <c r="J35" s="411"/>
      <c r="K35" s="411"/>
      <c r="L35" s="412"/>
      <c r="M35" s="412"/>
      <c r="N35" s="412"/>
      <c r="O35" s="814"/>
      <c r="P35" s="814"/>
      <c r="Q35" s="409"/>
      <c r="R35" s="409"/>
      <c r="S35" s="409"/>
      <c r="T35" s="409"/>
      <c r="U35" s="409"/>
      <c r="V35" s="413"/>
      <c r="W35" s="406"/>
      <c r="X35" s="407"/>
      <c r="AA35" s="384" t="str">
        <f t="shared" si="0"/>
        <v>OK</v>
      </c>
      <c r="AG35" s="384" t="b">
        <f>IF(D35=Data!$OL$3,Data!$AP$1, IF(D35=Data!$OL$4,Data!$AP$1, IF(D35=Data!$OL$5,Data!$AQ$1, IF(D35=Data!$OL$6,Data!$AQ$1, IF(D35=Data!$OL$7,Data!$AR$1)))))</f>
        <v>0</v>
      </c>
      <c r="AT35" s="384" t="e">
        <f t="shared" si="1"/>
        <v>#N/A</v>
      </c>
      <c r="AW35" s="384" t="str">
        <f t="shared" si="2"/>
        <v>CordlockNoCordless</v>
      </c>
      <c r="BB35" s="33" t="e">
        <f t="shared" si="3"/>
        <v>#N/A</v>
      </c>
      <c r="BC35" s="33" t="e">
        <f t="shared" si="4"/>
        <v>#N/A</v>
      </c>
      <c r="BD35" s="384" t="s">
        <v>2418</v>
      </c>
      <c r="BE35" s="384" t="s">
        <v>2418</v>
      </c>
      <c r="BF35" s="384" t="s">
        <v>2418</v>
      </c>
      <c r="BY35" s="384" t="e">
        <f t="shared" si="5"/>
        <v>#N/A</v>
      </c>
      <c r="CF35" s="384" t="e">
        <f t="shared" si="6"/>
        <v>#N/A</v>
      </c>
      <c r="CG35" s="384" t="e">
        <f t="shared" si="7"/>
        <v>#N/A</v>
      </c>
    </row>
    <row r="36" spans="1:85" ht="30" customHeight="1">
      <c r="A36" s="414">
        <v>29</v>
      </c>
      <c r="B36" s="409"/>
      <c r="C36" s="410"/>
      <c r="D36" s="410"/>
      <c r="E36" s="409"/>
      <c r="F36" s="411"/>
      <c r="G36" s="411"/>
      <c r="H36" s="411"/>
      <c r="I36" s="411"/>
      <c r="J36" s="411"/>
      <c r="K36" s="411"/>
      <c r="L36" s="412"/>
      <c r="M36" s="412"/>
      <c r="N36" s="412"/>
      <c r="O36" s="814"/>
      <c r="P36" s="814"/>
      <c r="Q36" s="409"/>
      <c r="R36" s="409"/>
      <c r="S36" s="409"/>
      <c r="T36" s="409"/>
      <c r="U36" s="409"/>
      <c r="V36" s="413"/>
      <c r="W36" s="406"/>
      <c r="X36" s="407"/>
      <c r="AA36" s="384" t="str">
        <f t="shared" si="0"/>
        <v>OK</v>
      </c>
      <c r="AG36" s="384" t="b">
        <f>IF(D36=Data!$OL$3,Data!$AP$1, IF(D36=Data!$OL$4,Data!$AP$1, IF(D36=Data!$OL$5,Data!$AQ$1, IF(D36=Data!$OL$6,Data!$AQ$1, IF(D36=Data!$OL$7,Data!$AR$1)))))</f>
        <v>0</v>
      </c>
      <c r="AT36" s="384" t="e">
        <f t="shared" si="1"/>
        <v>#N/A</v>
      </c>
      <c r="AW36" s="384" t="str">
        <f t="shared" si="2"/>
        <v>CordlockNoCordless</v>
      </c>
      <c r="BB36" s="33" t="e">
        <f t="shared" si="3"/>
        <v>#N/A</v>
      </c>
      <c r="BC36" s="33" t="e">
        <f t="shared" si="4"/>
        <v>#N/A</v>
      </c>
      <c r="BD36" s="384" t="s">
        <v>2439</v>
      </c>
      <c r="BE36" s="384" t="s">
        <v>2439</v>
      </c>
      <c r="BF36" s="384" t="s">
        <v>2439</v>
      </c>
      <c r="BY36" s="384" t="e">
        <f t="shared" si="5"/>
        <v>#N/A</v>
      </c>
      <c r="CF36" s="384" t="e">
        <f t="shared" si="6"/>
        <v>#N/A</v>
      </c>
      <c r="CG36" s="384" t="e">
        <f t="shared" si="7"/>
        <v>#N/A</v>
      </c>
    </row>
    <row r="37" spans="1:85" ht="30" customHeight="1">
      <c r="A37" s="414">
        <v>30</v>
      </c>
      <c r="B37" s="409"/>
      <c r="C37" s="409"/>
      <c r="D37" s="409"/>
      <c r="E37" s="409"/>
      <c r="F37" s="411"/>
      <c r="G37" s="411"/>
      <c r="H37" s="411"/>
      <c r="I37" s="411"/>
      <c r="J37" s="411"/>
      <c r="K37" s="411"/>
      <c r="L37" s="412"/>
      <c r="M37" s="412"/>
      <c r="N37" s="412"/>
      <c r="O37" s="814"/>
      <c r="P37" s="814"/>
      <c r="Q37" s="409"/>
      <c r="R37" s="409"/>
      <c r="S37" s="409"/>
      <c r="T37" s="409"/>
      <c r="U37" s="409"/>
      <c r="V37" s="413"/>
      <c r="W37" s="406"/>
      <c r="X37" s="407"/>
      <c r="AA37" s="384" t="str">
        <f t="shared" si="0"/>
        <v>OK</v>
      </c>
      <c r="AG37" s="384" t="b">
        <f>IF(D37=Data!$OL$3,Data!$AP$1, IF(D37=Data!$OL$4,Data!$AP$1, IF(D37=Data!$OL$5,Data!$AQ$1, IF(D37=Data!$OL$6,Data!$AQ$1, IF(D37=Data!$OL$7,Data!$AR$1)))))</f>
        <v>0</v>
      </c>
      <c r="AT37" s="384" t="e">
        <f t="shared" si="1"/>
        <v>#N/A</v>
      </c>
      <c r="AW37" s="384" t="str">
        <f t="shared" si="2"/>
        <v>CordlockNoCordless</v>
      </c>
      <c r="BB37" s="33" t="e">
        <f t="shared" si="3"/>
        <v>#N/A</v>
      </c>
      <c r="BC37" s="33" t="e">
        <f t="shared" si="4"/>
        <v>#N/A</v>
      </c>
      <c r="BD37" s="384" t="s">
        <v>2391</v>
      </c>
      <c r="BE37" s="384" t="s">
        <v>2391</v>
      </c>
      <c r="BF37" s="384" t="s">
        <v>2391</v>
      </c>
      <c r="BY37" s="384" t="e">
        <f t="shared" si="5"/>
        <v>#N/A</v>
      </c>
      <c r="CF37" s="384" t="e">
        <f t="shared" si="6"/>
        <v>#N/A</v>
      </c>
      <c r="CG37" s="384" t="e">
        <f t="shared" si="7"/>
        <v>#N/A</v>
      </c>
    </row>
    <row r="38" spans="1:85" ht="30" customHeight="1">
      <c r="A38" s="414">
        <v>31</v>
      </c>
      <c r="B38" s="409"/>
      <c r="C38" s="409"/>
      <c r="D38" s="409"/>
      <c r="E38" s="409"/>
      <c r="F38" s="411"/>
      <c r="G38" s="411"/>
      <c r="H38" s="411"/>
      <c r="I38" s="411"/>
      <c r="J38" s="411"/>
      <c r="K38" s="411"/>
      <c r="L38" s="412"/>
      <c r="M38" s="412"/>
      <c r="N38" s="412"/>
      <c r="O38" s="814"/>
      <c r="P38" s="814"/>
      <c r="Q38" s="409"/>
      <c r="R38" s="409"/>
      <c r="S38" s="409"/>
      <c r="T38" s="409"/>
      <c r="U38" s="409"/>
      <c r="V38" s="413"/>
      <c r="W38" s="406"/>
      <c r="X38" s="407"/>
      <c r="AA38" s="384" t="str">
        <f t="shared" si="0"/>
        <v>OK</v>
      </c>
      <c r="AG38" s="384" t="b">
        <f>IF(D38=Data!$OL$3,Data!$AP$1, IF(D38=Data!$OL$4,Data!$AP$1, IF(D38=Data!$OL$5,Data!$AQ$1, IF(D38=Data!$OL$6,Data!$AQ$1, IF(D38=Data!$OL$7,Data!$AR$1)))))</f>
        <v>0</v>
      </c>
      <c r="AT38" s="384" t="e">
        <f t="shared" si="1"/>
        <v>#N/A</v>
      </c>
      <c r="AW38" s="384" t="str">
        <f t="shared" si="2"/>
        <v>CordlockNoCordless</v>
      </c>
      <c r="BB38" s="33" t="e">
        <f t="shared" si="3"/>
        <v>#N/A</v>
      </c>
      <c r="BC38" s="33" t="e">
        <f t="shared" si="4"/>
        <v>#N/A</v>
      </c>
      <c r="BD38" s="384" t="s">
        <v>2406</v>
      </c>
      <c r="BE38" s="384" t="s">
        <v>2406</v>
      </c>
      <c r="BF38" s="384" t="s">
        <v>2406</v>
      </c>
      <c r="BY38" s="384" t="e">
        <f t="shared" si="5"/>
        <v>#N/A</v>
      </c>
      <c r="CF38" s="384" t="e">
        <f t="shared" si="6"/>
        <v>#N/A</v>
      </c>
      <c r="CG38" s="384" t="e">
        <f t="shared" si="7"/>
        <v>#N/A</v>
      </c>
    </row>
    <row r="39" spans="1:85" ht="30" customHeight="1">
      <c r="A39" s="414">
        <v>32</v>
      </c>
      <c r="B39" s="409"/>
      <c r="C39" s="410"/>
      <c r="D39" s="410"/>
      <c r="E39" s="409"/>
      <c r="F39" s="411"/>
      <c r="G39" s="411"/>
      <c r="H39" s="411"/>
      <c r="I39" s="411"/>
      <c r="J39" s="411"/>
      <c r="K39" s="411"/>
      <c r="L39" s="412"/>
      <c r="M39" s="412"/>
      <c r="N39" s="412"/>
      <c r="O39" s="814"/>
      <c r="P39" s="814"/>
      <c r="Q39" s="409"/>
      <c r="R39" s="409"/>
      <c r="S39" s="409"/>
      <c r="T39" s="409"/>
      <c r="U39" s="409"/>
      <c r="V39" s="413"/>
      <c r="W39" s="406"/>
      <c r="X39" s="407"/>
      <c r="AA39" s="384" t="str">
        <f t="shared" si="0"/>
        <v>OK</v>
      </c>
      <c r="AG39" s="384" t="b">
        <f>IF(D39=Data!$OL$3,Data!$AP$1, IF(D39=Data!$OL$4,Data!$AP$1, IF(D39=Data!$OL$5,Data!$AQ$1, IF(D39=Data!$OL$6,Data!$AQ$1, IF(D39=Data!$OL$7,Data!$AR$1)))))</f>
        <v>0</v>
      </c>
      <c r="AT39" s="384" t="e">
        <f t="shared" si="1"/>
        <v>#N/A</v>
      </c>
      <c r="AW39" s="384" t="str">
        <f t="shared" si="2"/>
        <v>CordlockNoCordless</v>
      </c>
      <c r="BB39" s="33" t="e">
        <f t="shared" si="3"/>
        <v>#N/A</v>
      </c>
      <c r="BC39" s="33" t="e">
        <f t="shared" si="4"/>
        <v>#N/A</v>
      </c>
      <c r="BD39" s="384" t="s">
        <v>2416</v>
      </c>
      <c r="BE39" s="384" t="s">
        <v>2416</v>
      </c>
      <c r="BF39" s="384" t="s">
        <v>2416</v>
      </c>
      <c r="BY39" s="384" t="e">
        <f t="shared" si="5"/>
        <v>#N/A</v>
      </c>
      <c r="CF39" s="384" t="e">
        <f t="shared" si="6"/>
        <v>#N/A</v>
      </c>
      <c r="CG39" s="384" t="e">
        <f t="shared" si="7"/>
        <v>#N/A</v>
      </c>
    </row>
    <row r="40" spans="1:85" ht="30" customHeight="1">
      <c r="A40" s="414">
        <v>33</v>
      </c>
      <c r="B40" s="409"/>
      <c r="C40" s="410"/>
      <c r="D40" s="409"/>
      <c r="E40" s="409"/>
      <c r="F40" s="411"/>
      <c r="G40" s="411"/>
      <c r="H40" s="411"/>
      <c r="I40" s="411"/>
      <c r="J40" s="411"/>
      <c r="K40" s="411"/>
      <c r="L40" s="412"/>
      <c r="M40" s="412"/>
      <c r="N40" s="412"/>
      <c r="O40" s="814"/>
      <c r="P40" s="814"/>
      <c r="Q40" s="409"/>
      <c r="R40" s="409"/>
      <c r="S40" s="409"/>
      <c r="T40" s="409"/>
      <c r="U40" s="409"/>
      <c r="V40" s="413"/>
      <c r="W40" s="406"/>
      <c r="X40" s="407"/>
      <c r="AA40" s="384" t="str">
        <f t="shared" si="0"/>
        <v>OK</v>
      </c>
      <c r="AG40" s="384" t="b">
        <f>IF(D40=Data!$OL$3,Data!$AP$1, IF(D40=Data!$OL$4,Data!$AP$1, IF(D40=Data!$OL$5,Data!$AQ$1, IF(D40=Data!$OL$6,Data!$AQ$1, IF(D40=Data!$OL$7,Data!$AR$1)))))</f>
        <v>0</v>
      </c>
      <c r="AT40" s="384" t="e">
        <f t="shared" si="1"/>
        <v>#N/A</v>
      </c>
      <c r="AW40" s="384" t="str">
        <f t="shared" si="2"/>
        <v>CordlockNoCordless</v>
      </c>
      <c r="BB40" s="33" t="e">
        <f t="shared" si="3"/>
        <v>#N/A</v>
      </c>
      <c r="BC40" s="33" t="e">
        <f t="shared" si="4"/>
        <v>#N/A</v>
      </c>
      <c r="BD40" s="384" t="s">
        <v>2407</v>
      </c>
      <c r="BE40" s="384" t="s">
        <v>2407</v>
      </c>
      <c r="BF40" s="384" t="s">
        <v>2407</v>
      </c>
      <c r="BY40" s="384" t="e">
        <f t="shared" si="5"/>
        <v>#N/A</v>
      </c>
      <c r="CF40" s="384" t="e">
        <f t="shared" si="6"/>
        <v>#N/A</v>
      </c>
      <c r="CG40" s="384" t="e">
        <f t="shared" si="7"/>
        <v>#N/A</v>
      </c>
    </row>
    <row r="41" spans="1:85" ht="30" customHeight="1">
      <c r="A41" s="414">
        <v>34</v>
      </c>
      <c r="B41" s="409"/>
      <c r="C41" s="410"/>
      <c r="D41" s="409"/>
      <c r="E41" s="409"/>
      <c r="F41" s="411"/>
      <c r="G41" s="411"/>
      <c r="H41" s="411"/>
      <c r="I41" s="411"/>
      <c r="J41" s="411"/>
      <c r="K41" s="411"/>
      <c r="L41" s="412"/>
      <c r="M41" s="412"/>
      <c r="N41" s="412"/>
      <c r="O41" s="814"/>
      <c r="P41" s="814"/>
      <c r="Q41" s="409"/>
      <c r="R41" s="409"/>
      <c r="S41" s="409"/>
      <c r="T41" s="409"/>
      <c r="U41" s="409"/>
      <c r="V41" s="413"/>
      <c r="W41" s="406"/>
      <c r="X41" s="407"/>
      <c r="AA41" s="384" t="str">
        <f t="shared" si="0"/>
        <v>OK</v>
      </c>
      <c r="AG41" s="384" t="b">
        <f>IF(D41=Data!$OL$3,Data!$AP$1, IF(D41=Data!$OL$4,Data!$AP$1, IF(D41=Data!$OL$5,Data!$AQ$1, IF(D41=Data!$OL$6,Data!$AQ$1, IF(D41=Data!$OL$7,Data!$AR$1)))))</f>
        <v>0</v>
      </c>
      <c r="AT41" s="384" t="e">
        <f t="shared" si="1"/>
        <v>#N/A</v>
      </c>
      <c r="AW41" s="384" t="str">
        <f t="shared" si="2"/>
        <v>CordlockNoCordless</v>
      </c>
      <c r="BB41" s="33" t="e">
        <f t="shared" si="3"/>
        <v>#N/A</v>
      </c>
      <c r="BC41" s="33" t="e">
        <f t="shared" si="4"/>
        <v>#N/A</v>
      </c>
      <c r="BD41" s="384" t="s">
        <v>2395</v>
      </c>
      <c r="BE41" s="384" t="s">
        <v>2392</v>
      </c>
      <c r="BF41" s="384" t="s">
        <v>2392</v>
      </c>
      <c r="BY41" s="384" t="e">
        <f t="shared" si="5"/>
        <v>#N/A</v>
      </c>
      <c r="CF41" s="384" t="e">
        <f t="shared" si="6"/>
        <v>#N/A</v>
      </c>
      <c r="CG41" s="384" t="e">
        <f t="shared" si="7"/>
        <v>#N/A</v>
      </c>
    </row>
    <row r="42" spans="1:85" ht="30" customHeight="1">
      <c r="A42" s="414">
        <v>35</v>
      </c>
      <c r="B42" s="409"/>
      <c r="C42" s="410"/>
      <c r="D42" s="410"/>
      <c r="E42" s="409"/>
      <c r="F42" s="411"/>
      <c r="G42" s="411"/>
      <c r="H42" s="411"/>
      <c r="I42" s="411"/>
      <c r="J42" s="411"/>
      <c r="K42" s="411"/>
      <c r="L42" s="412"/>
      <c r="M42" s="412"/>
      <c r="N42" s="412"/>
      <c r="O42" s="814"/>
      <c r="P42" s="814"/>
      <c r="Q42" s="409"/>
      <c r="R42" s="409"/>
      <c r="S42" s="409"/>
      <c r="T42" s="409"/>
      <c r="U42" s="409"/>
      <c r="V42" s="413"/>
      <c r="W42" s="406"/>
      <c r="X42" s="407"/>
      <c r="AA42" s="384" t="str">
        <f t="shared" si="0"/>
        <v>OK</v>
      </c>
      <c r="AG42" s="384" t="b">
        <f>IF(D42=Data!$OL$3,Data!$AP$1, IF(D42=Data!$OL$4,Data!$AP$1, IF(D42=Data!$OL$5,Data!$AQ$1, IF(D42=Data!$OL$6,Data!$AQ$1, IF(D42=Data!$OL$7,Data!$AR$1)))))</f>
        <v>0</v>
      </c>
      <c r="AT42" s="384" t="e">
        <f t="shared" si="1"/>
        <v>#N/A</v>
      </c>
      <c r="AW42" s="384" t="str">
        <f t="shared" si="2"/>
        <v>CordlockNoCordless</v>
      </c>
      <c r="BB42" s="33" t="e">
        <f t="shared" si="3"/>
        <v>#N/A</v>
      </c>
      <c r="BC42" s="33" t="e">
        <f t="shared" si="4"/>
        <v>#N/A</v>
      </c>
      <c r="BD42" s="384" t="s">
        <v>2411</v>
      </c>
      <c r="BE42" s="384" t="s">
        <v>2437</v>
      </c>
      <c r="BF42" s="384" t="s">
        <v>2437</v>
      </c>
      <c r="BY42" s="384" t="e">
        <f t="shared" si="5"/>
        <v>#N/A</v>
      </c>
      <c r="CF42" s="384" t="e">
        <f t="shared" si="6"/>
        <v>#N/A</v>
      </c>
      <c r="CG42" s="384" t="e">
        <f t="shared" si="7"/>
        <v>#N/A</v>
      </c>
    </row>
    <row r="43" spans="1:85" ht="30" customHeight="1">
      <c r="A43" s="414">
        <v>36</v>
      </c>
      <c r="B43" s="409"/>
      <c r="C43" s="410"/>
      <c r="D43" s="410"/>
      <c r="E43" s="409"/>
      <c r="F43" s="411"/>
      <c r="G43" s="411"/>
      <c r="H43" s="411"/>
      <c r="I43" s="411"/>
      <c r="J43" s="411"/>
      <c r="K43" s="411"/>
      <c r="L43" s="412"/>
      <c r="M43" s="412"/>
      <c r="N43" s="412"/>
      <c r="O43" s="814"/>
      <c r="P43" s="814"/>
      <c r="Q43" s="409"/>
      <c r="R43" s="409"/>
      <c r="S43" s="409"/>
      <c r="T43" s="409"/>
      <c r="U43" s="409"/>
      <c r="V43" s="413"/>
      <c r="W43" s="406"/>
      <c r="X43" s="407"/>
      <c r="AA43" s="384" t="str">
        <f t="shared" si="0"/>
        <v>OK</v>
      </c>
      <c r="AG43" s="384" t="b">
        <f>IF(D43=Data!$OL$3,Data!$AP$1, IF(D43=Data!$OL$4,Data!$AP$1, IF(D43=Data!$OL$5,Data!$AQ$1, IF(D43=Data!$OL$6,Data!$AQ$1, IF(D43=Data!$OL$7,Data!$AR$1)))))</f>
        <v>0</v>
      </c>
      <c r="AT43" s="384" t="e">
        <f t="shared" si="1"/>
        <v>#N/A</v>
      </c>
      <c r="AW43" s="384" t="str">
        <f t="shared" si="2"/>
        <v>CordlockNoCordless</v>
      </c>
      <c r="BB43" s="33" t="e">
        <f t="shared" si="3"/>
        <v>#N/A</v>
      </c>
      <c r="BC43" s="33" t="e">
        <f t="shared" si="4"/>
        <v>#N/A</v>
      </c>
      <c r="BD43" s="384" t="s">
        <v>2392</v>
      </c>
      <c r="BE43" s="384" t="s">
        <v>2433</v>
      </c>
      <c r="BF43" s="384" t="s">
        <v>2433</v>
      </c>
      <c r="BY43" s="384" t="e">
        <f t="shared" si="5"/>
        <v>#N/A</v>
      </c>
      <c r="CF43" s="384" t="e">
        <f t="shared" si="6"/>
        <v>#N/A</v>
      </c>
      <c r="CG43" s="384" t="e">
        <f t="shared" si="7"/>
        <v>#N/A</v>
      </c>
    </row>
    <row r="44" spans="1:85" ht="30" customHeight="1">
      <c r="A44" s="414">
        <v>37</v>
      </c>
      <c r="B44" s="409"/>
      <c r="C44" s="410"/>
      <c r="D44" s="410"/>
      <c r="E44" s="409"/>
      <c r="F44" s="411"/>
      <c r="G44" s="411"/>
      <c r="H44" s="411"/>
      <c r="I44" s="411"/>
      <c r="J44" s="411"/>
      <c r="K44" s="411"/>
      <c r="L44" s="412"/>
      <c r="M44" s="412"/>
      <c r="N44" s="412"/>
      <c r="O44" s="814"/>
      <c r="P44" s="814"/>
      <c r="Q44" s="409"/>
      <c r="R44" s="409"/>
      <c r="S44" s="409"/>
      <c r="T44" s="409"/>
      <c r="U44" s="409"/>
      <c r="V44" s="413"/>
      <c r="W44" s="406"/>
      <c r="X44" s="407"/>
      <c r="AA44" s="384" t="str">
        <f t="shared" si="0"/>
        <v>OK</v>
      </c>
      <c r="AG44" s="384" t="b">
        <f>IF(D44=Data!$OL$3,Data!$AP$1, IF(D44=Data!$OL$4,Data!$AP$1, IF(D44=Data!$OL$5,Data!$AQ$1, IF(D44=Data!$OL$6,Data!$AQ$1, IF(D44=Data!$OL$7,Data!$AR$1)))))</f>
        <v>0</v>
      </c>
      <c r="AT44" s="384" t="e">
        <f t="shared" si="1"/>
        <v>#N/A</v>
      </c>
      <c r="AW44" s="384" t="str">
        <f t="shared" si="2"/>
        <v>CordlockNoCordless</v>
      </c>
      <c r="BB44" s="33" t="e">
        <f t="shared" si="3"/>
        <v>#N/A</v>
      </c>
      <c r="BC44" s="33" t="e">
        <f t="shared" si="4"/>
        <v>#N/A</v>
      </c>
      <c r="BD44" s="384" t="s">
        <v>2437</v>
      </c>
      <c r="BE44" s="384" t="s">
        <v>2434</v>
      </c>
      <c r="BF44" s="384" t="s">
        <v>2434</v>
      </c>
      <c r="BY44" s="384" t="e">
        <f t="shared" si="5"/>
        <v>#N/A</v>
      </c>
      <c r="CF44" s="384" t="e">
        <f t="shared" si="6"/>
        <v>#N/A</v>
      </c>
      <c r="CG44" s="384" t="e">
        <f t="shared" si="7"/>
        <v>#N/A</v>
      </c>
    </row>
    <row r="45" spans="1:85" ht="30" customHeight="1">
      <c r="A45" s="414">
        <v>38</v>
      </c>
      <c r="B45" s="409"/>
      <c r="C45" s="410"/>
      <c r="D45" s="410"/>
      <c r="E45" s="409"/>
      <c r="F45" s="411"/>
      <c r="G45" s="411"/>
      <c r="H45" s="411"/>
      <c r="I45" s="411"/>
      <c r="J45" s="411"/>
      <c r="K45" s="411"/>
      <c r="L45" s="412"/>
      <c r="M45" s="412"/>
      <c r="N45" s="412"/>
      <c r="O45" s="814"/>
      <c r="P45" s="814"/>
      <c r="Q45" s="409"/>
      <c r="R45" s="409"/>
      <c r="S45" s="409"/>
      <c r="T45" s="409"/>
      <c r="U45" s="409"/>
      <c r="V45" s="413"/>
      <c r="W45" s="406"/>
      <c r="X45" s="407"/>
      <c r="AA45" s="384" t="str">
        <f t="shared" si="0"/>
        <v>OK</v>
      </c>
      <c r="AG45" s="384" t="b">
        <f>IF(D45=Data!$OL$3,Data!$AP$1, IF(D45=Data!$OL$4,Data!$AP$1, IF(D45=Data!$OL$5,Data!$AQ$1, IF(D45=Data!$OL$6,Data!$AQ$1, IF(D45=Data!$OL$7,Data!$AR$1)))))</f>
        <v>0</v>
      </c>
      <c r="AT45" s="384" t="e">
        <f t="shared" si="1"/>
        <v>#N/A</v>
      </c>
      <c r="AW45" s="384" t="str">
        <f t="shared" si="2"/>
        <v>CordlockNoCordless</v>
      </c>
      <c r="BB45" s="33" t="e">
        <f t="shared" si="3"/>
        <v>#N/A</v>
      </c>
      <c r="BC45" s="33" t="e">
        <f t="shared" si="4"/>
        <v>#N/A</v>
      </c>
      <c r="BD45" s="384" t="s">
        <v>2433</v>
      </c>
      <c r="BE45" s="384" t="s">
        <v>2408</v>
      </c>
      <c r="BF45" s="384" t="s">
        <v>2408</v>
      </c>
      <c r="BY45" s="384" t="e">
        <f t="shared" si="5"/>
        <v>#N/A</v>
      </c>
      <c r="CF45" s="384" t="e">
        <f t="shared" si="6"/>
        <v>#N/A</v>
      </c>
      <c r="CG45" s="384" t="e">
        <f t="shared" si="7"/>
        <v>#N/A</v>
      </c>
    </row>
    <row r="46" spans="1:85" ht="30" customHeight="1">
      <c r="A46" s="414">
        <v>39</v>
      </c>
      <c r="B46" s="409"/>
      <c r="C46" s="410"/>
      <c r="D46" s="410"/>
      <c r="E46" s="409"/>
      <c r="F46" s="411"/>
      <c r="G46" s="411"/>
      <c r="H46" s="411"/>
      <c r="I46" s="411"/>
      <c r="J46" s="411"/>
      <c r="K46" s="411"/>
      <c r="L46" s="412"/>
      <c r="M46" s="412"/>
      <c r="N46" s="412"/>
      <c r="O46" s="814"/>
      <c r="P46" s="814"/>
      <c r="Q46" s="409"/>
      <c r="R46" s="409"/>
      <c r="S46" s="409"/>
      <c r="T46" s="409"/>
      <c r="U46" s="409"/>
      <c r="V46" s="413"/>
      <c r="W46" s="406"/>
      <c r="X46" s="407"/>
      <c r="AA46" s="384" t="str">
        <f t="shared" si="0"/>
        <v>OK</v>
      </c>
      <c r="AG46" s="384" t="b">
        <f>IF(D46=Data!$OL$3,Data!$AP$1, IF(D46=Data!$OL$4,Data!$AP$1, IF(D46=Data!$OL$5,Data!$AQ$1, IF(D46=Data!$OL$6,Data!$AQ$1, IF(D46=Data!$OL$7,Data!$AR$1)))))</f>
        <v>0</v>
      </c>
      <c r="AT46" s="384" t="e">
        <f t="shared" si="1"/>
        <v>#N/A</v>
      </c>
      <c r="AW46" s="384" t="str">
        <f t="shared" si="2"/>
        <v>CordlockNoCordless</v>
      </c>
      <c r="BB46" s="33" t="e">
        <f t="shared" si="3"/>
        <v>#N/A</v>
      </c>
      <c r="BC46" s="33" t="e">
        <f t="shared" si="4"/>
        <v>#N/A</v>
      </c>
      <c r="BD46" s="384" t="s">
        <v>2434</v>
      </c>
      <c r="BE46" s="384" t="s">
        <v>2417</v>
      </c>
      <c r="BF46" s="384" t="s">
        <v>2417</v>
      </c>
      <c r="BY46" s="384" t="e">
        <f t="shared" si="5"/>
        <v>#N/A</v>
      </c>
      <c r="CF46" s="384" t="e">
        <f t="shared" si="6"/>
        <v>#N/A</v>
      </c>
      <c r="CG46" s="384" t="e">
        <f t="shared" si="7"/>
        <v>#N/A</v>
      </c>
    </row>
    <row r="47" spans="1:85" ht="30" customHeight="1">
      <c r="A47" s="414">
        <v>40</v>
      </c>
      <c r="B47" s="418"/>
      <c r="C47" s="409"/>
      <c r="D47" s="419"/>
      <c r="E47" s="409"/>
      <c r="F47" s="411"/>
      <c r="G47" s="411"/>
      <c r="H47" s="411"/>
      <c r="I47" s="411"/>
      <c r="J47" s="411"/>
      <c r="K47" s="411"/>
      <c r="L47" s="412"/>
      <c r="M47" s="412"/>
      <c r="N47" s="412"/>
      <c r="O47" s="814"/>
      <c r="P47" s="814"/>
      <c r="Q47" s="409"/>
      <c r="R47" s="409"/>
      <c r="S47" s="409"/>
      <c r="T47" s="409"/>
      <c r="U47" s="409"/>
      <c r="V47" s="413"/>
      <c r="W47" s="406"/>
      <c r="X47" s="407"/>
      <c r="AA47" s="384" t="str">
        <f t="shared" si="0"/>
        <v>OK</v>
      </c>
      <c r="AG47" s="384" t="b">
        <f>IF(D47=Data!$OL$3,Data!$AP$1, IF(D47=Data!$OL$4,Data!$AP$1, IF(D47=Data!$OL$5,Data!$AQ$1, IF(D47=Data!$OL$6,Data!$AQ$1, IF(D47=Data!$OL$7,Data!$AR$1)))))</f>
        <v>0</v>
      </c>
      <c r="AT47" s="384" t="e">
        <f t="shared" si="1"/>
        <v>#N/A</v>
      </c>
      <c r="AW47" s="384" t="str">
        <f t="shared" si="2"/>
        <v>CordlockNoCordless</v>
      </c>
      <c r="BB47" s="33" t="e">
        <f t="shared" si="3"/>
        <v>#N/A</v>
      </c>
      <c r="BC47" s="33" t="e">
        <f t="shared" si="4"/>
        <v>#N/A</v>
      </c>
      <c r="BD47" s="384" t="s">
        <v>2408</v>
      </c>
      <c r="BE47" s="384" t="s">
        <v>2438</v>
      </c>
      <c r="BF47" s="384" t="s">
        <v>2438</v>
      </c>
      <c r="BY47" s="384" t="e">
        <f t="shared" si="5"/>
        <v>#N/A</v>
      </c>
      <c r="CF47" s="384" t="e">
        <f t="shared" si="6"/>
        <v>#N/A</v>
      </c>
      <c r="CG47" s="384" t="e">
        <f t="shared" si="7"/>
        <v>#N/A</v>
      </c>
    </row>
    <row r="48" spans="1:85" ht="30" customHeight="1">
      <c r="A48" s="414">
        <v>41</v>
      </c>
      <c r="B48" s="409"/>
      <c r="C48" s="420"/>
      <c r="D48" s="410"/>
      <c r="E48" s="409"/>
      <c r="F48" s="411"/>
      <c r="G48" s="411"/>
      <c r="H48" s="411"/>
      <c r="I48" s="411"/>
      <c r="J48" s="411"/>
      <c r="K48" s="411"/>
      <c r="L48" s="412"/>
      <c r="M48" s="412"/>
      <c r="N48" s="412"/>
      <c r="O48" s="814"/>
      <c r="P48" s="814"/>
      <c r="Q48" s="409"/>
      <c r="R48" s="409"/>
      <c r="S48" s="409"/>
      <c r="T48" s="409"/>
      <c r="U48" s="409"/>
      <c r="V48" s="413"/>
      <c r="W48" s="406"/>
      <c r="X48" s="407"/>
      <c r="AA48" s="384" t="str">
        <f t="shared" si="0"/>
        <v>OK</v>
      </c>
      <c r="AG48" s="384" t="b">
        <f>IF(D48=Data!$OL$3,Data!$AP$1, IF(D48=Data!$OL$4,Data!$AP$1, IF(D48=Data!$OL$5,Data!$AQ$1, IF(D48=Data!$OL$6,Data!$AQ$1, IF(D48=Data!$OL$7,Data!$AR$1)))))</f>
        <v>0</v>
      </c>
      <c r="AT48" s="384" t="e">
        <f t="shared" si="1"/>
        <v>#N/A</v>
      </c>
      <c r="AW48" s="384" t="str">
        <f t="shared" si="2"/>
        <v>CordlockNoCordless</v>
      </c>
      <c r="BB48" s="33" t="e">
        <f t="shared" si="3"/>
        <v>#N/A</v>
      </c>
      <c r="BC48" s="33" t="e">
        <f t="shared" si="4"/>
        <v>#N/A</v>
      </c>
      <c r="BD48" s="384" t="s">
        <v>2417</v>
      </c>
      <c r="BE48" s="384" t="s">
        <v>2393</v>
      </c>
      <c r="BF48" s="384" t="s">
        <v>2393</v>
      </c>
      <c r="BY48" s="384" t="e">
        <f t="shared" si="5"/>
        <v>#N/A</v>
      </c>
      <c r="CF48" s="384" t="e">
        <f t="shared" si="6"/>
        <v>#N/A</v>
      </c>
      <c r="CG48" s="384" t="e">
        <f t="shared" si="7"/>
        <v>#N/A</v>
      </c>
    </row>
    <row r="49" spans="1:85" ht="30" customHeight="1">
      <c r="A49" s="414">
        <v>42</v>
      </c>
      <c r="B49" s="409"/>
      <c r="C49" s="420"/>
      <c r="D49" s="410"/>
      <c r="E49" s="409"/>
      <c r="F49" s="411"/>
      <c r="G49" s="411"/>
      <c r="H49" s="411"/>
      <c r="I49" s="411"/>
      <c r="J49" s="411"/>
      <c r="K49" s="411"/>
      <c r="L49" s="412"/>
      <c r="M49" s="412"/>
      <c r="N49" s="412"/>
      <c r="O49" s="814"/>
      <c r="P49" s="814"/>
      <c r="Q49" s="409"/>
      <c r="R49" s="409"/>
      <c r="S49" s="409"/>
      <c r="T49" s="409"/>
      <c r="U49" s="409"/>
      <c r="V49" s="413"/>
      <c r="W49" s="406"/>
      <c r="X49" s="407"/>
      <c r="AA49" s="384" t="str">
        <f t="shared" si="0"/>
        <v>OK</v>
      </c>
      <c r="AG49" s="384" t="b">
        <f>IF(D49=Data!$OL$3,Data!$AP$1, IF(D49=Data!$OL$4,Data!$AP$1, IF(D49=Data!$OL$5,Data!$AQ$1, IF(D49=Data!$OL$6,Data!$AQ$1, IF(D49=Data!$OL$7,Data!$AR$1)))))</f>
        <v>0</v>
      </c>
      <c r="AT49" s="384" t="e">
        <f t="shared" si="1"/>
        <v>#N/A</v>
      </c>
      <c r="AW49" s="384" t="str">
        <f t="shared" si="2"/>
        <v>CordlockNoCordless</v>
      </c>
      <c r="BB49" s="33" t="e">
        <f t="shared" si="3"/>
        <v>#N/A</v>
      </c>
      <c r="BC49" s="33" t="e">
        <f t="shared" si="4"/>
        <v>#N/A</v>
      </c>
      <c r="BD49" s="384" t="s">
        <v>2438</v>
      </c>
      <c r="BE49" s="384" t="s">
        <v>2394</v>
      </c>
      <c r="BF49" s="384" t="s">
        <v>2394</v>
      </c>
      <c r="BY49" s="384" t="e">
        <f t="shared" si="5"/>
        <v>#N/A</v>
      </c>
      <c r="CF49" s="384" t="e">
        <f t="shared" si="6"/>
        <v>#N/A</v>
      </c>
      <c r="CG49" s="384" t="e">
        <f t="shared" si="7"/>
        <v>#N/A</v>
      </c>
    </row>
    <row r="50" spans="1:85" ht="30" customHeight="1">
      <c r="A50" s="414">
        <v>43</v>
      </c>
      <c r="B50" s="409"/>
      <c r="C50" s="420"/>
      <c r="D50" s="410"/>
      <c r="E50" s="409"/>
      <c r="F50" s="411"/>
      <c r="G50" s="411"/>
      <c r="H50" s="411"/>
      <c r="I50" s="411"/>
      <c r="J50" s="411"/>
      <c r="K50" s="411"/>
      <c r="L50" s="412"/>
      <c r="M50" s="412"/>
      <c r="N50" s="412"/>
      <c r="O50" s="814"/>
      <c r="P50" s="814"/>
      <c r="Q50" s="409"/>
      <c r="R50" s="409"/>
      <c r="S50" s="409"/>
      <c r="T50" s="409"/>
      <c r="U50" s="409"/>
      <c r="V50" s="413"/>
      <c r="W50" s="406"/>
      <c r="X50" s="407"/>
      <c r="AA50" s="384" t="str">
        <f t="shared" si="0"/>
        <v>OK</v>
      </c>
      <c r="AG50" s="384" t="b">
        <f>IF(D50=Data!$OL$3,Data!$AP$1, IF(D50=Data!$OL$4,Data!$AP$1, IF(D50=Data!$OL$5,Data!$AQ$1, IF(D50=Data!$OL$6,Data!$AQ$1, IF(D50=Data!$OL$7,Data!$AR$1)))))</f>
        <v>0</v>
      </c>
      <c r="AT50" s="384" t="e">
        <f t="shared" si="1"/>
        <v>#N/A</v>
      </c>
      <c r="AW50" s="384" t="str">
        <f t="shared" si="2"/>
        <v>CordlockNoCordless</v>
      </c>
      <c r="BB50" s="33" t="e">
        <f t="shared" si="3"/>
        <v>#N/A</v>
      </c>
      <c r="BC50" s="33" t="e">
        <f t="shared" si="4"/>
        <v>#N/A</v>
      </c>
      <c r="BD50" s="384" t="s">
        <v>2393</v>
      </c>
      <c r="BE50" s="384" t="s">
        <v>2435</v>
      </c>
      <c r="BF50" s="384" t="s">
        <v>2435</v>
      </c>
      <c r="BY50" s="384" t="e">
        <f t="shared" si="5"/>
        <v>#N/A</v>
      </c>
      <c r="CF50" s="384" t="e">
        <f t="shared" si="6"/>
        <v>#N/A</v>
      </c>
      <c r="CG50" s="384" t="e">
        <f t="shared" si="7"/>
        <v>#N/A</v>
      </c>
    </row>
    <row r="51" spans="1:85" ht="30" customHeight="1">
      <c r="A51" s="414">
        <v>44</v>
      </c>
      <c r="B51" s="409"/>
      <c r="C51" s="420"/>
      <c r="D51" s="410"/>
      <c r="E51" s="409"/>
      <c r="F51" s="411"/>
      <c r="G51" s="411"/>
      <c r="H51" s="411"/>
      <c r="I51" s="411"/>
      <c r="J51" s="411"/>
      <c r="K51" s="411"/>
      <c r="L51" s="412"/>
      <c r="M51" s="412"/>
      <c r="N51" s="412"/>
      <c r="O51" s="814"/>
      <c r="P51" s="814"/>
      <c r="Q51" s="409"/>
      <c r="R51" s="409"/>
      <c r="S51" s="409"/>
      <c r="T51" s="409"/>
      <c r="U51" s="409"/>
      <c r="V51" s="413"/>
      <c r="W51" s="406"/>
      <c r="X51" s="407"/>
      <c r="AA51" s="384" t="str">
        <f t="shared" si="0"/>
        <v>OK</v>
      </c>
      <c r="AG51" s="384" t="b">
        <f>IF(D51=Data!$OL$3,Data!$AP$1, IF(D51=Data!$OL$4,Data!$AP$1, IF(D51=Data!$OL$5,Data!$AQ$1, IF(D51=Data!$OL$6,Data!$AQ$1, IF(D51=Data!$OL$7,Data!$AR$1)))))</f>
        <v>0</v>
      </c>
      <c r="AT51" s="384" t="e">
        <f t="shared" si="1"/>
        <v>#N/A</v>
      </c>
      <c r="AW51" s="384" t="str">
        <f t="shared" si="2"/>
        <v>CordlockNoCordless</v>
      </c>
      <c r="BB51" s="33" t="e">
        <f t="shared" si="3"/>
        <v>#N/A</v>
      </c>
      <c r="BC51" s="33" t="e">
        <f t="shared" si="4"/>
        <v>#N/A</v>
      </c>
      <c r="BD51" s="384" t="s">
        <v>2394</v>
      </c>
      <c r="BE51" s="384" t="s">
        <v>2400</v>
      </c>
      <c r="BF51" s="384" t="s">
        <v>2400</v>
      </c>
      <c r="BY51" s="384" t="e">
        <f t="shared" si="5"/>
        <v>#N/A</v>
      </c>
      <c r="CF51" s="384" t="e">
        <f t="shared" si="6"/>
        <v>#N/A</v>
      </c>
      <c r="CG51" s="384" t="e">
        <f t="shared" si="7"/>
        <v>#N/A</v>
      </c>
    </row>
    <row r="52" spans="1:85" ht="30" customHeight="1">
      <c r="A52" s="414">
        <v>45</v>
      </c>
      <c r="B52" s="409"/>
      <c r="C52" s="420"/>
      <c r="D52" s="410"/>
      <c r="E52" s="409"/>
      <c r="F52" s="411"/>
      <c r="G52" s="411"/>
      <c r="H52" s="411"/>
      <c r="I52" s="411"/>
      <c r="J52" s="411"/>
      <c r="K52" s="411"/>
      <c r="L52" s="412"/>
      <c r="M52" s="412"/>
      <c r="N52" s="412"/>
      <c r="O52" s="814"/>
      <c r="P52" s="814"/>
      <c r="Q52" s="409"/>
      <c r="R52" s="409"/>
      <c r="S52" s="409"/>
      <c r="T52" s="409"/>
      <c r="U52" s="409"/>
      <c r="V52" s="413"/>
      <c r="W52" s="406"/>
      <c r="X52" s="407"/>
      <c r="AA52" s="384" t="str">
        <f t="shared" si="0"/>
        <v>OK</v>
      </c>
      <c r="AG52" s="384" t="b">
        <f>IF(D52=Data!$OL$3,Data!$AP$1, IF(D52=Data!$OL$4,Data!$AP$1, IF(D52=Data!$OL$5,Data!$AQ$1, IF(D52=Data!$OL$6,Data!$AQ$1, IF(D52=Data!$OL$7,Data!$AR$1)))))</f>
        <v>0</v>
      </c>
      <c r="AT52" s="384" t="e">
        <f t="shared" si="1"/>
        <v>#N/A</v>
      </c>
      <c r="AW52" s="384" t="str">
        <f t="shared" si="2"/>
        <v>CordlockNoCordless</v>
      </c>
      <c r="BB52" s="33" t="e">
        <f t="shared" si="3"/>
        <v>#N/A</v>
      </c>
      <c r="BC52" s="33" t="e">
        <f t="shared" si="4"/>
        <v>#N/A</v>
      </c>
      <c r="BD52" s="384" t="s">
        <v>2435</v>
      </c>
      <c r="BE52" s="384" t="s">
        <v>2445</v>
      </c>
      <c r="BF52" s="384" t="s">
        <v>2445</v>
      </c>
      <c r="BY52" s="384" t="e">
        <f t="shared" si="5"/>
        <v>#N/A</v>
      </c>
      <c r="CF52" s="384" t="e">
        <f t="shared" si="6"/>
        <v>#N/A</v>
      </c>
      <c r="CG52" s="384" t="e">
        <f t="shared" si="7"/>
        <v>#N/A</v>
      </c>
    </row>
    <row r="53" spans="1:85" ht="30" customHeight="1">
      <c r="A53" s="414">
        <v>46</v>
      </c>
      <c r="B53" s="418"/>
      <c r="C53" s="420"/>
      <c r="D53" s="410"/>
      <c r="E53" s="409"/>
      <c r="F53" s="411"/>
      <c r="G53" s="411"/>
      <c r="H53" s="411"/>
      <c r="I53" s="411"/>
      <c r="J53" s="411"/>
      <c r="K53" s="411"/>
      <c r="L53" s="412"/>
      <c r="M53" s="412"/>
      <c r="N53" s="412"/>
      <c r="O53" s="814"/>
      <c r="P53" s="814"/>
      <c r="Q53" s="409"/>
      <c r="R53" s="409"/>
      <c r="S53" s="409"/>
      <c r="T53" s="409"/>
      <c r="U53" s="409"/>
      <c r="V53" s="413"/>
      <c r="W53" s="406"/>
      <c r="X53" s="407"/>
      <c r="AA53" s="384" t="str">
        <f t="shared" si="0"/>
        <v>OK</v>
      </c>
      <c r="AG53" s="384" t="b">
        <f>IF(D53=Data!$OL$3,Data!$AP$1, IF(D53=Data!$OL$4,Data!$AP$1, IF(D53=Data!$OL$5,Data!$AQ$1, IF(D53=Data!$OL$6,Data!$AQ$1, IF(D53=Data!$OL$7,Data!$AR$1)))))</f>
        <v>0</v>
      </c>
      <c r="AT53" s="384" t="e">
        <f t="shared" si="1"/>
        <v>#N/A</v>
      </c>
      <c r="AW53" s="384" t="str">
        <f t="shared" si="2"/>
        <v>CordlockNoCordless</v>
      </c>
      <c r="BB53" s="33" t="e">
        <f t="shared" si="3"/>
        <v>#N/A</v>
      </c>
      <c r="BC53" s="33" t="e">
        <f t="shared" si="4"/>
        <v>#N/A</v>
      </c>
      <c r="BD53" s="384" t="s">
        <v>2400</v>
      </c>
      <c r="BE53" s="384" t="s">
        <v>2419</v>
      </c>
      <c r="BF53" s="384" t="s">
        <v>2419</v>
      </c>
      <c r="BY53" s="384" t="e">
        <f t="shared" si="5"/>
        <v>#N/A</v>
      </c>
      <c r="CF53" s="384" t="e">
        <f t="shared" si="6"/>
        <v>#N/A</v>
      </c>
      <c r="CG53" s="384" t="e">
        <f t="shared" si="7"/>
        <v>#N/A</v>
      </c>
    </row>
    <row r="54" spans="1:85" ht="30" customHeight="1">
      <c r="A54" s="414">
        <v>47</v>
      </c>
      <c r="B54" s="409"/>
      <c r="C54" s="420"/>
      <c r="D54" s="410"/>
      <c r="E54" s="409"/>
      <c r="F54" s="411"/>
      <c r="G54" s="411"/>
      <c r="H54" s="411"/>
      <c r="I54" s="411"/>
      <c r="J54" s="411"/>
      <c r="K54" s="411"/>
      <c r="L54" s="412"/>
      <c r="M54" s="412"/>
      <c r="N54" s="412"/>
      <c r="O54" s="814"/>
      <c r="P54" s="814"/>
      <c r="Q54" s="409"/>
      <c r="R54" s="409"/>
      <c r="S54" s="409"/>
      <c r="T54" s="409"/>
      <c r="U54" s="409"/>
      <c r="V54" s="413"/>
      <c r="W54" s="406"/>
      <c r="X54" s="407"/>
      <c r="AA54" s="384" t="str">
        <f t="shared" si="0"/>
        <v>OK</v>
      </c>
      <c r="AG54" s="384" t="b">
        <f>IF(D54=Data!$OL$3,Data!$AP$1, IF(D54=Data!$OL$4,Data!$AP$1, IF(D54=Data!$OL$5,Data!$AQ$1, IF(D54=Data!$OL$6,Data!$AQ$1, IF(D54=Data!$OL$7,Data!$AR$1)))))</f>
        <v>0</v>
      </c>
      <c r="AT54" s="384" t="e">
        <f t="shared" si="1"/>
        <v>#N/A</v>
      </c>
      <c r="AW54" s="384" t="str">
        <f t="shared" si="2"/>
        <v>CordlockNoCordless</v>
      </c>
      <c r="BB54" s="33" t="e">
        <f t="shared" si="3"/>
        <v>#N/A</v>
      </c>
      <c r="BC54" s="33" t="e">
        <f t="shared" si="4"/>
        <v>#N/A</v>
      </c>
      <c r="BD54" s="384" t="s">
        <v>2445</v>
      </c>
      <c r="BE54" s="384" t="s">
        <v>2440</v>
      </c>
      <c r="BF54" s="384" t="s">
        <v>2440</v>
      </c>
      <c r="BY54" s="384" t="e">
        <f t="shared" si="5"/>
        <v>#N/A</v>
      </c>
      <c r="CF54" s="384" t="e">
        <f t="shared" si="6"/>
        <v>#N/A</v>
      </c>
      <c r="CG54" s="384" t="e">
        <f t="shared" si="7"/>
        <v>#N/A</v>
      </c>
    </row>
    <row r="55" spans="1:85" ht="30" customHeight="1">
      <c r="A55" s="414">
        <v>48</v>
      </c>
      <c r="B55" s="409"/>
      <c r="C55" s="420"/>
      <c r="D55" s="410"/>
      <c r="E55" s="409"/>
      <c r="F55" s="411"/>
      <c r="G55" s="411"/>
      <c r="H55" s="411"/>
      <c r="I55" s="411"/>
      <c r="J55" s="411"/>
      <c r="K55" s="411"/>
      <c r="L55" s="412"/>
      <c r="M55" s="412"/>
      <c r="N55" s="412"/>
      <c r="O55" s="814"/>
      <c r="P55" s="814"/>
      <c r="Q55" s="409"/>
      <c r="R55" s="409"/>
      <c r="S55" s="409"/>
      <c r="T55" s="409"/>
      <c r="U55" s="409"/>
      <c r="V55" s="413"/>
      <c r="W55" s="406"/>
      <c r="X55" s="407"/>
      <c r="AA55" s="384" t="str">
        <f t="shared" si="0"/>
        <v>OK</v>
      </c>
      <c r="AG55" s="384" t="b">
        <f>IF(D55=Data!$OL$3,Data!$AP$1, IF(D55=Data!$OL$4,Data!$AP$1, IF(D55=Data!$OL$5,Data!$AQ$1, IF(D55=Data!$OL$6,Data!$AQ$1, IF(D55=Data!$OL$7,Data!$AR$1)))))</f>
        <v>0</v>
      </c>
      <c r="AT55" s="384" t="e">
        <f t="shared" si="1"/>
        <v>#N/A</v>
      </c>
      <c r="AW55" s="384" t="str">
        <f t="shared" si="2"/>
        <v>CordlockNoCordless</v>
      </c>
      <c r="BB55" s="33" t="e">
        <f t="shared" si="3"/>
        <v>#N/A</v>
      </c>
      <c r="BC55" s="33" t="e">
        <f t="shared" si="4"/>
        <v>#N/A</v>
      </c>
      <c r="BD55" s="384" t="s">
        <v>2419</v>
      </c>
      <c r="BE55" s="384" t="s">
        <v>2436</v>
      </c>
      <c r="BF55" s="384" t="s">
        <v>2436</v>
      </c>
      <c r="BY55" s="384" t="e">
        <f t="shared" si="5"/>
        <v>#N/A</v>
      </c>
      <c r="CF55" s="384" t="e">
        <f t="shared" si="6"/>
        <v>#N/A</v>
      </c>
      <c r="CG55" s="384" t="e">
        <f t="shared" si="7"/>
        <v>#N/A</v>
      </c>
    </row>
    <row r="56" spans="1:85" ht="30" customHeight="1">
      <c r="A56" s="414">
        <v>49</v>
      </c>
      <c r="B56" s="409"/>
      <c r="C56" s="420"/>
      <c r="D56" s="410"/>
      <c r="E56" s="409"/>
      <c r="F56" s="411"/>
      <c r="G56" s="411"/>
      <c r="H56" s="411"/>
      <c r="I56" s="411"/>
      <c r="J56" s="411"/>
      <c r="K56" s="411"/>
      <c r="L56" s="412"/>
      <c r="M56" s="412"/>
      <c r="N56" s="412"/>
      <c r="O56" s="814"/>
      <c r="P56" s="814"/>
      <c r="Q56" s="409"/>
      <c r="R56" s="409"/>
      <c r="S56" s="409"/>
      <c r="T56" s="409"/>
      <c r="U56" s="409"/>
      <c r="V56" s="413"/>
      <c r="W56" s="406"/>
      <c r="X56" s="407"/>
      <c r="AA56" s="384" t="str">
        <f t="shared" si="0"/>
        <v>OK</v>
      </c>
      <c r="AG56" s="384" t="b">
        <f>IF(D56=Data!$OL$3,Data!$AP$1, IF(D56=Data!$OL$4,Data!$AP$1, IF(D56=Data!$OL$5,Data!$AQ$1, IF(D56=Data!$OL$6,Data!$AQ$1, IF(D56=Data!$OL$7,Data!$AR$1)))))</f>
        <v>0</v>
      </c>
      <c r="AT56" s="384" t="e">
        <f t="shared" si="1"/>
        <v>#N/A</v>
      </c>
      <c r="AW56" s="384" t="str">
        <f t="shared" si="2"/>
        <v>CordlockNoCordless</v>
      </c>
      <c r="BB56" s="33" t="e">
        <f t="shared" si="3"/>
        <v>#N/A</v>
      </c>
      <c r="BC56" s="33" t="e">
        <f t="shared" si="4"/>
        <v>#N/A</v>
      </c>
      <c r="BD56" s="384" t="s">
        <v>2440</v>
      </c>
      <c r="BE56" s="384" t="s">
        <v>2420</v>
      </c>
      <c r="BF56" s="384" t="s">
        <v>2420</v>
      </c>
      <c r="BY56" s="384" t="e">
        <f t="shared" si="5"/>
        <v>#N/A</v>
      </c>
      <c r="CF56" s="384" t="e">
        <f t="shared" si="6"/>
        <v>#N/A</v>
      </c>
      <c r="CG56" s="384" t="e">
        <f t="shared" si="7"/>
        <v>#N/A</v>
      </c>
    </row>
    <row r="57" spans="1:85" ht="30" customHeight="1" thickBot="1">
      <c r="A57" s="421">
        <v>50</v>
      </c>
      <c r="B57" s="422"/>
      <c r="C57" s="423"/>
      <c r="D57" s="424"/>
      <c r="E57" s="422"/>
      <c r="F57" s="425"/>
      <c r="G57" s="425"/>
      <c r="H57" s="425"/>
      <c r="I57" s="425"/>
      <c r="J57" s="425"/>
      <c r="K57" s="425"/>
      <c r="L57" s="426"/>
      <c r="M57" s="426"/>
      <c r="N57" s="426"/>
      <c r="O57" s="815"/>
      <c r="P57" s="815"/>
      <c r="Q57" s="422"/>
      <c r="R57" s="422"/>
      <c r="S57" s="422"/>
      <c r="T57" s="422"/>
      <c r="U57" s="422"/>
      <c r="V57" s="427"/>
      <c r="W57" s="406"/>
      <c r="X57" s="407"/>
      <c r="AA57" s="384" t="str">
        <f t="shared" si="0"/>
        <v>OK</v>
      </c>
      <c r="AG57" s="384" t="b">
        <f>IF(D57=Data!$OL$3,Data!$AP$1, IF(D57=Data!$OL$4,Data!$AP$1, IF(D57=Data!$OL$5,Data!$AQ$1, IF(D57=Data!$OL$6,Data!$AQ$1, IF(D57=Data!$OL$7,Data!$AR$1)))))</f>
        <v>0</v>
      </c>
      <c r="AT57" s="384" t="e">
        <f t="shared" si="1"/>
        <v>#N/A</v>
      </c>
      <c r="AW57" s="384" t="str">
        <f t="shared" si="2"/>
        <v>CordlockNoCordless</v>
      </c>
      <c r="BB57" s="33" t="e">
        <f t="shared" si="3"/>
        <v>#N/A</v>
      </c>
      <c r="BC57" s="33" t="e">
        <f t="shared" si="4"/>
        <v>#N/A</v>
      </c>
      <c r="BD57" s="384" t="s">
        <v>2436</v>
      </c>
      <c r="BE57" s="384" t="s">
        <v>2410</v>
      </c>
      <c r="BF57" s="384" t="s">
        <v>2410</v>
      </c>
      <c r="BY57" s="384" t="e">
        <f t="shared" si="5"/>
        <v>#N/A</v>
      </c>
      <c r="CF57" s="384" t="e">
        <f t="shared" si="6"/>
        <v>#N/A</v>
      </c>
      <c r="CG57" s="384" t="e">
        <f t="shared" si="7"/>
        <v>#N/A</v>
      </c>
    </row>
    <row r="58" spans="1:85" ht="15.75" thickTop="1">
      <c r="BB58" s="33"/>
      <c r="BD58" s="384" t="s">
        <v>2420</v>
      </c>
      <c r="BE58" s="384" t="s">
        <v>2427</v>
      </c>
      <c r="BF58" s="384" t="s">
        <v>2427</v>
      </c>
    </row>
    <row r="59" spans="1:85">
      <c r="BD59" s="384" t="s">
        <v>2410</v>
      </c>
      <c r="BE59" s="384" t="s">
        <v>2421</v>
      </c>
      <c r="BF59" s="384" t="s">
        <v>2421</v>
      </c>
    </row>
    <row r="60" spans="1:85">
      <c r="BD60" s="384" t="s">
        <v>2427</v>
      </c>
      <c r="BE60" s="384" t="s">
        <v>2447</v>
      </c>
      <c r="BF60" s="384" t="s">
        <v>2447</v>
      </c>
    </row>
    <row r="61" spans="1:85">
      <c r="BD61" s="384" t="s">
        <v>2421</v>
      </c>
      <c r="BE61" s="384" t="s">
        <v>2401</v>
      </c>
      <c r="BF61" s="384" t="s">
        <v>2401</v>
      </c>
    </row>
    <row r="62" spans="1:85">
      <c r="BD62" s="384" t="s">
        <v>2447</v>
      </c>
      <c r="BE62" s="384" t="s">
        <v>2402</v>
      </c>
      <c r="BF62" s="384" t="s">
        <v>2402</v>
      </c>
    </row>
    <row r="63" spans="1:85">
      <c r="BD63" s="384" t="s">
        <v>2401</v>
      </c>
      <c r="BE63" s="384" t="s">
        <v>2448</v>
      </c>
      <c r="BF63" s="384" t="s">
        <v>2448</v>
      </c>
    </row>
    <row r="64" spans="1:85">
      <c r="BD64" s="384" t="s">
        <v>2402</v>
      </c>
      <c r="BE64" s="384" t="s">
        <v>2441</v>
      </c>
      <c r="BF64" s="384" t="s">
        <v>2441</v>
      </c>
    </row>
    <row r="65" spans="56:58">
      <c r="BD65" s="384" t="s">
        <v>2448</v>
      </c>
      <c r="BE65" s="384" t="s">
        <v>2446</v>
      </c>
      <c r="BF65" s="384" t="s">
        <v>2446</v>
      </c>
    </row>
    <row r="66" spans="56:58">
      <c r="BD66" s="384" t="s">
        <v>2446</v>
      </c>
    </row>
    <row r="67" spans="56:58">
      <c r="BD67" s="33" t="s">
        <v>2441</v>
      </c>
    </row>
  </sheetData>
  <sheetProtection algorithmName="SHA-512" hashValue="StXpmhchPUoWEB6jANei+L5naulkQtpbCTGf6G8to5XZn3zLOuLODj5QPUkvpJCB208OJc/oPWHCOGYyC9Elzw==" saltValue="7yQmY0E6mOP8Ql/Ik87LkA==" spinCount="100000" sheet="1" objects="1" scenarios="1"/>
  <sortState xmlns:xlrd2="http://schemas.microsoft.com/office/spreadsheetml/2017/richdata2" ref="BJ8:BJ24">
    <sortCondition ref="BJ24"/>
  </sortState>
  <mergeCells count="78">
    <mergeCell ref="O55:P55"/>
    <mergeCell ref="O56:P56"/>
    <mergeCell ref="O57:P57"/>
    <mergeCell ref="O52:P52"/>
    <mergeCell ref="O53:P53"/>
    <mergeCell ref="O54:P54"/>
    <mergeCell ref="O49:P49"/>
    <mergeCell ref="O50:P50"/>
    <mergeCell ref="O51:P51"/>
    <mergeCell ref="O46:P46"/>
    <mergeCell ref="O47:P47"/>
    <mergeCell ref="O48:P48"/>
    <mergeCell ref="O43:P43"/>
    <mergeCell ref="O44:P44"/>
    <mergeCell ref="O45:P45"/>
    <mergeCell ref="O40:P40"/>
    <mergeCell ref="O41:P41"/>
    <mergeCell ref="O42:P42"/>
    <mergeCell ref="O37:P37"/>
    <mergeCell ref="O38:P38"/>
    <mergeCell ref="O39:P39"/>
    <mergeCell ref="O34:P34"/>
    <mergeCell ref="O35:P35"/>
    <mergeCell ref="O36:P36"/>
    <mergeCell ref="O31:P31"/>
    <mergeCell ref="O32:P32"/>
    <mergeCell ref="O33:P33"/>
    <mergeCell ref="O28:P28"/>
    <mergeCell ref="O29:P29"/>
    <mergeCell ref="O30:P30"/>
    <mergeCell ref="O25:P25"/>
    <mergeCell ref="O26:P26"/>
    <mergeCell ref="O27:P27"/>
    <mergeCell ref="O22:P22"/>
    <mergeCell ref="O23:P23"/>
    <mergeCell ref="O24:P24"/>
    <mergeCell ref="O19:P19"/>
    <mergeCell ref="O20:P20"/>
    <mergeCell ref="O21:P21"/>
    <mergeCell ref="O16:P16"/>
    <mergeCell ref="O17:P17"/>
    <mergeCell ref="O18:P18"/>
    <mergeCell ref="O13:P13"/>
    <mergeCell ref="O14:P14"/>
    <mergeCell ref="O15:P15"/>
    <mergeCell ref="O10:P10"/>
    <mergeCell ref="O11:P11"/>
    <mergeCell ref="O12:P12"/>
    <mergeCell ref="O7:P7"/>
    <mergeCell ref="O8:P8"/>
    <mergeCell ref="O9:P9"/>
    <mergeCell ref="X4:X5"/>
    <mergeCell ref="D5:I5"/>
    <mergeCell ref="J5:K5"/>
    <mergeCell ref="L5:M5"/>
    <mergeCell ref="N5:U5"/>
    <mergeCell ref="A6:K6"/>
    <mergeCell ref="L6:M6"/>
    <mergeCell ref="N6:U6"/>
    <mergeCell ref="A4:C4"/>
    <mergeCell ref="D4:I4"/>
    <mergeCell ref="J4:K4"/>
    <mergeCell ref="L4:M4"/>
    <mergeCell ref="N4:U4"/>
    <mergeCell ref="W4:W5"/>
    <mergeCell ref="X1:X2"/>
    <mergeCell ref="F2:I2"/>
    <mergeCell ref="L2:M2"/>
    <mergeCell ref="N2:U2"/>
    <mergeCell ref="F3:I3"/>
    <mergeCell ref="L3:M3"/>
    <mergeCell ref="N3:U3"/>
    <mergeCell ref="W1:W2"/>
    <mergeCell ref="A1:E3"/>
    <mergeCell ref="F1:I1"/>
    <mergeCell ref="J1:K3"/>
    <mergeCell ref="L1:M1"/>
    <mergeCell ref="N1:U1"/>
  </mergeCells>
  <conditionalFormatting sqref="Q8:Q57">
    <cfRule type="containsText" dxfId="12" priority="6" stopIfTrue="1" operator="containsText" text="Yes">
      <formula>NOT(ISERROR(SEARCH("Yes",Q8)))</formula>
    </cfRule>
  </conditionalFormatting>
  <conditionalFormatting sqref="C8:C47">
    <cfRule type="cellIs" dxfId="11" priority="5" stopIfTrue="1" operator="greaterThan">
      <formula>1</formula>
    </cfRule>
  </conditionalFormatting>
  <conditionalFormatting sqref="N8:N57">
    <cfRule type="expression" dxfId="10" priority="4">
      <formula>AA8="Enter"</formula>
    </cfRule>
  </conditionalFormatting>
  <conditionalFormatting sqref="D8:D57">
    <cfRule type="containsText" dxfId="9" priority="1" operator="containsText" text="63mm PS Privacy Blind">
      <formula>NOT(ISERROR(SEARCH("63mm PS Privacy Blind",D8)))</formula>
    </cfRule>
    <cfRule type="containsText" dxfId="8" priority="3" operator="containsText" text="50mm PS Privacy Blind">
      <formula>NOT(ISERROR(SEARCH("50mm PS Privacy Blind",D8)))</formula>
    </cfRule>
  </conditionalFormatting>
  <conditionalFormatting sqref="N6:U6">
    <cfRule type="notContainsBlanks" dxfId="7" priority="2">
      <formula>LEN(TRIM(N6))&gt;0</formula>
    </cfRule>
  </conditionalFormatting>
  <dataValidations disablePrompts="1" count="17">
    <dataValidation allowBlank="1" sqref="W1:X57" xr:uid="{A672CE25-00DB-45FB-8C32-1F12F2DE8C7E}"/>
    <dataValidation type="list" allowBlank="1" showInputMessage="1" showErrorMessage="1" errorTitle="Invalid Entry" error="Invalid Entry" sqref="N8:N57" xr:uid="{A7792DA0-0604-4A30-9C87-96AE378A6982}">
      <formula1>HoldDown</formula1>
    </dataValidation>
    <dataValidation type="whole" errorStyle="warning" allowBlank="1" showInputMessage="1" showErrorMessage="1" errorTitle="Invalid Entry" error="Maximum Cut Out Width is 130mm." sqref="S8:S57 U8:U57" xr:uid="{94A94B6D-AA56-4532-AC51-629773C5F176}">
      <formula1>0</formula1>
      <formula2>130</formula2>
    </dataValidation>
    <dataValidation type="list" allowBlank="1" showInputMessage="1" showErrorMessage="1" errorTitle="Invalid Entry" error="Invalid Entry" sqref="H8:H57" xr:uid="{531A66D1-503A-4AA4-8B74-9D696432BF36}">
      <formula1>WindowType</formula1>
    </dataValidation>
    <dataValidation type="whole" errorStyle="warning" allowBlank="1" showInputMessage="1" showErrorMessage="1" errorTitle="Be Aware" error="The Minimum Height/Drop is 200mm._x000a__x000a_The Maximum Standard Height/Drop is 3000mm. _x000a__x000a_The Maximum Cordless or Timber Height/Drop is 2400mm. " sqref="G8:G57" xr:uid="{2564137C-1010-4AF6-890C-95327A92D6B7}">
      <formula1>200</formula1>
      <formula2>3000</formula2>
    </dataValidation>
    <dataValidation type="whole" errorStyle="warning" allowBlank="1" showInputMessage="1" showErrorMessage="1" errorTitle="Be Aware" error="The Minimum Width is 222mm._x000a__x000a_The Maximum Standard Width is 3000mm. _x000a__x000a_The Maximum Cordless or Timber Width is 2400mm. _x000a__x000a_All openings over the Maximum Widths will require Multiple Blinds." sqref="F8:F57" xr:uid="{5298A51C-E0CB-4376-BAA3-C416AA11AA0B}">
      <formula1>222</formula1>
      <formula2>3000</formula2>
    </dataValidation>
    <dataValidation type="list" allowBlank="1" showInputMessage="1" showErrorMessage="1" errorTitle="Invalid Entry" error="Invalid Entry" sqref="Q8:Q57" xr:uid="{FB181BF8-12E1-4A38-BE1E-B4CF469B1C6A}">
      <formula1>"No, Yes"</formula1>
    </dataValidation>
    <dataValidation type="list" allowBlank="1" showInputMessage="1" showErrorMessage="1" errorTitle="Invalid Entry" error="Invalid Entry" sqref="D8:D57" xr:uid="{CFADE064-B7D4-425A-ADC7-11CA4BB97C2C}">
      <formula1>IVBAluminiumProduct</formula1>
    </dataValidation>
    <dataValidation allowBlank="1" showInputMessage="1" showErrorMessage="1" errorTitle="Invalid Entry" error="Please select from List!" sqref="R8:R57 T8:T57" xr:uid="{9408A4C2-BECE-4DB9-B1B9-3AEEFFEDAF71}"/>
    <dataValidation type="list" errorStyle="warning" allowBlank="1" showInputMessage="1" showErrorMessage="1" errorTitle="Invalid Entry" error="This is not a standard colour._x000a_Please select from List!" sqref="J8:J57" xr:uid="{E232B8CA-78BB-4EE6-8A14-9DF6186D605A}">
      <formula1>"NAM, ACT"</formula1>
    </dataValidation>
    <dataValidation type="list" allowBlank="1" showInputMessage="1" showErrorMessage="1" sqref="I8:I57" xr:uid="{A4342484-5939-456B-8925-4966494EA928}">
      <formula1>"Face Fit, Recess Fit"</formula1>
    </dataValidation>
    <dataValidation allowBlank="1" showInputMessage="1" errorTitle="Invalid Enrty" error="Please select from List!" sqref="V8:V57" xr:uid="{CD05FDE2-C3B9-4BC9-B60F-F3D921BA5211}"/>
    <dataValidation type="list" allowBlank="1" showInputMessage="1" showErrorMessage="1" errorTitle="Invalid Entry" error="Invalid Entry" sqref="E8:E57" xr:uid="{D52A5A34-BD3E-4994-89C8-BDEF8596582F}">
      <formula1>INDIRECT(SUBSTITUTE(BC8," ","_"))</formula1>
    </dataValidation>
    <dataValidation type="list" allowBlank="1" showInputMessage="1" showErrorMessage="1" errorTitle="Invalid Entry" error="Invalid Entry" sqref="K8:K57" xr:uid="{009B7CA5-0640-4923-A3DE-293D0001CB42}">
      <formula1>INDIRECT(SUBSTITUTE(BB8," ","_"))</formula1>
    </dataValidation>
    <dataValidation type="list" allowBlank="1" showInputMessage="1" showErrorMessage="1" errorTitle="Invalid Entry" error="Invalid Entry" sqref="L8:L57" xr:uid="{EB6C6BC1-70C4-490C-BD0B-338B2B0F5747}">
      <formula1>INDIRECT(SUBSTITUTE(BY8," ","_"))</formula1>
    </dataValidation>
    <dataValidation type="list" allowBlank="1" showInputMessage="1" showErrorMessage="1" errorTitle="Invalid Entry" error="Invalid Entry" sqref="M8:M57" xr:uid="{173DE045-A00C-4369-8B7C-D6748D4E653B}">
      <formula1>INDIRECT(SUBSTITUTE(CF8," ","_"))</formula1>
    </dataValidation>
    <dataValidation type="list" allowBlank="1" showInputMessage="1" showErrorMessage="1" errorTitle="Invalid Entry" error="Invalid Entry" sqref="O8:P57" xr:uid="{4094D240-BC39-4EB2-B394-1080897A2D57}">
      <formula1>INDIRECT(SUBSTITUTE(CG8," ","_"))</formula1>
    </dataValidation>
  </dataValidations>
  <printOptions horizontalCentered="1"/>
  <pageMargins left="0.23622047244094491" right="0.23622047244094491" top="0.23622047244094491" bottom="0.23622047244094491" header="0.19685039370078741" footer="0.19685039370078741"/>
  <pageSetup paperSize="9" scale="37" fitToHeight="2"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8E615-55A6-4305-BFE8-A4264944689D}">
  <sheetPr>
    <tabColor theme="1"/>
    <pageSetUpPr fitToPage="1"/>
  </sheetPr>
  <dimension ref="A1:BZ58"/>
  <sheetViews>
    <sheetView view="pageBreakPreview" zoomScale="85" zoomScaleSheetLayoutView="85" workbookViewId="0">
      <selection activeCell="B8" sqref="B8"/>
    </sheetView>
  </sheetViews>
  <sheetFormatPr defaultRowHeight="15"/>
  <cols>
    <col min="1" max="1" width="7.140625" style="390" customWidth="1"/>
    <col min="2" max="2" width="13" style="390" customWidth="1"/>
    <col min="3" max="3" width="9.5703125" style="390" customWidth="1"/>
    <col min="4" max="4" width="34.7109375" style="390" customWidth="1"/>
    <col min="5" max="5" width="29.5703125" style="390" customWidth="1"/>
    <col min="6" max="6" width="13" style="390" customWidth="1"/>
    <col min="7" max="7" width="12.42578125" style="390" customWidth="1"/>
    <col min="8" max="8" width="15.28515625" style="390" hidden="1" customWidth="1"/>
    <col min="9" max="9" width="17.42578125" style="390" customWidth="1"/>
    <col min="10" max="10" width="10.42578125" style="390" customWidth="1"/>
    <col min="11" max="11" width="4.28515625" style="390" customWidth="1"/>
    <col min="12" max="13" width="20.85546875" style="390" customWidth="1"/>
    <col min="14" max="14" width="14" style="390" customWidth="1"/>
    <col min="15" max="15" width="7.140625" style="390" customWidth="1"/>
    <col min="16" max="16" width="6.140625" style="390" customWidth="1"/>
    <col min="17" max="17" width="15.28515625" style="390" customWidth="1"/>
    <col min="18" max="18" width="15.140625" style="390" hidden="1" customWidth="1"/>
    <col min="19" max="20" width="14.7109375" style="390" hidden="1" customWidth="1"/>
    <col min="21" max="21" width="16.28515625" style="390" hidden="1" customWidth="1"/>
    <col min="22" max="22" width="14.42578125" style="390" customWidth="1"/>
    <col min="23" max="23" width="40.42578125" style="390" customWidth="1"/>
    <col min="24" max="24" width="15.42578125" style="390" customWidth="1"/>
    <col min="25" max="25" width="47.5703125" style="390" hidden="1" customWidth="1"/>
    <col min="26" max="28" width="9.140625" style="384" hidden="1" customWidth="1"/>
    <col min="29" max="30" width="46.85546875" style="384" hidden="1" customWidth="1"/>
    <col min="31" max="42" width="9.140625" style="384" hidden="1" customWidth="1"/>
    <col min="43" max="45" width="32.85546875" style="384" hidden="1" customWidth="1"/>
    <col min="46" max="46" width="31.85546875" style="384" hidden="1" customWidth="1"/>
    <col min="47" max="47" width="9.140625" style="384" hidden="1" customWidth="1"/>
    <col min="48" max="48" width="13.5703125" style="384" hidden="1" customWidth="1"/>
    <col min="49" max="49" width="24" style="384" hidden="1" customWidth="1"/>
    <col min="50" max="52" width="9.140625" style="384" hidden="1" customWidth="1"/>
    <col min="53" max="53" width="29.42578125" style="384" hidden="1" customWidth="1"/>
    <col min="54" max="55" width="35.140625" style="384" hidden="1" customWidth="1"/>
    <col min="56" max="58" width="9.140625" style="384" hidden="1" customWidth="1"/>
    <col min="59" max="59" width="20.5703125" style="384" hidden="1" customWidth="1"/>
    <col min="60" max="60" width="19" style="384" hidden="1" customWidth="1"/>
    <col min="61" max="63" width="9.140625" style="384" hidden="1" customWidth="1"/>
    <col min="64" max="65" width="23.5703125" style="384" hidden="1" customWidth="1"/>
    <col min="66" max="78" width="9.140625" style="384" hidden="1" customWidth="1"/>
    <col min="79" max="79" width="9.140625" style="384" customWidth="1"/>
    <col min="80" max="16384" width="9.140625" style="384"/>
  </cols>
  <sheetData>
    <row r="1" spans="1:68" ht="26.25">
      <c r="A1" s="657"/>
      <c r="B1" s="658"/>
      <c r="C1" s="658"/>
      <c r="D1" s="658"/>
      <c r="E1" s="658"/>
      <c r="F1" s="817" t="s">
        <v>2387</v>
      </c>
      <c r="G1" s="818"/>
      <c r="H1" s="818"/>
      <c r="I1" s="819"/>
      <c r="J1" s="666"/>
      <c r="K1" s="666"/>
      <c r="L1" s="617" t="s">
        <v>0</v>
      </c>
      <c r="M1" s="617"/>
      <c r="N1" s="618">
        <f>Summary!D3</f>
        <v>0</v>
      </c>
      <c r="O1" s="618"/>
      <c r="P1" s="618"/>
      <c r="Q1" s="618"/>
      <c r="R1" s="618"/>
      <c r="S1" s="618"/>
      <c r="T1" s="618"/>
      <c r="U1" s="618"/>
      <c r="V1" s="618"/>
      <c r="W1" s="618"/>
      <c r="X1" s="816"/>
      <c r="Y1" s="615"/>
    </row>
    <row r="2" spans="1:68" ht="19.5" customHeight="1">
      <c r="A2" s="659"/>
      <c r="B2" s="660"/>
      <c r="C2" s="660"/>
      <c r="D2" s="660"/>
      <c r="E2" s="660"/>
      <c r="F2" s="820"/>
      <c r="G2" s="821"/>
      <c r="H2" s="821"/>
      <c r="I2" s="822"/>
      <c r="J2" s="666"/>
      <c r="K2" s="666"/>
      <c r="L2" s="617" t="s">
        <v>141</v>
      </c>
      <c r="M2" s="617"/>
      <c r="N2" s="623">
        <f>Summary!D6</f>
        <v>0</v>
      </c>
      <c r="O2" s="623"/>
      <c r="P2" s="623"/>
      <c r="Q2" s="623"/>
      <c r="R2" s="623"/>
      <c r="S2" s="623"/>
      <c r="T2" s="623"/>
      <c r="U2" s="623"/>
      <c r="V2" s="623"/>
      <c r="W2" s="623"/>
      <c r="X2" s="816"/>
      <c r="Y2" s="615"/>
    </row>
    <row r="3" spans="1:68" ht="18" customHeight="1">
      <c r="A3" s="661"/>
      <c r="B3" s="662"/>
      <c r="C3" s="662"/>
      <c r="D3" s="662"/>
      <c r="E3" s="662"/>
      <c r="F3" s="644"/>
      <c r="G3" s="645"/>
      <c r="H3" s="645"/>
      <c r="I3" s="646"/>
      <c r="J3" s="666"/>
      <c r="K3" s="666"/>
      <c r="L3" s="617" t="s">
        <v>143</v>
      </c>
      <c r="M3" s="617"/>
      <c r="N3" s="647">
        <f>Summary!D4</f>
        <v>0</v>
      </c>
      <c r="O3" s="647"/>
      <c r="P3" s="647"/>
      <c r="Q3" s="647"/>
      <c r="R3" s="647"/>
      <c r="S3" s="647"/>
      <c r="T3" s="647"/>
      <c r="U3" s="647"/>
      <c r="V3" s="647"/>
      <c r="W3" s="647"/>
      <c r="X3" s="386"/>
      <c r="Y3" s="387"/>
    </row>
    <row r="4" spans="1:68" ht="17.25" customHeight="1">
      <c r="A4" s="667" t="s">
        <v>452</v>
      </c>
      <c r="B4" s="667"/>
      <c r="C4" s="667"/>
      <c r="D4" s="633"/>
      <c r="E4" s="634"/>
      <c r="F4" s="634"/>
      <c r="G4" s="634"/>
      <c r="H4" s="634"/>
      <c r="I4" s="635"/>
      <c r="J4" s="653" t="s">
        <v>1036</v>
      </c>
      <c r="K4" s="653"/>
      <c r="L4" s="617" t="s">
        <v>978</v>
      </c>
      <c r="M4" s="617"/>
      <c r="N4" s="623">
        <f>Summary!D7</f>
        <v>0</v>
      </c>
      <c r="O4" s="623"/>
      <c r="P4" s="623"/>
      <c r="Q4" s="623"/>
      <c r="R4" s="623"/>
      <c r="S4" s="623"/>
      <c r="T4" s="623"/>
      <c r="U4" s="623"/>
      <c r="V4" s="623"/>
      <c r="W4" s="623"/>
      <c r="X4" s="816"/>
      <c r="Y4" s="616"/>
    </row>
    <row r="5" spans="1:68" ht="17.25" customHeight="1">
      <c r="A5" s="96" t="s">
        <v>2526</v>
      </c>
      <c r="B5" s="388"/>
      <c r="C5" s="388"/>
      <c r="D5" s="625"/>
      <c r="E5" s="626"/>
      <c r="F5" s="626"/>
      <c r="G5" s="626"/>
      <c r="H5" s="626"/>
      <c r="I5" s="627"/>
      <c r="J5" s="654">
        <v>5</v>
      </c>
      <c r="K5" s="654"/>
      <c r="L5" s="617" t="s">
        <v>144</v>
      </c>
      <c r="M5" s="617"/>
      <c r="N5" s="628">
        <f>Summary!D8</f>
        <v>0</v>
      </c>
      <c r="O5" s="628"/>
      <c r="P5" s="628"/>
      <c r="Q5" s="628"/>
      <c r="R5" s="628"/>
      <c r="S5" s="628"/>
      <c r="T5" s="628"/>
      <c r="U5" s="628"/>
      <c r="V5" s="628"/>
      <c r="W5" s="628"/>
      <c r="X5" s="816"/>
      <c r="Y5" s="616"/>
    </row>
    <row r="6" spans="1:68" ht="15.75" thickBot="1">
      <c r="A6" s="655" t="s">
        <v>723</v>
      </c>
      <c r="B6" s="655"/>
      <c r="C6" s="655"/>
      <c r="D6" s="655"/>
      <c r="E6" s="655"/>
      <c r="F6" s="655"/>
      <c r="G6" s="655"/>
      <c r="H6" s="655"/>
      <c r="I6" s="655"/>
      <c r="J6" s="655"/>
      <c r="K6" s="656"/>
      <c r="L6" s="649" t="s">
        <v>654</v>
      </c>
      <c r="M6" s="649"/>
      <c r="N6" s="823" t="str">
        <f>AC18</f>
        <v/>
      </c>
      <c r="O6" s="824"/>
      <c r="P6" s="824"/>
      <c r="Q6" s="824"/>
      <c r="R6" s="824"/>
      <c r="S6" s="824"/>
      <c r="T6" s="824"/>
      <c r="U6" s="825"/>
      <c r="V6" s="493"/>
      <c r="Y6" s="391"/>
      <c r="AW6" s="33" t="s">
        <v>2349</v>
      </c>
    </row>
    <row r="7" spans="1:68" ht="48.75" customHeight="1" thickTop="1" thickBot="1">
      <c r="A7" s="392" t="s">
        <v>146</v>
      </c>
      <c r="B7" s="393" t="s">
        <v>147</v>
      </c>
      <c r="C7" s="67" t="s">
        <v>726</v>
      </c>
      <c r="D7" s="67" t="s">
        <v>2360</v>
      </c>
      <c r="E7" s="67" t="s">
        <v>2361</v>
      </c>
      <c r="F7" s="393" t="s">
        <v>148</v>
      </c>
      <c r="G7" s="394" t="s">
        <v>149</v>
      </c>
      <c r="H7" s="487" t="s">
        <v>14</v>
      </c>
      <c r="I7" s="69" t="s">
        <v>2362</v>
      </c>
      <c r="J7" s="636" t="s">
        <v>13</v>
      </c>
      <c r="K7" s="637"/>
      <c r="L7" s="68" t="s">
        <v>2355</v>
      </c>
      <c r="M7" s="67" t="s">
        <v>2356</v>
      </c>
      <c r="N7" s="67" t="s">
        <v>2357</v>
      </c>
      <c r="O7" s="590" t="s">
        <v>2358</v>
      </c>
      <c r="P7" s="639"/>
      <c r="Q7" s="68" t="s">
        <v>2359</v>
      </c>
      <c r="R7" s="393" t="s">
        <v>4</v>
      </c>
      <c r="S7" s="393" t="s">
        <v>5</v>
      </c>
      <c r="T7" s="393" t="s">
        <v>6</v>
      </c>
      <c r="U7" s="393" t="s">
        <v>7</v>
      </c>
      <c r="V7" s="67" t="s">
        <v>162</v>
      </c>
      <c r="W7" s="396" t="s">
        <v>203</v>
      </c>
      <c r="X7" s="397"/>
      <c r="Y7" s="397"/>
      <c r="AH7" s="384" t="s">
        <v>1081</v>
      </c>
      <c r="AS7" s="33" t="s">
        <v>2347</v>
      </c>
      <c r="AT7" s="33" t="s">
        <v>2348</v>
      </c>
      <c r="AU7" s="33" t="s">
        <v>2350</v>
      </c>
      <c r="AW7" s="33" t="s">
        <v>2351</v>
      </c>
      <c r="AX7" s="33" t="s">
        <v>2352</v>
      </c>
      <c r="BA7" s="33" t="s">
        <v>2360</v>
      </c>
      <c r="BB7" s="33" t="s">
        <v>2380</v>
      </c>
      <c r="BC7" s="33" t="s">
        <v>2381</v>
      </c>
      <c r="BD7" s="33" t="s">
        <v>2355</v>
      </c>
      <c r="BF7" s="33" t="s">
        <v>2362</v>
      </c>
      <c r="BG7" s="33" t="s">
        <v>2371</v>
      </c>
      <c r="BH7" s="33" t="s">
        <v>2372</v>
      </c>
      <c r="BI7" s="33" t="s">
        <v>2373</v>
      </c>
      <c r="BK7" s="33" t="s">
        <v>2377</v>
      </c>
      <c r="BL7" s="33" t="s">
        <v>2378</v>
      </c>
      <c r="BM7" s="33" t="s">
        <v>2379</v>
      </c>
      <c r="BN7" s="33" t="s">
        <v>2382</v>
      </c>
      <c r="BP7" s="33" t="s">
        <v>2385</v>
      </c>
    </row>
    <row r="8" spans="1:68" ht="30" customHeight="1" thickTop="1">
      <c r="A8" s="398">
        <v>1</v>
      </c>
      <c r="B8" s="399"/>
      <c r="C8" s="399"/>
      <c r="D8" s="399"/>
      <c r="E8" s="400"/>
      <c r="F8" s="401"/>
      <c r="G8" s="401"/>
      <c r="H8" s="402"/>
      <c r="I8" s="402"/>
      <c r="J8" s="640"/>
      <c r="K8" s="641"/>
      <c r="L8" s="486"/>
      <c r="M8" s="403"/>
      <c r="N8" s="403"/>
      <c r="O8" s="642"/>
      <c r="P8" s="643"/>
      <c r="Q8" s="404"/>
      <c r="R8" s="400"/>
      <c r="S8" s="400"/>
      <c r="T8" s="400"/>
      <c r="U8" s="400"/>
      <c r="V8" s="494" t="str">
        <f>IF(SUM(F8)=0,"",SUM(((F8*G8)/1000000)))</f>
        <v/>
      </c>
      <c r="W8" s="405"/>
      <c r="X8" s="406"/>
      <c r="Y8" s="407"/>
      <c r="AB8" s="384" t="str">
        <f>IF(AND(C8&gt;0,N8=""),"Enter","OK")</f>
        <v>OK</v>
      </c>
      <c r="AC8" s="384" t="str">
        <f>IF(COUNTIF($H$8:$H$57,Data!KF3),Data!KG3,"")</f>
        <v/>
      </c>
      <c r="AD8" s="384" t="str">
        <f>IF(SUM(--ISNUMBER(SEARCH({"Bay","Corner"}, H8:H17))),"Yes","No")</f>
        <v>No</v>
      </c>
      <c r="AE8" s="384" t="str">
        <f>IF(V8="","",IF(V8&gt;15,"Yes","No"))</f>
        <v/>
      </c>
      <c r="AH8" s="384" t="b">
        <f>IF(D8=Data!$OL$3,Data!$AP$1, IF(D8=Data!$OL$4,Data!$AP$1, IF(D8=Data!$OL$5,Data!$AQ$1, IF(D8=Data!$OL$6,Data!$AQ$1, IF(D8=Data!$OL$7,Data!$AR$1)))))</f>
        <v>0</v>
      </c>
      <c r="AQ8" s="485" t="s">
        <v>360</v>
      </c>
      <c r="AR8" s="485" t="str">
        <f>$AT$7</f>
        <v>CordlockYesCordless</v>
      </c>
      <c r="AS8" s="33" t="s">
        <v>21</v>
      </c>
      <c r="AT8" s="33" t="s">
        <v>21</v>
      </c>
      <c r="AU8" s="384" t="e">
        <f>VLOOKUP(D8,$AQ$8:$AR$12,2,FALSE)</f>
        <v>#N/A</v>
      </c>
      <c r="AW8" s="33" t="s">
        <v>2353</v>
      </c>
      <c r="AX8" s="384" t="str">
        <f>IF(L8=$AW$6,$AW$7,$AS$7)</f>
        <v>CordlockNoCordless</v>
      </c>
      <c r="BA8" s="33" t="s">
        <v>2363</v>
      </c>
      <c r="BB8" s="33" t="str">
        <f>$BP$7</f>
        <v>Cprofile</v>
      </c>
      <c r="BC8" s="33" t="str">
        <f>$BL$7</f>
        <v>CCRColours</v>
      </c>
      <c r="BD8" s="384" t="s">
        <v>21</v>
      </c>
      <c r="BF8" s="33" t="s">
        <v>27</v>
      </c>
      <c r="BG8" s="33" t="s">
        <v>2369</v>
      </c>
      <c r="BH8" s="384" t="s">
        <v>2370</v>
      </c>
      <c r="BI8" s="384" t="e">
        <f>VLOOKUP(D8,$BA$8:$BB$12,2,FALSE)</f>
        <v>#N/A</v>
      </c>
      <c r="BK8" s="33" t="s">
        <v>2374</v>
      </c>
      <c r="BL8" s="33" t="s">
        <v>2383</v>
      </c>
      <c r="BM8" s="33" t="s">
        <v>2384</v>
      </c>
      <c r="BN8" s="384" t="e">
        <f>VLOOKUP(D8,$BA$8:$BC$12,3,FALSE)</f>
        <v>#N/A</v>
      </c>
      <c r="BP8" s="33" t="s">
        <v>2369</v>
      </c>
    </row>
    <row r="9" spans="1:68" ht="30" customHeight="1">
      <c r="A9" s="408">
        <v>2</v>
      </c>
      <c r="B9" s="409"/>
      <c r="C9" s="410"/>
      <c r="D9" s="410"/>
      <c r="E9" s="13"/>
      <c r="F9" s="411"/>
      <c r="G9" s="411"/>
      <c r="H9" s="411"/>
      <c r="I9" s="411"/>
      <c r="J9" s="668"/>
      <c r="K9" s="669"/>
      <c r="L9" s="412"/>
      <c r="M9" s="412"/>
      <c r="N9" s="412"/>
      <c r="O9" s="670"/>
      <c r="P9" s="671"/>
      <c r="Q9" s="409"/>
      <c r="R9" s="409"/>
      <c r="S9" s="409"/>
      <c r="T9" s="409"/>
      <c r="U9" s="409"/>
      <c r="V9" s="494" t="str">
        <f t="shared" ref="V9:V57" si="0">IF(SUM(F9)=0,"",SUM(((F9*G9)/1000000)))</f>
        <v/>
      </c>
      <c r="W9" s="413"/>
      <c r="X9" s="406"/>
      <c r="Y9" s="407"/>
      <c r="AB9" s="384" t="str">
        <f t="shared" ref="AB9:AB57" si="1">IF(AND(C9&gt;0,N9=""),"Enter","OK")</f>
        <v>OK</v>
      </c>
      <c r="AC9" s="384" t="str">
        <f>IF(COUNTIF($H$8:$H$57,Data!KF4),Data!KG4,"")</f>
        <v/>
      </c>
      <c r="AE9" s="384" t="str">
        <f t="shared" ref="AE9:AE57" si="2">IF(V9="","",IF(V9&gt;15,"Yes","No"))</f>
        <v/>
      </c>
      <c r="AH9" s="384" t="b">
        <f>IF(D9=Data!$OL$3,Data!$AP$1, IF(D9=Data!$OL$4,Data!$AP$1, IF(D9=Data!$OL$5,Data!$AQ$1, IF(D9=Data!$OL$6,Data!$AQ$1, IF(D9=Data!$OL$7,Data!$AR$1)))))</f>
        <v>0</v>
      </c>
      <c r="AQ9" s="485" t="s">
        <v>361</v>
      </c>
      <c r="AR9" s="485" t="str">
        <f>$AS$7</f>
        <v>CordlockNoCordless</v>
      </c>
      <c r="AS9" s="33" t="s">
        <v>28</v>
      </c>
      <c r="AT9" s="33" t="s">
        <v>28</v>
      </c>
      <c r="AU9" s="384" t="e">
        <f t="shared" ref="AU9:AU57" si="3">VLOOKUP(D9,$AQ$8:$AR$12,2,FALSE)</f>
        <v>#N/A</v>
      </c>
      <c r="AW9" s="33" t="s">
        <v>2354</v>
      </c>
      <c r="AX9" s="384" t="str">
        <f t="shared" ref="AX9:AX57" si="4">IF(L9=$AW$6,$AW$7,$AS$7)</f>
        <v>CordlockNoCordless</v>
      </c>
      <c r="BA9" s="33" t="s">
        <v>2364</v>
      </c>
      <c r="BB9" s="33" t="str">
        <f>$BP$7</f>
        <v>Cprofile</v>
      </c>
      <c r="BC9" s="33" t="str">
        <f>$BL$7</f>
        <v>CCRColours</v>
      </c>
      <c r="BD9" s="384" t="s">
        <v>28</v>
      </c>
      <c r="BF9" s="33" t="s">
        <v>2368</v>
      </c>
      <c r="BG9" s="384" t="s">
        <v>2370</v>
      </c>
      <c r="BI9" s="384" t="e">
        <f t="shared" ref="BI9:BI57" si="5">VLOOKUP(D9,$BA$8:$BB$12,2,FALSE)</f>
        <v>#N/A</v>
      </c>
      <c r="BK9" s="33" t="s">
        <v>2375</v>
      </c>
      <c r="BL9" s="33" t="s">
        <v>2384</v>
      </c>
      <c r="BN9" s="384" t="e">
        <f t="shared" ref="BN9:BN58" si="6">VLOOKUP(D9,$BA$8:$BC$12,3,FALSE)</f>
        <v>#N/A</v>
      </c>
    </row>
    <row r="10" spans="1:68" ht="30" customHeight="1">
      <c r="A10" s="414">
        <v>3</v>
      </c>
      <c r="B10" s="410"/>
      <c r="C10" s="410"/>
      <c r="D10" s="410"/>
      <c r="E10" s="409"/>
      <c r="F10" s="411"/>
      <c r="G10" s="411"/>
      <c r="H10" s="411"/>
      <c r="I10" s="411"/>
      <c r="J10" s="668"/>
      <c r="K10" s="669"/>
      <c r="L10" s="412"/>
      <c r="M10" s="412"/>
      <c r="N10" s="412"/>
      <c r="O10" s="670"/>
      <c r="P10" s="671"/>
      <c r="Q10" s="409"/>
      <c r="R10" s="409"/>
      <c r="S10" s="409"/>
      <c r="T10" s="409"/>
      <c r="U10" s="409"/>
      <c r="V10" s="494" t="str">
        <f t="shared" si="0"/>
        <v/>
      </c>
      <c r="W10" s="413"/>
      <c r="X10" s="406"/>
      <c r="Y10" s="407"/>
      <c r="AB10" s="384" t="str">
        <f t="shared" si="1"/>
        <v>OK</v>
      </c>
      <c r="AC10" s="384" t="str">
        <f>IF(COUNTIF($H$8:$H$57,Data!KF5),Data!KG5,"")</f>
        <v/>
      </c>
      <c r="AE10" s="384" t="str">
        <f t="shared" si="2"/>
        <v/>
      </c>
      <c r="AH10" s="384" t="b">
        <f>IF(D10=Data!$OL$3,Data!$AP$1, IF(D10=Data!$OL$4,Data!$AP$1, IF(D10=Data!$OL$5,Data!$AQ$1, IF(D10=Data!$OL$6,Data!$AQ$1, IF(D10=Data!$OL$7,Data!$AR$1)))))</f>
        <v>0</v>
      </c>
      <c r="AQ10" s="485" t="s">
        <v>359</v>
      </c>
      <c r="AR10" s="485" t="str">
        <f>$AS$7</f>
        <v>CordlockNoCordless</v>
      </c>
      <c r="AT10" s="33" t="s">
        <v>2349</v>
      </c>
      <c r="AU10" s="384" t="e">
        <f t="shared" si="3"/>
        <v>#N/A</v>
      </c>
      <c r="AX10" s="384" t="str">
        <f t="shared" si="4"/>
        <v>CordlockNoCordless</v>
      </c>
      <c r="BA10" s="33" t="s">
        <v>2365</v>
      </c>
      <c r="BB10" s="33" t="str">
        <f>$BG$7</f>
        <v>CCRProfileGuideOption</v>
      </c>
      <c r="BC10" s="33" t="str">
        <f>$BL$7</f>
        <v>CCRColours</v>
      </c>
      <c r="BD10" s="384" t="s">
        <v>350</v>
      </c>
      <c r="BI10" s="384" t="e">
        <f t="shared" si="5"/>
        <v>#N/A</v>
      </c>
      <c r="BK10" s="33" t="s">
        <v>2376</v>
      </c>
      <c r="BN10" s="384" t="e">
        <f t="shared" si="6"/>
        <v>#N/A</v>
      </c>
    </row>
    <row r="11" spans="1:68" ht="30" customHeight="1">
      <c r="A11" s="414">
        <v>4</v>
      </c>
      <c r="B11" s="410"/>
      <c r="C11" s="410"/>
      <c r="D11" s="410"/>
      <c r="E11" s="409"/>
      <c r="F11" s="411"/>
      <c r="G11" s="411"/>
      <c r="H11" s="411"/>
      <c r="I11" s="411"/>
      <c r="J11" s="668"/>
      <c r="K11" s="669"/>
      <c r="L11" s="412"/>
      <c r="M11" s="412"/>
      <c r="N11" s="412"/>
      <c r="O11" s="670"/>
      <c r="P11" s="671"/>
      <c r="Q11" s="409"/>
      <c r="R11" s="409"/>
      <c r="S11" s="409"/>
      <c r="T11" s="409"/>
      <c r="U11" s="409"/>
      <c r="V11" s="494" t="str">
        <f t="shared" si="0"/>
        <v/>
      </c>
      <c r="W11" s="413"/>
      <c r="X11" s="406"/>
      <c r="Y11" s="407"/>
      <c r="AB11" s="384" t="str">
        <f t="shared" si="1"/>
        <v>OK</v>
      </c>
      <c r="AC11" s="384" t="str">
        <f>IF(COUNTIF($H$8:$H$57,Data!KF6),Data!KG6,"")</f>
        <v/>
      </c>
      <c r="AE11" s="384" t="str">
        <f t="shared" si="2"/>
        <v/>
      </c>
      <c r="AH11" s="384" t="b">
        <f>IF(D11=Data!$OL$3,Data!$AP$1, IF(D11=Data!$OL$4,Data!$AP$1, IF(D11=Data!$OL$5,Data!$AQ$1, IF(D11=Data!$OL$6,Data!$AQ$1, IF(D11=Data!$OL$7,Data!$AR$1)))))</f>
        <v>0</v>
      </c>
      <c r="AQ11" s="485" t="s">
        <v>358</v>
      </c>
      <c r="AR11" s="485" t="str">
        <f>$AS$7</f>
        <v>CordlockNoCordless</v>
      </c>
      <c r="AU11" s="384" t="e">
        <f t="shared" si="3"/>
        <v>#N/A</v>
      </c>
      <c r="AX11" s="384" t="str">
        <f t="shared" si="4"/>
        <v>CordlockNoCordless</v>
      </c>
      <c r="BA11" s="33" t="s">
        <v>2366</v>
      </c>
      <c r="BB11" s="33" t="str">
        <f>$BG$7</f>
        <v>CCRProfileGuideOption</v>
      </c>
      <c r="BC11" s="33" t="str">
        <f>$BL$7</f>
        <v>CCRColours</v>
      </c>
      <c r="BI11" s="384" t="e">
        <f t="shared" si="5"/>
        <v>#N/A</v>
      </c>
      <c r="BN11" s="384" t="e">
        <f t="shared" si="6"/>
        <v>#N/A</v>
      </c>
    </row>
    <row r="12" spans="1:68" ht="30" customHeight="1">
      <c r="A12" s="414">
        <v>5</v>
      </c>
      <c r="B12" s="410"/>
      <c r="C12" s="410"/>
      <c r="D12" s="410"/>
      <c r="E12" s="409"/>
      <c r="F12" s="411"/>
      <c r="G12" s="411"/>
      <c r="H12" s="411"/>
      <c r="I12" s="411"/>
      <c r="J12" s="668"/>
      <c r="K12" s="669"/>
      <c r="L12" s="412"/>
      <c r="M12" s="412"/>
      <c r="N12" s="412"/>
      <c r="O12" s="670"/>
      <c r="P12" s="671"/>
      <c r="Q12" s="409"/>
      <c r="R12" s="409"/>
      <c r="S12" s="409"/>
      <c r="T12" s="409"/>
      <c r="U12" s="409"/>
      <c r="V12" s="494" t="str">
        <f t="shared" si="0"/>
        <v/>
      </c>
      <c r="W12" s="413"/>
      <c r="X12" s="406"/>
      <c r="Y12" s="407"/>
      <c r="AB12" s="384" t="str">
        <f t="shared" si="1"/>
        <v>OK</v>
      </c>
      <c r="AC12" s="384" t="str">
        <f>IF(COUNTIF($H$8:$H$57,Data!KF7),Data!KG7,"")</f>
        <v/>
      </c>
      <c r="AE12" s="384" t="str">
        <f t="shared" si="2"/>
        <v/>
      </c>
      <c r="AH12" s="384" t="b">
        <f>IF(D12=Data!$OL$3,Data!$AP$1, IF(D12=Data!$OL$4,Data!$AP$1, IF(D12=Data!$OL$5,Data!$AQ$1, IF(D12=Data!$OL$6,Data!$AQ$1, IF(D12=Data!$OL$7,Data!$AR$1)))))</f>
        <v>0</v>
      </c>
      <c r="AQ12" s="485" t="s">
        <v>2283</v>
      </c>
      <c r="AR12" s="485" t="str">
        <f>$AT$7</f>
        <v>CordlockYesCordless</v>
      </c>
      <c r="AU12" s="384" t="e">
        <f t="shared" si="3"/>
        <v>#N/A</v>
      </c>
      <c r="AX12" s="384" t="str">
        <f t="shared" si="4"/>
        <v>CordlockNoCordless</v>
      </c>
      <c r="BA12" s="33" t="s">
        <v>2367</v>
      </c>
      <c r="BB12" s="33" t="str">
        <f>$BH$7</f>
        <v>ZRProfileGuideOption</v>
      </c>
      <c r="BC12" s="33" t="str">
        <f>$BM$7</f>
        <v>ZRColour</v>
      </c>
      <c r="BI12" s="384" t="e">
        <f t="shared" si="5"/>
        <v>#N/A</v>
      </c>
      <c r="BN12" s="384" t="e">
        <f t="shared" si="6"/>
        <v>#N/A</v>
      </c>
    </row>
    <row r="13" spans="1:68" ht="30" customHeight="1">
      <c r="A13" s="414">
        <v>6</v>
      </c>
      <c r="B13" s="410"/>
      <c r="C13" s="410"/>
      <c r="D13" s="410"/>
      <c r="E13" s="409"/>
      <c r="F13" s="411"/>
      <c r="G13" s="411"/>
      <c r="H13" s="411"/>
      <c r="I13" s="411"/>
      <c r="J13" s="668"/>
      <c r="K13" s="669"/>
      <c r="L13" s="412"/>
      <c r="M13" s="412"/>
      <c r="N13" s="412"/>
      <c r="O13" s="670"/>
      <c r="P13" s="671"/>
      <c r="Q13" s="409"/>
      <c r="R13" s="409"/>
      <c r="S13" s="409"/>
      <c r="T13" s="409"/>
      <c r="U13" s="409"/>
      <c r="V13" s="494" t="str">
        <f t="shared" si="0"/>
        <v/>
      </c>
      <c r="W13" s="413"/>
      <c r="X13" s="406"/>
      <c r="Y13" s="407"/>
      <c r="AB13" s="384" t="str">
        <f t="shared" si="1"/>
        <v>OK</v>
      </c>
      <c r="AC13" s="384" t="str">
        <f>IF(COUNTIF($H$8:$H$57,Data!KF8),Data!KG8,"")</f>
        <v/>
      </c>
      <c r="AE13" s="384" t="str">
        <f t="shared" si="2"/>
        <v/>
      </c>
      <c r="AH13" s="384" t="b">
        <f>IF(D13=Data!$OL$3,Data!$AP$1, IF(D13=Data!$OL$4,Data!$AP$1, IF(D13=Data!$OL$5,Data!$AQ$1, IF(D13=Data!$OL$6,Data!$AQ$1, IF(D13=Data!$OL$7,Data!$AR$1)))))</f>
        <v>0</v>
      </c>
      <c r="AU13" s="384" t="e">
        <f t="shared" si="3"/>
        <v>#N/A</v>
      </c>
      <c r="AX13" s="384" t="str">
        <f t="shared" si="4"/>
        <v>CordlockNoCordless</v>
      </c>
      <c r="BI13" s="384" t="e">
        <f t="shared" si="5"/>
        <v>#N/A</v>
      </c>
      <c r="BN13" s="384" t="e">
        <f t="shared" si="6"/>
        <v>#N/A</v>
      </c>
    </row>
    <row r="14" spans="1:68" ht="30" customHeight="1">
      <c r="A14" s="414">
        <v>7</v>
      </c>
      <c r="B14" s="410"/>
      <c r="C14" s="410"/>
      <c r="D14" s="410"/>
      <c r="E14" s="409"/>
      <c r="F14" s="411"/>
      <c r="G14" s="411"/>
      <c r="H14" s="411"/>
      <c r="I14" s="411"/>
      <c r="J14" s="668"/>
      <c r="K14" s="669"/>
      <c r="L14" s="412"/>
      <c r="M14" s="412"/>
      <c r="N14" s="412"/>
      <c r="O14" s="670"/>
      <c r="P14" s="671"/>
      <c r="Q14" s="409"/>
      <c r="R14" s="409"/>
      <c r="S14" s="409"/>
      <c r="T14" s="409"/>
      <c r="U14" s="409"/>
      <c r="V14" s="494" t="str">
        <f t="shared" si="0"/>
        <v/>
      </c>
      <c r="W14" s="413"/>
      <c r="X14" s="406"/>
      <c r="Y14" s="407"/>
      <c r="AB14" s="384" t="str">
        <f t="shared" si="1"/>
        <v>OK</v>
      </c>
      <c r="AC14" s="384" t="str">
        <f>IF(COUNTIF($H$8:$H$57,Data!KF9),Data!KG9,"")</f>
        <v/>
      </c>
      <c r="AE14" s="384" t="str">
        <f t="shared" si="2"/>
        <v/>
      </c>
      <c r="AH14" s="384" t="b">
        <f>IF(D14=Data!$OL$3,Data!$AP$1, IF(D14=Data!$OL$4,Data!$AP$1, IF(D14=Data!$OL$5,Data!$AQ$1, IF(D14=Data!$OL$6,Data!$AQ$1, IF(D14=Data!$OL$7,Data!$AR$1)))))</f>
        <v>0</v>
      </c>
      <c r="AU14" s="384" t="e">
        <f t="shared" si="3"/>
        <v>#N/A</v>
      </c>
      <c r="AX14" s="384" t="str">
        <f t="shared" si="4"/>
        <v>CordlockNoCordless</v>
      </c>
      <c r="BI14" s="384" t="e">
        <f t="shared" si="5"/>
        <v>#N/A</v>
      </c>
      <c r="BN14" s="384" t="e">
        <f t="shared" si="6"/>
        <v>#N/A</v>
      </c>
    </row>
    <row r="15" spans="1:68" ht="30" customHeight="1">
      <c r="A15" s="414">
        <v>8</v>
      </c>
      <c r="B15" s="415"/>
      <c r="C15" s="415"/>
      <c r="D15" s="410"/>
      <c r="E15" s="409"/>
      <c r="F15" s="411"/>
      <c r="G15" s="411"/>
      <c r="H15" s="411"/>
      <c r="I15" s="411"/>
      <c r="J15" s="668"/>
      <c r="K15" s="669"/>
      <c r="L15" s="412"/>
      <c r="M15" s="412"/>
      <c r="N15" s="412"/>
      <c r="O15" s="670"/>
      <c r="P15" s="671"/>
      <c r="Q15" s="409"/>
      <c r="R15" s="409"/>
      <c r="S15" s="409"/>
      <c r="T15" s="409"/>
      <c r="U15" s="409"/>
      <c r="V15" s="494" t="str">
        <f t="shared" si="0"/>
        <v/>
      </c>
      <c r="W15" s="413"/>
      <c r="X15" s="406"/>
      <c r="Y15" s="407"/>
      <c r="AB15" s="384" t="str">
        <f t="shared" si="1"/>
        <v>OK</v>
      </c>
      <c r="AC15" s="384" t="str">
        <f>IF(COUNTIF(AC8:AC14,Data!KG6),Data!KH6,"")</f>
        <v/>
      </c>
      <c r="AE15" s="384" t="str">
        <f t="shared" si="2"/>
        <v/>
      </c>
      <c r="AH15" s="384" t="b">
        <f>IF(D15=Data!$OL$3,Data!$AP$1, IF(D15=Data!$OL$4,Data!$AP$1, IF(D15=Data!$OL$5,Data!$AQ$1, IF(D15=Data!$OL$6,Data!$AQ$1, IF(D15=Data!$OL$7,Data!$AR$1)))))</f>
        <v>0</v>
      </c>
      <c r="AU15" s="384" t="e">
        <f t="shared" si="3"/>
        <v>#N/A</v>
      </c>
      <c r="AX15" s="384" t="str">
        <f t="shared" si="4"/>
        <v>CordlockNoCordless</v>
      </c>
      <c r="BI15" s="384" t="e">
        <f t="shared" si="5"/>
        <v>#N/A</v>
      </c>
      <c r="BN15" s="384" t="e">
        <f t="shared" si="6"/>
        <v>#N/A</v>
      </c>
    </row>
    <row r="16" spans="1:68" ht="30" customHeight="1">
      <c r="A16" s="414">
        <v>9</v>
      </c>
      <c r="B16" s="410"/>
      <c r="C16" s="410"/>
      <c r="D16" s="410"/>
      <c r="E16" s="409"/>
      <c r="F16" s="411"/>
      <c r="G16" s="411"/>
      <c r="H16" s="411"/>
      <c r="I16" s="411"/>
      <c r="J16" s="668"/>
      <c r="K16" s="669"/>
      <c r="L16" s="412"/>
      <c r="M16" s="412"/>
      <c r="N16" s="412"/>
      <c r="O16" s="670"/>
      <c r="P16" s="671"/>
      <c r="Q16" s="409"/>
      <c r="R16" s="409"/>
      <c r="S16" s="409"/>
      <c r="T16" s="409"/>
      <c r="U16" s="409"/>
      <c r="V16" s="494" t="str">
        <f t="shared" si="0"/>
        <v/>
      </c>
      <c r="W16" s="413"/>
      <c r="X16" s="406"/>
      <c r="Y16" s="407"/>
      <c r="AB16" s="384" t="str">
        <f t="shared" si="1"/>
        <v>OK</v>
      </c>
      <c r="AC16" s="384" t="str">
        <f>IF(COUNTIF(AC8:AC14,Data!KG7),Data!KH7,"")</f>
        <v/>
      </c>
      <c r="AE16" s="384" t="str">
        <f t="shared" si="2"/>
        <v/>
      </c>
      <c r="AH16" s="384" t="b">
        <f>IF(D16=Data!$OL$3,Data!$AP$1, IF(D16=Data!$OL$4,Data!$AP$1, IF(D16=Data!$OL$5,Data!$AQ$1, IF(D16=Data!$OL$6,Data!$AQ$1, IF(D16=Data!$OL$7,Data!$AR$1)))))</f>
        <v>0</v>
      </c>
      <c r="AU16" s="384" t="e">
        <f t="shared" si="3"/>
        <v>#N/A</v>
      </c>
      <c r="AX16" s="384" t="str">
        <f t="shared" si="4"/>
        <v>CordlockNoCordless</v>
      </c>
      <c r="BI16" s="384" t="e">
        <f t="shared" si="5"/>
        <v>#N/A</v>
      </c>
      <c r="BN16" s="384" t="e">
        <f t="shared" si="6"/>
        <v>#N/A</v>
      </c>
    </row>
    <row r="17" spans="1:66" ht="30" customHeight="1">
      <c r="A17" s="414">
        <v>10</v>
      </c>
      <c r="B17" s="410"/>
      <c r="C17" s="410"/>
      <c r="D17" s="410"/>
      <c r="E17" s="409"/>
      <c r="F17" s="411"/>
      <c r="G17" s="411"/>
      <c r="H17" s="411"/>
      <c r="I17" s="411"/>
      <c r="J17" s="668"/>
      <c r="K17" s="669"/>
      <c r="L17" s="412"/>
      <c r="M17" s="412"/>
      <c r="N17" s="412"/>
      <c r="O17" s="670"/>
      <c r="P17" s="671"/>
      <c r="Q17" s="409"/>
      <c r="R17" s="409"/>
      <c r="S17" s="409"/>
      <c r="T17" s="409"/>
      <c r="U17" s="409"/>
      <c r="V17" s="494" t="str">
        <f t="shared" si="0"/>
        <v/>
      </c>
      <c r="W17" s="413"/>
      <c r="X17" s="406"/>
      <c r="Y17" s="407"/>
      <c r="AB17" s="384" t="str">
        <f t="shared" si="1"/>
        <v>OK</v>
      </c>
      <c r="AC17" s="384" t="str">
        <f>AC15&amp;" &amp; "&amp;AC16&amp;""</f>
        <v xml:space="preserve"> &amp; </v>
      </c>
      <c r="AE17" s="384" t="str">
        <f t="shared" si="2"/>
        <v/>
      </c>
      <c r="AH17" s="384" t="b">
        <f>IF(D17=Data!$OL$3,Data!$AP$1, IF(D17=Data!$OL$4,Data!$AP$1, IF(D17=Data!$OL$5,Data!$AQ$1, IF(D17=Data!$OL$6,Data!$AQ$1, IF(D17=Data!$OL$7,Data!$AR$1)))))</f>
        <v>0</v>
      </c>
      <c r="AU17" s="384" t="e">
        <f t="shared" si="3"/>
        <v>#N/A</v>
      </c>
      <c r="AX17" s="384" t="str">
        <f t="shared" si="4"/>
        <v>CordlockNoCordless</v>
      </c>
      <c r="BI17" s="384" t="e">
        <f t="shared" si="5"/>
        <v>#N/A</v>
      </c>
      <c r="BN17" s="384" t="e">
        <f t="shared" si="6"/>
        <v>#N/A</v>
      </c>
    </row>
    <row r="18" spans="1:66" ht="30" customHeight="1">
      <c r="A18" s="414">
        <v>11</v>
      </c>
      <c r="B18" s="410"/>
      <c r="C18" s="410"/>
      <c r="D18" s="410"/>
      <c r="E18" s="409"/>
      <c r="F18" s="411"/>
      <c r="G18" s="411"/>
      <c r="H18" s="411"/>
      <c r="I18" s="411"/>
      <c r="J18" s="668"/>
      <c r="K18" s="669"/>
      <c r="L18" s="412"/>
      <c r="M18" s="412"/>
      <c r="N18" s="412"/>
      <c r="O18" s="670"/>
      <c r="P18" s="671"/>
      <c r="Q18" s="409"/>
      <c r="R18" s="409"/>
      <c r="S18" s="409"/>
      <c r="T18" s="409"/>
      <c r="U18" s="409"/>
      <c r="V18" s="494" t="str">
        <f t="shared" si="0"/>
        <v/>
      </c>
      <c r="W18" s="413"/>
      <c r="X18" s="406"/>
      <c r="Y18" s="407"/>
      <c r="AB18" s="384" t="str">
        <f t="shared" si="1"/>
        <v>OK</v>
      </c>
      <c r="AC18" s="384" t="str">
        <f>IF(AC17="Corner &amp; Bay","Corner &amp; Bay Window Diagram Must Be Supplied",IF(AC15="Corner","Corner Window Diagram Must Be Supplied",IF(AC16="Bay","Bay Window Diagram Must Be Supplied","")))</f>
        <v/>
      </c>
      <c r="AE18" s="384" t="str">
        <f t="shared" si="2"/>
        <v/>
      </c>
      <c r="AH18" s="384" t="b">
        <f>IF(D18=Data!$OL$3,Data!$AP$1, IF(D18=Data!$OL$4,Data!$AP$1, IF(D18=Data!$OL$5,Data!$AQ$1, IF(D18=Data!$OL$6,Data!$AQ$1, IF(D18=Data!$OL$7,Data!$AR$1)))))</f>
        <v>0</v>
      </c>
      <c r="AU18" s="384" t="e">
        <f t="shared" si="3"/>
        <v>#N/A</v>
      </c>
      <c r="AX18" s="384" t="str">
        <f t="shared" si="4"/>
        <v>CordlockNoCordless</v>
      </c>
      <c r="BI18" s="384" t="e">
        <f t="shared" si="5"/>
        <v>#N/A</v>
      </c>
      <c r="BN18" s="384" t="e">
        <f t="shared" si="6"/>
        <v>#N/A</v>
      </c>
    </row>
    <row r="19" spans="1:66" ht="30" customHeight="1">
      <c r="A19" s="414">
        <v>12</v>
      </c>
      <c r="B19" s="410"/>
      <c r="C19" s="410"/>
      <c r="D19" s="410"/>
      <c r="E19" s="409"/>
      <c r="F19" s="411"/>
      <c r="G19" s="411"/>
      <c r="H19" s="411"/>
      <c r="I19" s="411"/>
      <c r="J19" s="668"/>
      <c r="K19" s="669"/>
      <c r="L19" s="412"/>
      <c r="M19" s="412"/>
      <c r="N19" s="412"/>
      <c r="O19" s="670"/>
      <c r="P19" s="671"/>
      <c r="Q19" s="409"/>
      <c r="R19" s="409"/>
      <c r="S19" s="409"/>
      <c r="T19" s="409"/>
      <c r="U19" s="409"/>
      <c r="V19" s="494" t="str">
        <f t="shared" si="0"/>
        <v/>
      </c>
      <c r="W19" s="413"/>
      <c r="X19" s="406"/>
      <c r="Y19" s="407"/>
      <c r="AB19" s="384" t="str">
        <f t="shared" si="1"/>
        <v>OK</v>
      </c>
      <c r="AE19" s="384" t="str">
        <f t="shared" si="2"/>
        <v/>
      </c>
      <c r="AH19" s="384" t="b">
        <f>IF(D19=Data!$OL$3,Data!$AP$1, IF(D19=Data!$OL$4,Data!$AP$1, IF(D19=Data!$OL$5,Data!$AQ$1, IF(D19=Data!$OL$6,Data!$AQ$1, IF(D19=Data!$OL$7,Data!$AR$1)))))</f>
        <v>0</v>
      </c>
      <c r="AU19" s="384" t="e">
        <f t="shared" si="3"/>
        <v>#N/A</v>
      </c>
      <c r="AX19" s="384" t="str">
        <f t="shared" si="4"/>
        <v>CordlockNoCordless</v>
      </c>
      <c r="BI19" s="384" t="e">
        <f t="shared" si="5"/>
        <v>#N/A</v>
      </c>
      <c r="BN19" s="384" t="e">
        <f t="shared" si="6"/>
        <v>#N/A</v>
      </c>
    </row>
    <row r="20" spans="1:66" ht="30" customHeight="1">
      <c r="A20" s="414">
        <v>13</v>
      </c>
      <c r="B20" s="410"/>
      <c r="C20" s="410"/>
      <c r="D20" s="410"/>
      <c r="E20" s="409"/>
      <c r="F20" s="411"/>
      <c r="G20" s="411"/>
      <c r="H20" s="411"/>
      <c r="I20" s="411"/>
      <c r="J20" s="668"/>
      <c r="K20" s="669"/>
      <c r="L20" s="412"/>
      <c r="M20" s="412"/>
      <c r="N20" s="412"/>
      <c r="O20" s="670"/>
      <c r="P20" s="671"/>
      <c r="Q20" s="409"/>
      <c r="R20" s="409"/>
      <c r="S20" s="409"/>
      <c r="T20" s="409"/>
      <c r="U20" s="409"/>
      <c r="V20" s="494" t="str">
        <f t="shared" si="0"/>
        <v/>
      </c>
      <c r="W20" s="413"/>
      <c r="X20" s="406"/>
      <c r="Y20" s="407"/>
      <c r="AB20" s="384" t="str">
        <f t="shared" si="1"/>
        <v>OK</v>
      </c>
      <c r="AE20" s="384" t="str">
        <f t="shared" si="2"/>
        <v/>
      </c>
      <c r="AH20" s="384" t="b">
        <f>IF(D20=Data!$OL$3,Data!$AP$1, IF(D20=Data!$OL$4,Data!$AP$1, IF(D20=Data!$OL$5,Data!$AQ$1, IF(D20=Data!$OL$6,Data!$AQ$1, IF(D20=Data!$OL$7,Data!$AR$1)))))</f>
        <v>0</v>
      </c>
      <c r="AU20" s="384" t="e">
        <f t="shared" si="3"/>
        <v>#N/A</v>
      </c>
      <c r="AX20" s="384" t="str">
        <f t="shared" si="4"/>
        <v>CordlockNoCordless</v>
      </c>
      <c r="BI20" s="384" t="e">
        <f t="shared" si="5"/>
        <v>#N/A</v>
      </c>
      <c r="BN20" s="384" t="e">
        <f t="shared" si="6"/>
        <v>#N/A</v>
      </c>
    </row>
    <row r="21" spans="1:66" ht="30" customHeight="1">
      <c r="A21" s="414">
        <v>14</v>
      </c>
      <c r="B21" s="410"/>
      <c r="C21" s="410"/>
      <c r="D21" s="410"/>
      <c r="E21" s="409"/>
      <c r="F21" s="411"/>
      <c r="G21" s="411"/>
      <c r="H21" s="411"/>
      <c r="I21" s="411"/>
      <c r="J21" s="668"/>
      <c r="K21" s="669"/>
      <c r="L21" s="412"/>
      <c r="M21" s="412"/>
      <c r="N21" s="412"/>
      <c r="O21" s="670"/>
      <c r="P21" s="671"/>
      <c r="Q21" s="409"/>
      <c r="R21" s="409"/>
      <c r="S21" s="409"/>
      <c r="T21" s="409"/>
      <c r="U21" s="409"/>
      <c r="V21" s="494" t="str">
        <f t="shared" si="0"/>
        <v/>
      </c>
      <c r="W21" s="413"/>
      <c r="X21" s="406"/>
      <c r="Y21" s="407"/>
      <c r="AB21" s="384" t="str">
        <f t="shared" si="1"/>
        <v>OK</v>
      </c>
      <c r="AE21" s="384" t="str">
        <f t="shared" si="2"/>
        <v/>
      </c>
      <c r="AH21" s="384" t="b">
        <f>IF(D21=Data!$OL$3,Data!$AP$1, IF(D21=Data!$OL$4,Data!$AP$1, IF(D21=Data!$OL$5,Data!$AQ$1, IF(D21=Data!$OL$6,Data!$AQ$1, IF(D21=Data!$OL$7,Data!$AR$1)))))</f>
        <v>0</v>
      </c>
      <c r="AU21" s="384" t="e">
        <f t="shared" si="3"/>
        <v>#N/A</v>
      </c>
      <c r="AX21" s="384" t="str">
        <f t="shared" si="4"/>
        <v>CordlockNoCordless</v>
      </c>
      <c r="BI21" s="384" t="e">
        <f t="shared" si="5"/>
        <v>#N/A</v>
      </c>
      <c r="BN21" s="384" t="e">
        <f t="shared" si="6"/>
        <v>#N/A</v>
      </c>
    </row>
    <row r="22" spans="1:66" ht="30" customHeight="1">
      <c r="A22" s="414">
        <v>15</v>
      </c>
      <c r="B22" s="410"/>
      <c r="C22" s="410"/>
      <c r="D22" s="410"/>
      <c r="E22" s="409"/>
      <c r="F22" s="411"/>
      <c r="G22" s="411"/>
      <c r="H22" s="411"/>
      <c r="I22" s="411"/>
      <c r="J22" s="668"/>
      <c r="K22" s="669"/>
      <c r="L22" s="412"/>
      <c r="M22" s="412"/>
      <c r="N22" s="412"/>
      <c r="O22" s="670"/>
      <c r="P22" s="671"/>
      <c r="Q22" s="409"/>
      <c r="R22" s="409"/>
      <c r="S22" s="409"/>
      <c r="T22" s="409"/>
      <c r="U22" s="409"/>
      <c r="V22" s="494" t="str">
        <f t="shared" si="0"/>
        <v/>
      </c>
      <c r="W22" s="413"/>
      <c r="X22" s="406"/>
      <c r="Y22" s="407"/>
      <c r="AB22" s="384" t="str">
        <f t="shared" si="1"/>
        <v>OK</v>
      </c>
      <c r="AE22" s="384" t="str">
        <f t="shared" si="2"/>
        <v/>
      </c>
      <c r="AH22" s="384" t="b">
        <f>IF(D22=Data!$OL$3,Data!$AP$1, IF(D22=Data!$OL$4,Data!$AP$1, IF(D22=Data!$OL$5,Data!$AQ$1, IF(D22=Data!$OL$6,Data!$AQ$1, IF(D22=Data!$OL$7,Data!$AR$1)))))</f>
        <v>0</v>
      </c>
      <c r="AU22" s="384" t="e">
        <f t="shared" si="3"/>
        <v>#N/A</v>
      </c>
      <c r="AX22" s="384" t="str">
        <f t="shared" si="4"/>
        <v>CordlockNoCordless</v>
      </c>
      <c r="BI22" s="384" t="e">
        <f t="shared" si="5"/>
        <v>#N/A</v>
      </c>
      <c r="BN22" s="384" t="e">
        <f t="shared" si="6"/>
        <v>#N/A</v>
      </c>
    </row>
    <row r="23" spans="1:66" ht="30" customHeight="1">
      <c r="A23" s="414">
        <v>16</v>
      </c>
      <c r="B23" s="410"/>
      <c r="C23" s="410"/>
      <c r="D23" s="410"/>
      <c r="E23" s="409"/>
      <c r="F23" s="411"/>
      <c r="G23" s="411"/>
      <c r="H23" s="411"/>
      <c r="I23" s="411"/>
      <c r="J23" s="668"/>
      <c r="K23" s="669"/>
      <c r="L23" s="412"/>
      <c r="M23" s="412"/>
      <c r="N23" s="412"/>
      <c r="O23" s="670"/>
      <c r="P23" s="671"/>
      <c r="Q23" s="409"/>
      <c r="R23" s="409"/>
      <c r="S23" s="409"/>
      <c r="T23" s="409"/>
      <c r="U23" s="409"/>
      <c r="V23" s="494" t="str">
        <f t="shared" si="0"/>
        <v/>
      </c>
      <c r="W23" s="413"/>
      <c r="X23" s="406"/>
      <c r="Y23" s="407"/>
      <c r="AB23" s="384" t="str">
        <f t="shared" si="1"/>
        <v>OK</v>
      </c>
      <c r="AE23" s="384" t="str">
        <f t="shared" si="2"/>
        <v/>
      </c>
      <c r="AH23" s="384" t="b">
        <f>IF(D23=Data!$OL$3,Data!$AP$1, IF(D23=Data!$OL$4,Data!$AP$1, IF(D23=Data!$OL$5,Data!$AQ$1, IF(D23=Data!$OL$6,Data!$AQ$1, IF(D23=Data!$OL$7,Data!$AR$1)))))</f>
        <v>0</v>
      </c>
      <c r="AU23" s="384" t="e">
        <f t="shared" si="3"/>
        <v>#N/A</v>
      </c>
      <c r="AX23" s="384" t="str">
        <f t="shared" si="4"/>
        <v>CordlockNoCordless</v>
      </c>
      <c r="BI23" s="384" t="e">
        <f t="shared" si="5"/>
        <v>#N/A</v>
      </c>
      <c r="BN23" s="384" t="e">
        <f t="shared" si="6"/>
        <v>#N/A</v>
      </c>
    </row>
    <row r="24" spans="1:66" ht="30" customHeight="1">
      <c r="A24" s="414">
        <v>17</v>
      </c>
      <c r="B24" s="415"/>
      <c r="C24" s="415"/>
      <c r="D24" s="410"/>
      <c r="E24" s="409"/>
      <c r="F24" s="411"/>
      <c r="G24" s="411"/>
      <c r="H24" s="411"/>
      <c r="I24" s="411"/>
      <c r="J24" s="668"/>
      <c r="K24" s="669"/>
      <c r="L24" s="412"/>
      <c r="M24" s="412"/>
      <c r="N24" s="412"/>
      <c r="O24" s="670"/>
      <c r="P24" s="671"/>
      <c r="Q24" s="409"/>
      <c r="R24" s="409"/>
      <c r="S24" s="409"/>
      <c r="T24" s="409"/>
      <c r="U24" s="409"/>
      <c r="V24" s="494" t="str">
        <f t="shared" si="0"/>
        <v/>
      </c>
      <c r="W24" s="413"/>
      <c r="X24" s="406"/>
      <c r="Y24" s="407"/>
      <c r="AB24" s="384" t="str">
        <f t="shared" si="1"/>
        <v>OK</v>
      </c>
      <c r="AE24" s="384" t="str">
        <f t="shared" si="2"/>
        <v/>
      </c>
      <c r="AH24" s="384" t="b">
        <f>IF(D24=Data!$OL$3,Data!$AP$1, IF(D24=Data!$OL$4,Data!$AP$1, IF(D24=Data!$OL$5,Data!$AQ$1, IF(D24=Data!$OL$6,Data!$AQ$1, IF(D24=Data!$OL$7,Data!$AR$1)))))</f>
        <v>0</v>
      </c>
      <c r="AU24" s="384" t="e">
        <f t="shared" si="3"/>
        <v>#N/A</v>
      </c>
      <c r="AX24" s="384" t="str">
        <f t="shared" si="4"/>
        <v>CordlockNoCordless</v>
      </c>
      <c r="BI24" s="384" t="e">
        <f t="shared" si="5"/>
        <v>#N/A</v>
      </c>
      <c r="BN24" s="384" t="e">
        <f t="shared" si="6"/>
        <v>#N/A</v>
      </c>
    </row>
    <row r="25" spans="1:66" ht="30" customHeight="1">
      <c r="A25" s="414">
        <v>18</v>
      </c>
      <c r="B25" s="410"/>
      <c r="C25" s="410"/>
      <c r="D25" s="410"/>
      <c r="E25" s="409"/>
      <c r="F25" s="411"/>
      <c r="G25" s="411"/>
      <c r="H25" s="411"/>
      <c r="I25" s="411"/>
      <c r="J25" s="668"/>
      <c r="K25" s="669"/>
      <c r="L25" s="412"/>
      <c r="M25" s="412"/>
      <c r="N25" s="412"/>
      <c r="O25" s="670"/>
      <c r="P25" s="671"/>
      <c r="Q25" s="409"/>
      <c r="R25" s="409"/>
      <c r="S25" s="409"/>
      <c r="T25" s="409"/>
      <c r="U25" s="409"/>
      <c r="V25" s="494" t="str">
        <f t="shared" si="0"/>
        <v/>
      </c>
      <c r="W25" s="413"/>
      <c r="X25" s="406"/>
      <c r="Y25" s="407"/>
      <c r="AB25" s="384" t="str">
        <f t="shared" si="1"/>
        <v>OK</v>
      </c>
      <c r="AE25" s="384" t="str">
        <f t="shared" si="2"/>
        <v/>
      </c>
      <c r="AH25" s="384" t="b">
        <f>IF(D25=Data!$OL$3,Data!$AP$1, IF(D25=Data!$OL$4,Data!$AP$1, IF(D25=Data!$OL$5,Data!$AQ$1, IF(D25=Data!$OL$6,Data!$AQ$1, IF(D25=Data!$OL$7,Data!$AR$1)))))</f>
        <v>0</v>
      </c>
      <c r="AU25" s="384" t="e">
        <f t="shared" si="3"/>
        <v>#N/A</v>
      </c>
      <c r="AX25" s="384" t="str">
        <f t="shared" si="4"/>
        <v>CordlockNoCordless</v>
      </c>
      <c r="BI25" s="384" t="e">
        <f t="shared" si="5"/>
        <v>#N/A</v>
      </c>
      <c r="BN25" s="384" t="e">
        <f t="shared" si="6"/>
        <v>#N/A</v>
      </c>
    </row>
    <row r="26" spans="1:66" ht="30" customHeight="1">
      <c r="A26" s="414">
        <v>19</v>
      </c>
      <c r="B26" s="410"/>
      <c r="C26" s="410"/>
      <c r="D26" s="410"/>
      <c r="E26" s="409"/>
      <c r="F26" s="411"/>
      <c r="G26" s="411"/>
      <c r="H26" s="411"/>
      <c r="I26" s="411"/>
      <c r="J26" s="668"/>
      <c r="K26" s="669"/>
      <c r="L26" s="412"/>
      <c r="M26" s="412"/>
      <c r="N26" s="412"/>
      <c r="O26" s="670"/>
      <c r="P26" s="671"/>
      <c r="Q26" s="409"/>
      <c r="R26" s="409"/>
      <c r="S26" s="409"/>
      <c r="T26" s="409"/>
      <c r="U26" s="409"/>
      <c r="V26" s="494" t="str">
        <f t="shared" si="0"/>
        <v/>
      </c>
      <c r="W26" s="413"/>
      <c r="X26" s="406"/>
      <c r="Y26" s="407"/>
      <c r="AB26" s="384" t="str">
        <f t="shared" si="1"/>
        <v>OK</v>
      </c>
      <c r="AE26" s="384" t="str">
        <f t="shared" si="2"/>
        <v/>
      </c>
      <c r="AH26" s="384" t="b">
        <f>IF(D26=Data!$OL$3,Data!$AP$1, IF(D26=Data!$OL$4,Data!$AP$1, IF(D26=Data!$OL$5,Data!$AQ$1, IF(D26=Data!$OL$6,Data!$AQ$1, IF(D26=Data!$OL$7,Data!$AR$1)))))</f>
        <v>0</v>
      </c>
      <c r="AU26" s="384" t="e">
        <f t="shared" si="3"/>
        <v>#N/A</v>
      </c>
      <c r="AX26" s="384" t="str">
        <f t="shared" si="4"/>
        <v>CordlockNoCordless</v>
      </c>
      <c r="BI26" s="384" t="e">
        <f t="shared" si="5"/>
        <v>#N/A</v>
      </c>
      <c r="BN26" s="384" t="e">
        <f t="shared" si="6"/>
        <v>#N/A</v>
      </c>
    </row>
    <row r="27" spans="1:66" ht="30" customHeight="1">
      <c r="A27" s="414">
        <v>20</v>
      </c>
      <c r="B27" s="409"/>
      <c r="C27" s="410"/>
      <c r="D27" s="410"/>
      <c r="E27" s="409"/>
      <c r="F27" s="411"/>
      <c r="G27" s="411"/>
      <c r="H27" s="411"/>
      <c r="I27" s="411"/>
      <c r="J27" s="668"/>
      <c r="K27" s="669"/>
      <c r="L27" s="412"/>
      <c r="M27" s="412"/>
      <c r="N27" s="412"/>
      <c r="O27" s="670"/>
      <c r="P27" s="671"/>
      <c r="Q27" s="409"/>
      <c r="R27" s="409"/>
      <c r="S27" s="409"/>
      <c r="T27" s="409"/>
      <c r="U27" s="409"/>
      <c r="V27" s="494" t="str">
        <f t="shared" si="0"/>
        <v/>
      </c>
      <c r="W27" s="413"/>
      <c r="X27" s="406"/>
      <c r="Y27" s="407"/>
      <c r="AB27" s="384" t="str">
        <f t="shared" si="1"/>
        <v>OK</v>
      </c>
      <c r="AE27" s="384" t="str">
        <f t="shared" si="2"/>
        <v/>
      </c>
      <c r="AH27" s="384" t="b">
        <f>IF(D27=Data!$OL$3,Data!$AP$1, IF(D27=Data!$OL$4,Data!$AP$1, IF(D27=Data!$OL$5,Data!$AQ$1, IF(D27=Data!$OL$6,Data!$AQ$1, IF(D27=Data!$OL$7,Data!$AR$1)))))</f>
        <v>0</v>
      </c>
      <c r="AU27" s="384" t="e">
        <f t="shared" si="3"/>
        <v>#N/A</v>
      </c>
      <c r="AX27" s="384" t="str">
        <f t="shared" si="4"/>
        <v>CordlockNoCordless</v>
      </c>
      <c r="BI27" s="384" t="e">
        <f t="shared" si="5"/>
        <v>#N/A</v>
      </c>
      <c r="BN27" s="384" t="e">
        <f t="shared" si="6"/>
        <v>#N/A</v>
      </c>
    </row>
    <row r="28" spans="1:66" ht="30" customHeight="1">
      <c r="A28" s="414">
        <v>21</v>
      </c>
      <c r="B28" s="409"/>
      <c r="C28" s="410"/>
      <c r="D28" s="410"/>
      <c r="E28" s="409"/>
      <c r="F28" s="411"/>
      <c r="G28" s="411"/>
      <c r="H28" s="411"/>
      <c r="I28" s="411"/>
      <c r="J28" s="668"/>
      <c r="K28" s="669"/>
      <c r="L28" s="412"/>
      <c r="M28" s="412"/>
      <c r="N28" s="412"/>
      <c r="O28" s="670"/>
      <c r="P28" s="671"/>
      <c r="Q28" s="409"/>
      <c r="R28" s="409"/>
      <c r="S28" s="409"/>
      <c r="T28" s="409"/>
      <c r="U28" s="409"/>
      <c r="V28" s="494" t="str">
        <f t="shared" si="0"/>
        <v/>
      </c>
      <c r="W28" s="413"/>
      <c r="X28" s="406"/>
      <c r="Y28" s="407"/>
      <c r="AB28" s="384" t="str">
        <f t="shared" si="1"/>
        <v>OK</v>
      </c>
      <c r="AE28" s="384" t="str">
        <f t="shared" si="2"/>
        <v/>
      </c>
      <c r="AH28" s="384" t="b">
        <f>IF(D28=Data!$OL$3,Data!$AP$1, IF(D28=Data!$OL$4,Data!$AP$1, IF(D28=Data!$OL$5,Data!$AQ$1, IF(D28=Data!$OL$6,Data!$AQ$1, IF(D28=Data!$OL$7,Data!$AR$1)))))</f>
        <v>0</v>
      </c>
      <c r="AU28" s="384" t="e">
        <f t="shared" si="3"/>
        <v>#N/A</v>
      </c>
      <c r="AX28" s="384" t="str">
        <f t="shared" si="4"/>
        <v>CordlockNoCordless</v>
      </c>
      <c r="BI28" s="384" t="e">
        <f t="shared" si="5"/>
        <v>#N/A</v>
      </c>
      <c r="BN28" s="384" t="e">
        <f t="shared" si="6"/>
        <v>#N/A</v>
      </c>
    </row>
    <row r="29" spans="1:66" ht="30" customHeight="1">
      <c r="A29" s="414">
        <v>22</v>
      </c>
      <c r="B29" s="409"/>
      <c r="C29" s="410"/>
      <c r="D29" s="410"/>
      <c r="E29" s="409"/>
      <c r="F29" s="411"/>
      <c r="G29" s="411"/>
      <c r="H29" s="411"/>
      <c r="I29" s="411"/>
      <c r="J29" s="668"/>
      <c r="K29" s="669"/>
      <c r="L29" s="412"/>
      <c r="M29" s="412"/>
      <c r="N29" s="412"/>
      <c r="O29" s="670"/>
      <c r="P29" s="671"/>
      <c r="Q29" s="409"/>
      <c r="R29" s="409"/>
      <c r="S29" s="409"/>
      <c r="T29" s="409"/>
      <c r="U29" s="409"/>
      <c r="V29" s="494" t="str">
        <f t="shared" si="0"/>
        <v/>
      </c>
      <c r="W29" s="413"/>
      <c r="X29" s="406"/>
      <c r="Y29" s="407"/>
      <c r="AB29" s="384" t="str">
        <f t="shared" si="1"/>
        <v>OK</v>
      </c>
      <c r="AE29" s="384" t="str">
        <f t="shared" si="2"/>
        <v/>
      </c>
      <c r="AH29" s="384" t="b">
        <f>IF(D29=Data!$OL$3,Data!$AP$1, IF(D29=Data!$OL$4,Data!$AP$1, IF(D29=Data!$OL$5,Data!$AQ$1, IF(D29=Data!$OL$6,Data!$AQ$1, IF(D29=Data!$OL$7,Data!$AR$1)))))</f>
        <v>0</v>
      </c>
      <c r="AU29" s="384" t="e">
        <f t="shared" si="3"/>
        <v>#N/A</v>
      </c>
      <c r="AX29" s="384" t="str">
        <f t="shared" si="4"/>
        <v>CordlockNoCordless</v>
      </c>
      <c r="BI29" s="384" t="e">
        <f t="shared" si="5"/>
        <v>#N/A</v>
      </c>
      <c r="BN29" s="384" t="e">
        <f t="shared" si="6"/>
        <v>#N/A</v>
      </c>
    </row>
    <row r="30" spans="1:66" ht="30" customHeight="1">
      <c r="A30" s="414">
        <v>23</v>
      </c>
      <c r="B30" s="409"/>
      <c r="C30" s="410"/>
      <c r="D30" s="410"/>
      <c r="E30" s="409"/>
      <c r="F30" s="411"/>
      <c r="G30" s="411"/>
      <c r="H30" s="411"/>
      <c r="I30" s="411"/>
      <c r="J30" s="668"/>
      <c r="K30" s="669"/>
      <c r="L30" s="412"/>
      <c r="M30" s="412"/>
      <c r="N30" s="412"/>
      <c r="O30" s="670"/>
      <c r="P30" s="671"/>
      <c r="Q30" s="409"/>
      <c r="R30" s="409"/>
      <c r="S30" s="409"/>
      <c r="T30" s="409"/>
      <c r="U30" s="409"/>
      <c r="V30" s="494" t="str">
        <f t="shared" si="0"/>
        <v/>
      </c>
      <c r="W30" s="413"/>
      <c r="X30" s="406"/>
      <c r="Y30" s="407"/>
      <c r="AB30" s="384" t="str">
        <f t="shared" si="1"/>
        <v>OK</v>
      </c>
      <c r="AE30" s="384" t="str">
        <f t="shared" si="2"/>
        <v/>
      </c>
      <c r="AH30" s="384" t="b">
        <f>IF(D30=Data!$OL$3,Data!$AP$1, IF(D30=Data!$OL$4,Data!$AP$1, IF(D30=Data!$OL$5,Data!$AQ$1, IF(D30=Data!$OL$6,Data!$AQ$1, IF(D30=Data!$OL$7,Data!$AR$1)))))</f>
        <v>0</v>
      </c>
      <c r="AU30" s="384" t="e">
        <f t="shared" si="3"/>
        <v>#N/A</v>
      </c>
      <c r="AX30" s="384" t="str">
        <f t="shared" si="4"/>
        <v>CordlockNoCordless</v>
      </c>
      <c r="BI30" s="384" t="e">
        <f t="shared" si="5"/>
        <v>#N/A</v>
      </c>
      <c r="BN30" s="384" t="e">
        <f t="shared" si="6"/>
        <v>#N/A</v>
      </c>
    </row>
    <row r="31" spans="1:66" ht="30" customHeight="1">
      <c r="A31" s="414">
        <v>24</v>
      </c>
      <c r="B31" s="409"/>
      <c r="C31" s="410"/>
      <c r="D31" s="410"/>
      <c r="E31" s="409"/>
      <c r="F31" s="411"/>
      <c r="G31" s="411"/>
      <c r="H31" s="411"/>
      <c r="I31" s="411"/>
      <c r="J31" s="668"/>
      <c r="K31" s="669"/>
      <c r="L31" s="412"/>
      <c r="M31" s="412"/>
      <c r="N31" s="412"/>
      <c r="O31" s="670"/>
      <c r="P31" s="671"/>
      <c r="Q31" s="409"/>
      <c r="R31" s="409"/>
      <c r="S31" s="409"/>
      <c r="T31" s="409"/>
      <c r="U31" s="409"/>
      <c r="V31" s="494" t="str">
        <f t="shared" si="0"/>
        <v/>
      </c>
      <c r="W31" s="413"/>
      <c r="X31" s="406"/>
      <c r="Y31" s="407"/>
      <c r="AB31" s="384" t="str">
        <f t="shared" si="1"/>
        <v>OK</v>
      </c>
      <c r="AE31" s="384" t="str">
        <f t="shared" si="2"/>
        <v/>
      </c>
      <c r="AH31" s="384" t="b">
        <f>IF(D31=Data!$OL$3,Data!$AP$1, IF(D31=Data!$OL$4,Data!$AP$1, IF(D31=Data!$OL$5,Data!$AQ$1, IF(D31=Data!$OL$6,Data!$AQ$1, IF(D31=Data!$OL$7,Data!$AR$1)))))</f>
        <v>0</v>
      </c>
      <c r="AU31" s="384" t="e">
        <f t="shared" si="3"/>
        <v>#N/A</v>
      </c>
      <c r="AX31" s="384" t="str">
        <f t="shared" si="4"/>
        <v>CordlockNoCordless</v>
      </c>
      <c r="BI31" s="384" t="e">
        <f t="shared" si="5"/>
        <v>#N/A</v>
      </c>
      <c r="BN31" s="384" t="e">
        <f t="shared" si="6"/>
        <v>#N/A</v>
      </c>
    </row>
    <row r="32" spans="1:66" ht="30" customHeight="1">
      <c r="A32" s="414">
        <v>25</v>
      </c>
      <c r="B32" s="409"/>
      <c r="C32" s="410"/>
      <c r="D32" s="410"/>
      <c r="E32" s="409"/>
      <c r="F32" s="411"/>
      <c r="G32" s="411"/>
      <c r="H32" s="411"/>
      <c r="I32" s="411"/>
      <c r="J32" s="668"/>
      <c r="K32" s="669"/>
      <c r="L32" s="412"/>
      <c r="M32" s="412"/>
      <c r="N32" s="412"/>
      <c r="O32" s="670"/>
      <c r="P32" s="671"/>
      <c r="Q32" s="409"/>
      <c r="R32" s="409"/>
      <c r="S32" s="409"/>
      <c r="T32" s="409"/>
      <c r="U32" s="409"/>
      <c r="V32" s="494" t="str">
        <f t="shared" si="0"/>
        <v/>
      </c>
      <c r="W32" s="413"/>
      <c r="X32" s="406"/>
      <c r="Y32" s="407"/>
      <c r="AB32" s="384" t="str">
        <f t="shared" si="1"/>
        <v>OK</v>
      </c>
      <c r="AE32" s="384" t="str">
        <f t="shared" si="2"/>
        <v/>
      </c>
      <c r="AH32" s="384" t="b">
        <f>IF(D32=Data!$OL$3,Data!$AP$1, IF(D32=Data!$OL$4,Data!$AP$1, IF(D32=Data!$OL$5,Data!$AQ$1, IF(D32=Data!$OL$6,Data!$AQ$1, IF(D32=Data!$OL$7,Data!$AR$1)))))</f>
        <v>0</v>
      </c>
      <c r="AU32" s="384" t="e">
        <f t="shared" si="3"/>
        <v>#N/A</v>
      </c>
      <c r="AX32" s="384" t="str">
        <f t="shared" si="4"/>
        <v>CordlockNoCordless</v>
      </c>
      <c r="BI32" s="384" t="e">
        <f t="shared" si="5"/>
        <v>#N/A</v>
      </c>
      <c r="BN32" s="384" t="e">
        <f t="shared" si="6"/>
        <v>#N/A</v>
      </c>
    </row>
    <row r="33" spans="1:66" ht="30" customHeight="1">
      <c r="A33" s="414">
        <v>26</v>
      </c>
      <c r="B33" s="409"/>
      <c r="C33" s="410"/>
      <c r="D33" s="410"/>
      <c r="E33" s="409"/>
      <c r="F33" s="411"/>
      <c r="G33" s="411"/>
      <c r="H33" s="411"/>
      <c r="I33" s="411"/>
      <c r="J33" s="668"/>
      <c r="K33" s="669"/>
      <c r="L33" s="412"/>
      <c r="M33" s="412"/>
      <c r="N33" s="412"/>
      <c r="O33" s="670"/>
      <c r="P33" s="671"/>
      <c r="Q33" s="409"/>
      <c r="R33" s="409"/>
      <c r="S33" s="409"/>
      <c r="T33" s="409"/>
      <c r="U33" s="409"/>
      <c r="V33" s="494" t="str">
        <f t="shared" si="0"/>
        <v/>
      </c>
      <c r="W33" s="413"/>
      <c r="X33" s="406"/>
      <c r="Y33" s="407"/>
      <c r="AB33" s="384" t="str">
        <f t="shared" si="1"/>
        <v>OK</v>
      </c>
      <c r="AE33" s="384" t="str">
        <f t="shared" si="2"/>
        <v/>
      </c>
      <c r="AH33" s="384" t="b">
        <f>IF(D33=Data!$OL$3,Data!$AP$1, IF(D33=Data!$OL$4,Data!$AP$1, IF(D33=Data!$OL$5,Data!$AQ$1, IF(D33=Data!$OL$6,Data!$AQ$1, IF(D33=Data!$OL$7,Data!$AR$1)))))</f>
        <v>0</v>
      </c>
      <c r="AU33" s="384" t="e">
        <f t="shared" si="3"/>
        <v>#N/A</v>
      </c>
      <c r="AX33" s="384" t="str">
        <f t="shared" si="4"/>
        <v>CordlockNoCordless</v>
      </c>
      <c r="BI33" s="384" t="e">
        <f t="shared" si="5"/>
        <v>#N/A</v>
      </c>
      <c r="BN33" s="384" t="e">
        <f t="shared" si="6"/>
        <v>#N/A</v>
      </c>
    </row>
    <row r="34" spans="1:66" ht="30" customHeight="1">
      <c r="A34" s="414">
        <v>27</v>
      </c>
      <c r="B34" s="418"/>
      <c r="C34" s="415"/>
      <c r="D34" s="410"/>
      <c r="E34" s="409"/>
      <c r="F34" s="411"/>
      <c r="G34" s="411"/>
      <c r="H34" s="411"/>
      <c r="I34" s="411"/>
      <c r="J34" s="668"/>
      <c r="K34" s="669"/>
      <c r="L34" s="412"/>
      <c r="M34" s="412"/>
      <c r="N34" s="412"/>
      <c r="O34" s="670"/>
      <c r="P34" s="671"/>
      <c r="Q34" s="409"/>
      <c r="R34" s="409"/>
      <c r="S34" s="409"/>
      <c r="T34" s="409"/>
      <c r="U34" s="409"/>
      <c r="V34" s="494" t="str">
        <f t="shared" si="0"/>
        <v/>
      </c>
      <c r="W34" s="413"/>
      <c r="X34" s="406"/>
      <c r="Y34" s="407"/>
      <c r="AB34" s="384" t="str">
        <f t="shared" si="1"/>
        <v>OK</v>
      </c>
      <c r="AE34" s="384" t="str">
        <f t="shared" si="2"/>
        <v/>
      </c>
      <c r="AH34" s="384" t="b">
        <f>IF(D34=Data!$OL$3,Data!$AP$1, IF(D34=Data!$OL$4,Data!$AP$1, IF(D34=Data!$OL$5,Data!$AQ$1, IF(D34=Data!$OL$6,Data!$AQ$1, IF(D34=Data!$OL$7,Data!$AR$1)))))</f>
        <v>0</v>
      </c>
      <c r="AU34" s="384" t="e">
        <f t="shared" si="3"/>
        <v>#N/A</v>
      </c>
      <c r="AX34" s="384" t="str">
        <f t="shared" si="4"/>
        <v>CordlockNoCordless</v>
      </c>
      <c r="BI34" s="384" t="e">
        <f t="shared" si="5"/>
        <v>#N/A</v>
      </c>
      <c r="BN34" s="384" t="e">
        <f t="shared" si="6"/>
        <v>#N/A</v>
      </c>
    </row>
    <row r="35" spans="1:66" ht="30" customHeight="1">
      <c r="A35" s="414">
        <v>28</v>
      </c>
      <c r="B35" s="409"/>
      <c r="C35" s="410"/>
      <c r="D35" s="410"/>
      <c r="E35" s="409"/>
      <c r="F35" s="411"/>
      <c r="G35" s="411"/>
      <c r="H35" s="411"/>
      <c r="I35" s="411"/>
      <c r="J35" s="668"/>
      <c r="K35" s="669"/>
      <c r="L35" s="412"/>
      <c r="M35" s="412"/>
      <c r="N35" s="412"/>
      <c r="O35" s="670"/>
      <c r="P35" s="671"/>
      <c r="Q35" s="409"/>
      <c r="R35" s="409"/>
      <c r="S35" s="409"/>
      <c r="T35" s="409"/>
      <c r="U35" s="409"/>
      <c r="V35" s="494" t="str">
        <f t="shared" si="0"/>
        <v/>
      </c>
      <c r="W35" s="413"/>
      <c r="X35" s="406"/>
      <c r="Y35" s="407"/>
      <c r="AB35" s="384" t="str">
        <f t="shared" si="1"/>
        <v>OK</v>
      </c>
      <c r="AE35" s="384" t="str">
        <f t="shared" si="2"/>
        <v/>
      </c>
      <c r="AH35" s="384" t="b">
        <f>IF(D35=Data!$OL$3,Data!$AP$1, IF(D35=Data!$OL$4,Data!$AP$1, IF(D35=Data!$OL$5,Data!$AQ$1, IF(D35=Data!$OL$6,Data!$AQ$1, IF(D35=Data!$OL$7,Data!$AR$1)))))</f>
        <v>0</v>
      </c>
      <c r="AU35" s="384" t="e">
        <f t="shared" si="3"/>
        <v>#N/A</v>
      </c>
      <c r="AX35" s="384" t="str">
        <f t="shared" si="4"/>
        <v>CordlockNoCordless</v>
      </c>
      <c r="BI35" s="384" t="e">
        <f t="shared" si="5"/>
        <v>#N/A</v>
      </c>
      <c r="BN35" s="384" t="e">
        <f t="shared" si="6"/>
        <v>#N/A</v>
      </c>
    </row>
    <row r="36" spans="1:66" ht="30" customHeight="1">
      <c r="A36" s="414">
        <v>29</v>
      </c>
      <c r="B36" s="409"/>
      <c r="C36" s="410"/>
      <c r="D36" s="410"/>
      <c r="E36" s="409"/>
      <c r="F36" s="411"/>
      <c r="G36" s="411"/>
      <c r="H36" s="411"/>
      <c r="I36" s="411"/>
      <c r="J36" s="668"/>
      <c r="K36" s="669"/>
      <c r="L36" s="412"/>
      <c r="M36" s="412"/>
      <c r="N36" s="412"/>
      <c r="O36" s="670"/>
      <c r="P36" s="671"/>
      <c r="Q36" s="409"/>
      <c r="R36" s="409"/>
      <c r="S36" s="409"/>
      <c r="T36" s="409"/>
      <c r="U36" s="409"/>
      <c r="V36" s="494" t="str">
        <f t="shared" si="0"/>
        <v/>
      </c>
      <c r="W36" s="413"/>
      <c r="X36" s="406"/>
      <c r="Y36" s="407"/>
      <c r="AB36" s="384" t="str">
        <f t="shared" si="1"/>
        <v>OK</v>
      </c>
      <c r="AE36" s="384" t="str">
        <f t="shared" si="2"/>
        <v/>
      </c>
      <c r="AH36" s="384" t="b">
        <f>IF(D36=Data!$OL$3,Data!$AP$1, IF(D36=Data!$OL$4,Data!$AP$1, IF(D36=Data!$OL$5,Data!$AQ$1, IF(D36=Data!$OL$6,Data!$AQ$1, IF(D36=Data!$OL$7,Data!$AR$1)))))</f>
        <v>0</v>
      </c>
      <c r="AU36" s="384" t="e">
        <f t="shared" si="3"/>
        <v>#N/A</v>
      </c>
      <c r="AX36" s="384" t="str">
        <f t="shared" si="4"/>
        <v>CordlockNoCordless</v>
      </c>
      <c r="BI36" s="384" t="e">
        <f t="shared" si="5"/>
        <v>#N/A</v>
      </c>
      <c r="BN36" s="384" t="e">
        <f t="shared" si="6"/>
        <v>#N/A</v>
      </c>
    </row>
    <row r="37" spans="1:66" ht="30" customHeight="1">
      <c r="A37" s="414">
        <v>30</v>
      </c>
      <c r="B37" s="409"/>
      <c r="C37" s="409"/>
      <c r="D37" s="409"/>
      <c r="E37" s="409"/>
      <c r="F37" s="411"/>
      <c r="G37" s="411"/>
      <c r="H37" s="411"/>
      <c r="I37" s="411"/>
      <c r="J37" s="668"/>
      <c r="K37" s="669"/>
      <c r="L37" s="412"/>
      <c r="M37" s="412"/>
      <c r="N37" s="412"/>
      <c r="O37" s="670"/>
      <c r="P37" s="671"/>
      <c r="Q37" s="409"/>
      <c r="R37" s="409"/>
      <c r="S37" s="409"/>
      <c r="T37" s="409"/>
      <c r="U37" s="409"/>
      <c r="V37" s="494" t="str">
        <f t="shared" si="0"/>
        <v/>
      </c>
      <c r="W37" s="413"/>
      <c r="X37" s="406"/>
      <c r="Y37" s="407"/>
      <c r="AB37" s="384" t="str">
        <f t="shared" si="1"/>
        <v>OK</v>
      </c>
      <c r="AE37" s="384" t="str">
        <f t="shared" si="2"/>
        <v/>
      </c>
      <c r="AH37" s="384" t="b">
        <f>IF(D37=Data!$OL$3,Data!$AP$1, IF(D37=Data!$OL$4,Data!$AP$1, IF(D37=Data!$OL$5,Data!$AQ$1, IF(D37=Data!$OL$6,Data!$AQ$1, IF(D37=Data!$OL$7,Data!$AR$1)))))</f>
        <v>0</v>
      </c>
      <c r="AU37" s="384" t="e">
        <f t="shared" si="3"/>
        <v>#N/A</v>
      </c>
      <c r="AX37" s="384" t="str">
        <f t="shared" si="4"/>
        <v>CordlockNoCordless</v>
      </c>
      <c r="BI37" s="384" t="e">
        <f t="shared" si="5"/>
        <v>#N/A</v>
      </c>
      <c r="BN37" s="384" t="e">
        <f t="shared" si="6"/>
        <v>#N/A</v>
      </c>
    </row>
    <row r="38" spans="1:66" ht="30" customHeight="1">
      <c r="A38" s="414">
        <v>31</v>
      </c>
      <c r="B38" s="409"/>
      <c r="C38" s="409"/>
      <c r="D38" s="409"/>
      <c r="E38" s="409"/>
      <c r="F38" s="411"/>
      <c r="G38" s="411"/>
      <c r="H38" s="411"/>
      <c r="I38" s="411"/>
      <c r="J38" s="668"/>
      <c r="K38" s="669"/>
      <c r="L38" s="412"/>
      <c r="M38" s="412"/>
      <c r="N38" s="412"/>
      <c r="O38" s="670"/>
      <c r="P38" s="671"/>
      <c r="Q38" s="409"/>
      <c r="R38" s="409"/>
      <c r="S38" s="409"/>
      <c r="T38" s="409"/>
      <c r="U38" s="409"/>
      <c r="V38" s="494" t="str">
        <f t="shared" si="0"/>
        <v/>
      </c>
      <c r="W38" s="413"/>
      <c r="X38" s="406"/>
      <c r="Y38" s="407"/>
      <c r="AB38" s="384" t="str">
        <f t="shared" si="1"/>
        <v>OK</v>
      </c>
      <c r="AE38" s="384" t="str">
        <f t="shared" si="2"/>
        <v/>
      </c>
      <c r="AH38" s="384" t="b">
        <f>IF(D38=Data!$OL$3,Data!$AP$1, IF(D38=Data!$OL$4,Data!$AP$1, IF(D38=Data!$OL$5,Data!$AQ$1, IF(D38=Data!$OL$6,Data!$AQ$1, IF(D38=Data!$OL$7,Data!$AR$1)))))</f>
        <v>0</v>
      </c>
      <c r="AU38" s="384" t="e">
        <f t="shared" si="3"/>
        <v>#N/A</v>
      </c>
      <c r="AX38" s="384" t="str">
        <f t="shared" si="4"/>
        <v>CordlockNoCordless</v>
      </c>
      <c r="BI38" s="384" t="e">
        <f t="shared" si="5"/>
        <v>#N/A</v>
      </c>
      <c r="BN38" s="384" t="e">
        <f t="shared" si="6"/>
        <v>#N/A</v>
      </c>
    </row>
    <row r="39" spans="1:66" ht="30" customHeight="1">
      <c r="A39" s="414">
        <v>32</v>
      </c>
      <c r="B39" s="409"/>
      <c r="C39" s="410"/>
      <c r="D39" s="410"/>
      <c r="E39" s="409"/>
      <c r="F39" s="411"/>
      <c r="G39" s="411"/>
      <c r="H39" s="411"/>
      <c r="I39" s="411"/>
      <c r="J39" s="668"/>
      <c r="K39" s="669"/>
      <c r="L39" s="412"/>
      <c r="M39" s="412"/>
      <c r="N39" s="412"/>
      <c r="O39" s="670"/>
      <c r="P39" s="671"/>
      <c r="Q39" s="409"/>
      <c r="R39" s="409"/>
      <c r="S39" s="409"/>
      <c r="T39" s="409"/>
      <c r="U39" s="409"/>
      <c r="V39" s="494" t="str">
        <f t="shared" si="0"/>
        <v/>
      </c>
      <c r="W39" s="413"/>
      <c r="X39" s="406"/>
      <c r="Y39" s="407"/>
      <c r="AB39" s="384" t="str">
        <f t="shared" si="1"/>
        <v>OK</v>
      </c>
      <c r="AE39" s="384" t="str">
        <f t="shared" si="2"/>
        <v/>
      </c>
      <c r="AH39" s="384" t="b">
        <f>IF(D39=Data!$OL$3,Data!$AP$1, IF(D39=Data!$OL$4,Data!$AP$1, IF(D39=Data!$OL$5,Data!$AQ$1, IF(D39=Data!$OL$6,Data!$AQ$1, IF(D39=Data!$OL$7,Data!$AR$1)))))</f>
        <v>0</v>
      </c>
      <c r="AU39" s="384" t="e">
        <f t="shared" si="3"/>
        <v>#N/A</v>
      </c>
      <c r="AX39" s="384" t="str">
        <f t="shared" si="4"/>
        <v>CordlockNoCordless</v>
      </c>
      <c r="BI39" s="384" t="e">
        <f t="shared" si="5"/>
        <v>#N/A</v>
      </c>
      <c r="BN39" s="384" t="e">
        <f t="shared" si="6"/>
        <v>#N/A</v>
      </c>
    </row>
    <row r="40" spans="1:66" ht="30" customHeight="1">
      <c r="A40" s="414">
        <v>33</v>
      </c>
      <c r="B40" s="409"/>
      <c r="C40" s="410"/>
      <c r="D40" s="409"/>
      <c r="E40" s="409"/>
      <c r="F40" s="411"/>
      <c r="G40" s="411"/>
      <c r="H40" s="411"/>
      <c r="I40" s="411"/>
      <c r="J40" s="668"/>
      <c r="K40" s="669"/>
      <c r="L40" s="412"/>
      <c r="M40" s="412"/>
      <c r="N40" s="412"/>
      <c r="O40" s="670"/>
      <c r="P40" s="671"/>
      <c r="Q40" s="409"/>
      <c r="R40" s="409"/>
      <c r="S40" s="409"/>
      <c r="T40" s="409"/>
      <c r="U40" s="409"/>
      <c r="V40" s="494" t="str">
        <f t="shared" si="0"/>
        <v/>
      </c>
      <c r="W40" s="413"/>
      <c r="X40" s="406"/>
      <c r="Y40" s="407"/>
      <c r="AB40" s="384" t="str">
        <f t="shared" si="1"/>
        <v>OK</v>
      </c>
      <c r="AE40" s="384" t="str">
        <f t="shared" si="2"/>
        <v/>
      </c>
      <c r="AH40" s="384" t="b">
        <f>IF(D40=Data!$OL$3,Data!$AP$1, IF(D40=Data!$OL$4,Data!$AP$1, IF(D40=Data!$OL$5,Data!$AQ$1, IF(D40=Data!$OL$6,Data!$AQ$1, IF(D40=Data!$OL$7,Data!$AR$1)))))</f>
        <v>0</v>
      </c>
      <c r="AU40" s="384" t="e">
        <f t="shared" si="3"/>
        <v>#N/A</v>
      </c>
      <c r="AX40" s="384" t="str">
        <f t="shared" si="4"/>
        <v>CordlockNoCordless</v>
      </c>
      <c r="BI40" s="384" t="e">
        <f t="shared" si="5"/>
        <v>#N/A</v>
      </c>
      <c r="BN40" s="384" t="e">
        <f t="shared" si="6"/>
        <v>#N/A</v>
      </c>
    </row>
    <row r="41" spans="1:66" ht="30" customHeight="1">
      <c r="A41" s="414">
        <v>34</v>
      </c>
      <c r="B41" s="409"/>
      <c r="C41" s="410"/>
      <c r="D41" s="409"/>
      <c r="E41" s="409"/>
      <c r="F41" s="411"/>
      <c r="G41" s="411"/>
      <c r="H41" s="411"/>
      <c r="I41" s="411"/>
      <c r="J41" s="668"/>
      <c r="K41" s="669"/>
      <c r="L41" s="412"/>
      <c r="M41" s="412"/>
      <c r="N41" s="412"/>
      <c r="O41" s="670"/>
      <c r="P41" s="671"/>
      <c r="Q41" s="409"/>
      <c r="R41" s="409"/>
      <c r="S41" s="409"/>
      <c r="T41" s="409"/>
      <c r="U41" s="409"/>
      <c r="V41" s="494" t="str">
        <f t="shared" si="0"/>
        <v/>
      </c>
      <c r="W41" s="413"/>
      <c r="X41" s="406"/>
      <c r="Y41" s="407"/>
      <c r="AB41" s="384" t="str">
        <f t="shared" si="1"/>
        <v>OK</v>
      </c>
      <c r="AE41" s="384" t="str">
        <f t="shared" si="2"/>
        <v/>
      </c>
      <c r="AH41" s="384" t="b">
        <f>IF(D41=Data!$OL$3,Data!$AP$1, IF(D41=Data!$OL$4,Data!$AP$1, IF(D41=Data!$OL$5,Data!$AQ$1, IF(D41=Data!$OL$6,Data!$AQ$1, IF(D41=Data!$OL$7,Data!$AR$1)))))</f>
        <v>0</v>
      </c>
      <c r="AU41" s="384" t="e">
        <f t="shared" si="3"/>
        <v>#N/A</v>
      </c>
      <c r="AX41" s="384" t="str">
        <f t="shared" si="4"/>
        <v>CordlockNoCordless</v>
      </c>
      <c r="BI41" s="384" t="e">
        <f t="shared" si="5"/>
        <v>#N/A</v>
      </c>
      <c r="BN41" s="384" t="e">
        <f t="shared" si="6"/>
        <v>#N/A</v>
      </c>
    </row>
    <row r="42" spans="1:66" ht="30" customHeight="1">
      <c r="A42" s="414">
        <v>35</v>
      </c>
      <c r="B42" s="409"/>
      <c r="C42" s="410"/>
      <c r="D42" s="410"/>
      <c r="E42" s="409"/>
      <c r="F42" s="411"/>
      <c r="G42" s="411"/>
      <c r="H42" s="411"/>
      <c r="I42" s="411"/>
      <c r="J42" s="668"/>
      <c r="K42" s="669"/>
      <c r="L42" s="412"/>
      <c r="M42" s="412"/>
      <c r="N42" s="412"/>
      <c r="O42" s="670"/>
      <c r="P42" s="671"/>
      <c r="Q42" s="409"/>
      <c r="R42" s="409"/>
      <c r="S42" s="409"/>
      <c r="T42" s="409"/>
      <c r="U42" s="409"/>
      <c r="V42" s="494" t="str">
        <f t="shared" si="0"/>
        <v/>
      </c>
      <c r="W42" s="413"/>
      <c r="X42" s="406"/>
      <c r="Y42" s="407"/>
      <c r="AB42" s="384" t="str">
        <f t="shared" si="1"/>
        <v>OK</v>
      </c>
      <c r="AE42" s="384" t="str">
        <f t="shared" si="2"/>
        <v/>
      </c>
      <c r="AH42" s="384" t="b">
        <f>IF(D42=Data!$OL$3,Data!$AP$1, IF(D42=Data!$OL$4,Data!$AP$1, IF(D42=Data!$OL$5,Data!$AQ$1, IF(D42=Data!$OL$6,Data!$AQ$1, IF(D42=Data!$OL$7,Data!$AR$1)))))</f>
        <v>0</v>
      </c>
      <c r="AU42" s="384" t="e">
        <f t="shared" si="3"/>
        <v>#N/A</v>
      </c>
      <c r="AX42" s="384" t="str">
        <f t="shared" si="4"/>
        <v>CordlockNoCordless</v>
      </c>
      <c r="BI42" s="384" t="e">
        <f t="shared" si="5"/>
        <v>#N/A</v>
      </c>
      <c r="BN42" s="384" t="e">
        <f t="shared" si="6"/>
        <v>#N/A</v>
      </c>
    </row>
    <row r="43" spans="1:66" ht="30" customHeight="1">
      <c r="A43" s="414">
        <v>36</v>
      </c>
      <c r="B43" s="409"/>
      <c r="C43" s="410"/>
      <c r="D43" s="410"/>
      <c r="E43" s="409"/>
      <c r="F43" s="411"/>
      <c r="G43" s="411"/>
      <c r="H43" s="411"/>
      <c r="I43" s="411"/>
      <c r="J43" s="668"/>
      <c r="K43" s="669"/>
      <c r="L43" s="412"/>
      <c r="M43" s="412"/>
      <c r="N43" s="412"/>
      <c r="O43" s="670"/>
      <c r="P43" s="671"/>
      <c r="Q43" s="409"/>
      <c r="R43" s="409"/>
      <c r="S43" s="409"/>
      <c r="T43" s="409"/>
      <c r="U43" s="409"/>
      <c r="V43" s="494" t="str">
        <f t="shared" si="0"/>
        <v/>
      </c>
      <c r="W43" s="413"/>
      <c r="X43" s="406"/>
      <c r="Y43" s="407"/>
      <c r="AB43" s="384" t="str">
        <f t="shared" si="1"/>
        <v>OK</v>
      </c>
      <c r="AE43" s="384" t="str">
        <f t="shared" si="2"/>
        <v/>
      </c>
      <c r="AH43" s="384" t="b">
        <f>IF(D43=Data!$OL$3,Data!$AP$1, IF(D43=Data!$OL$4,Data!$AP$1, IF(D43=Data!$OL$5,Data!$AQ$1, IF(D43=Data!$OL$6,Data!$AQ$1, IF(D43=Data!$OL$7,Data!$AR$1)))))</f>
        <v>0</v>
      </c>
      <c r="AU43" s="384" t="e">
        <f t="shared" si="3"/>
        <v>#N/A</v>
      </c>
      <c r="AX43" s="384" t="str">
        <f t="shared" si="4"/>
        <v>CordlockNoCordless</v>
      </c>
      <c r="BI43" s="384" t="e">
        <f t="shared" si="5"/>
        <v>#N/A</v>
      </c>
      <c r="BN43" s="384" t="e">
        <f t="shared" si="6"/>
        <v>#N/A</v>
      </c>
    </row>
    <row r="44" spans="1:66" ht="30" customHeight="1">
      <c r="A44" s="414">
        <v>37</v>
      </c>
      <c r="B44" s="409"/>
      <c r="C44" s="410"/>
      <c r="D44" s="410"/>
      <c r="E44" s="409"/>
      <c r="F44" s="411"/>
      <c r="G44" s="411"/>
      <c r="H44" s="411"/>
      <c r="I44" s="411"/>
      <c r="J44" s="668"/>
      <c r="K44" s="669"/>
      <c r="L44" s="412"/>
      <c r="M44" s="412"/>
      <c r="N44" s="412"/>
      <c r="O44" s="670"/>
      <c r="P44" s="671"/>
      <c r="Q44" s="409"/>
      <c r="R44" s="409"/>
      <c r="S44" s="409"/>
      <c r="T44" s="409"/>
      <c r="U44" s="409"/>
      <c r="V44" s="494" t="str">
        <f t="shared" si="0"/>
        <v/>
      </c>
      <c r="W44" s="413"/>
      <c r="X44" s="406"/>
      <c r="Y44" s="407"/>
      <c r="AB44" s="384" t="str">
        <f t="shared" si="1"/>
        <v>OK</v>
      </c>
      <c r="AE44" s="384" t="str">
        <f t="shared" si="2"/>
        <v/>
      </c>
      <c r="AH44" s="384" t="b">
        <f>IF(D44=Data!$OL$3,Data!$AP$1, IF(D44=Data!$OL$4,Data!$AP$1, IF(D44=Data!$OL$5,Data!$AQ$1, IF(D44=Data!$OL$6,Data!$AQ$1, IF(D44=Data!$OL$7,Data!$AR$1)))))</f>
        <v>0</v>
      </c>
      <c r="AU44" s="384" t="e">
        <f t="shared" si="3"/>
        <v>#N/A</v>
      </c>
      <c r="AX44" s="384" t="str">
        <f t="shared" si="4"/>
        <v>CordlockNoCordless</v>
      </c>
      <c r="BI44" s="384" t="e">
        <f t="shared" si="5"/>
        <v>#N/A</v>
      </c>
      <c r="BN44" s="384" t="e">
        <f t="shared" si="6"/>
        <v>#N/A</v>
      </c>
    </row>
    <row r="45" spans="1:66" ht="30" customHeight="1">
      <c r="A45" s="414">
        <v>38</v>
      </c>
      <c r="B45" s="409"/>
      <c r="C45" s="410"/>
      <c r="D45" s="410"/>
      <c r="E45" s="409"/>
      <c r="F45" s="411"/>
      <c r="G45" s="411"/>
      <c r="H45" s="411"/>
      <c r="I45" s="411"/>
      <c r="J45" s="668"/>
      <c r="K45" s="669"/>
      <c r="L45" s="412"/>
      <c r="M45" s="412"/>
      <c r="N45" s="412"/>
      <c r="O45" s="670"/>
      <c r="P45" s="671"/>
      <c r="Q45" s="409"/>
      <c r="R45" s="409"/>
      <c r="S45" s="409"/>
      <c r="T45" s="409"/>
      <c r="U45" s="409"/>
      <c r="V45" s="494" t="str">
        <f t="shared" si="0"/>
        <v/>
      </c>
      <c r="W45" s="413"/>
      <c r="X45" s="406"/>
      <c r="Y45" s="407"/>
      <c r="AB45" s="384" t="str">
        <f t="shared" si="1"/>
        <v>OK</v>
      </c>
      <c r="AE45" s="384" t="str">
        <f t="shared" si="2"/>
        <v/>
      </c>
      <c r="AH45" s="384" t="b">
        <f>IF(D45=Data!$OL$3,Data!$AP$1, IF(D45=Data!$OL$4,Data!$AP$1, IF(D45=Data!$OL$5,Data!$AQ$1, IF(D45=Data!$OL$6,Data!$AQ$1, IF(D45=Data!$OL$7,Data!$AR$1)))))</f>
        <v>0</v>
      </c>
      <c r="AU45" s="384" t="e">
        <f t="shared" si="3"/>
        <v>#N/A</v>
      </c>
      <c r="AX45" s="384" t="str">
        <f t="shared" si="4"/>
        <v>CordlockNoCordless</v>
      </c>
      <c r="BI45" s="384" t="e">
        <f t="shared" si="5"/>
        <v>#N/A</v>
      </c>
      <c r="BN45" s="384" t="e">
        <f t="shared" si="6"/>
        <v>#N/A</v>
      </c>
    </row>
    <row r="46" spans="1:66" ht="30" customHeight="1">
      <c r="A46" s="414">
        <v>39</v>
      </c>
      <c r="B46" s="409"/>
      <c r="C46" s="410"/>
      <c r="D46" s="410"/>
      <c r="E46" s="409"/>
      <c r="F46" s="411"/>
      <c r="G46" s="411"/>
      <c r="H46" s="411"/>
      <c r="I46" s="411"/>
      <c r="J46" s="668"/>
      <c r="K46" s="669"/>
      <c r="L46" s="412"/>
      <c r="M46" s="412"/>
      <c r="N46" s="412"/>
      <c r="O46" s="670"/>
      <c r="P46" s="671"/>
      <c r="Q46" s="409"/>
      <c r="R46" s="409"/>
      <c r="S46" s="409"/>
      <c r="T46" s="409"/>
      <c r="U46" s="409"/>
      <c r="V46" s="494" t="str">
        <f t="shared" si="0"/>
        <v/>
      </c>
      <c r="W46" s="413"/>
      <c r="X46" s="406"/>
      <c r="Y46" s="407"/>
      <c r="AB46" s="384" t="str">
        <f t="shared" si="1"/>
        <v>OK</v>
      </c>
      <c r="AE46" s="384" t="str">
        <f t="shared" si="2"/>
        <v/>
      </c>
      <c r="AH46" s="384" t="b">
        <f>IF(D46=Data!$OL$3,Data!$AP$1, IF(D46=Data!$OL$4,Data!$AP$1, IF(D46=Data!$OL$5,Data!$AQ$1, IF(D46=Data!$OL$6,Data!$AQ$1, IF(D46=Data!$OL$7,Data!$AR$1)))))</f>
        <v>0</v>
      </c>
      <c r="AU46" s="384" t="e">
        <f t="shared" si="3"/>
        <v>#N/A</v>
      </c>
      <c r="AX46" s="384" t="str">
        <f t="shared" si="4"/>
        <v>CordlockNoCordless</v>
      </c>
      <c r="BI46" s="384" t="e">
        <f t="shared" si="5"/>
        <v>#N/A</v>
      </c>
      <c r="BN46" s="384" t="e">
        <f t="shared" si="6"/>
        <v>#N/A</v>
      </c>
    </row>
    <row r="47" spans="1:66" ht="30" customHeight="1">
      <c r="A47" s="414">
        <v>40</v>
      </c>
      <c r="B47" s="418"/>
      <c r="C47" s="409"/>
      <c r="D47" s="419"/>
      <c r="E47" s="409"/>
      <c r="F47" s="411"/>
      <c r="G47" s="411"/>
      <c r="H47" s="411"/>
      <c r="I47" s="411"/>
      <c r="J47" s="668"/>
      <c r="K47" s="669"/>
      <c r="L47" s="412"/>
      <c r="M47" s="412"/>
      <c r="N47" s="412"/>
      <c r="O47" s="670"/>
      <c r="P47" s="671"/>
      <c r="Q47" s="409"/>
      <c r="R47" s="409"/>
      <c r="S47" s="409"/>
      <c r="T47" s="409"/>
      <c r="U47" s="409"/>
      <c r="V47" s="494" t="str">
        <f t="shared" si="0"/>
        <v/>
      </c>
      <c r="W47" s="413"/>
      <c r="X47" s="406"/>
      <c r="Y47" s="407"/>
      <c r="AB47" s="384" t="str">
        <f t="shared" si="1"/>
        <v>OK</v>
      </c>
      <c r="AE47" s="384" t="str">
        <f t="shared" si="2"/>
        <v/>
      </c>
      <c r="AH47" s="384" t="b">
        <f>IF(D47=Data!$OL$3,Data!$AP$1, IF(D47=Data!$OL$4,Data!$AP$1, IF(D47=Data!$OL$5,Data!$AQ$1, IF(D47=Data!$OL$6,Data!$AQ$1, IF(D47=Data!$OL$7,Data!$AR$1)))))</f>
        <v>0</v>
      </c>
      <c r="AU47" s="384" t="e">
        <f t="shared" si="3"/>
        <v>#N/A</v>
      </c>
      <c r="AX47" s="384" t="str">
        <f t="shared" si="4"/>
        <v>CordlockNoCordless</v>
      </c>
      <c r="BI47" s="384" t="e">
        <f t="shared" si="5"/>
        <v>#N/A</v>
      </c>
      <c r="BN47" s="384" t="e">
        <f t="shared" si="6"/>
        <v>#N/A</v>
      </c>
    </row>
    <row r="48" spans="1:66" ht="30" customHeight="1">
      <c r="A48" s="414">
        <v>41</v>
      </c>
      <c r="B48" s="409"/>
      <c r="C48" s="420"/>
      <c r="D48" s="410"/>
      <c r="E48" s="409"/>
      <c r="F48" s="411"/>
      <c r="G48" s="411"/>
      <c r="H48" s="411"/>
      <c r="I48" s="411"/>
      <c r="J48" s="668"/>
      <c r="K48" s="669"/>
      <c r="L48" s="412"/>
      <c r="M48" s="412"/>
      <c r="N48" s="412"/>
      <c r="O48" s="670"/>
      <c r="P48" s="671"/>
      <c r="Q48" s="409"/>
      <c r="R48" s="409"/>
      <c r="S48" s="409"/>
      <c r="T48" s="409"/>
      <c r="U48" s="409"/>
      <c r="V48" s="494" t="str">
        <f t="shared" si="0"/>
        <v/>
      </c>
      <c r="W48" s="413"/>
      <c r="X48" s="406"/>
      <c r="Y48" s="407"/>
      <c r="AB48" s="384" t="str">
        <f t="shared" si="1"/>
        <v>OK</v>
      </c>
      <c r="AE48" s="384" t="str">
        <f t="shared" si="2"/>
        <v/>
      </c>
      <c r="AH48" s="384" t="b">
        <f>IF(D48=Data!$OL$3,Data!$AP$1, IF(D48=Data!$OL$4,Data!$AP$1, IF(D48=Data!$OL$5,Data!$AQ$1, IF(D48=Data!$OL$6,Data!$AQ$1, IF(D48=Data!$OL$7,Data!$AR$1)))))</f>
        <v>0</v>
      </c>
      <c r="AU48" s="384" t="e">
        <f t="shared" si="3"/>
        <v>#N/A</v>
      </c>
      <c r="AX48" s="384" t="str">
        <f t="shared" si="4"/>
        <v>CordlockNoCordless</v>
      </c>
      <c r="BI48" s="384" t="e">
        <f t="shared" si="5"/>
        <v>#N/A</v>
      </c>
      <c r="BN48" s="384" t="e">
        <f t="shared" si="6"/>
        <v>#N/A</v>
      </c>
    </row>
    <row r="49" spans="1:66" ht="30" customHeight="1">
      <c r="A49" s="414">
        <v>42</v>
      </c>
      <c r="B49" s="409"/>
      <c r="C49" s="420"/>
      <c r="D49" s="410"/>
      <c r="E49" s="409"/>
      <c r="F49" s="411"/>
      <c r="G49" s="411"/>
      <c r="H49" s="411"/>
      <c r="I49" s="411"/>
      <c r="J49" s="668"/>
      <c r="K49" s="669"/>
      <c r="L49" s="412"/>
      <c r="M49" s="412"/>
      <c r="N49" s="412"/>
      <c r="O49" s="670"/>
      <c r="P49" s="671"/>
      <c r="Q49" s="409"/>
      <c r="R49" s="409"/>
      <c r="S49" s="409"/>
      <c r="T49" s="409"/>
      <c r="U49" s="409"/>
      <c r="V49" s="494" t="str">
        <f t="shared" si="0"/>
        <v/>
      </c>
      <c r="W49" s="413"/>
      <c r="X49" s="406"/>
      <c r="Y49" s="407"/>
      <c r="AB49" s="384" t="str">
        <f t="shared" si="1"/>
        <v>OK</v>
      </c>
      <c r="AE49" s="384" t="str">
        <f t="shared" si="2"/>
        <v/>
      </c>
      <c r="AH49" s="384" t="b">
        <f>IF(D49=Data!$OL$3,Data!$AP$1, IF(D49=Data!$OL$4,Data!$AP$1, IF(D49=Data!$OL$5,Data!$AQ$1, IF(D49=Data!$OL$6,Data!$AQ$1, IF(D49=Data!$OL$7,Data!$AR$1)))))</f>
        <v>0</v>
      </c>
      <c r="AU49" s="384" t="e">
        <f t="shared" si="3"/>
        <v>#N/A</v>
      </c>
      <c r="AX49" s="384" t="str">
        <f t="shared" si="4"/>
        <v>CordlockNoCordless</v>
      </c>
      <c r="BI49" s="384" t="e">
        <f t="shared" si="5"/>
        <v>#N/A</v>
      </c>
      <c r="BN49" s="384" t="e">
        <f t="shared" si="6"/>
        <v>#N/A</v>
      </c>
    </row>
    <row r="50" spans="1:66" ht="30" customHeight="1">
      <c r="A50" s="414">
        <v>43</v>
      </c>
      <c r="B50" s="409"/>
      <c r="C50" s="420"/>
      <c r="D50" s="410"/>
      <c r="E50" s="409"/>
      <c r="F50" s="411"/>
      <c r="G50" s="411"/>
      <c r="H50" s="411"/>
      <c r="I50" s="411"/>
      <c r="J50" s="668"/>
      <c r="K50" s="669"/>
      <c r="L50" s="412"/>
      <c r="M50" s="412"/>
      <c r="N50" s="412"/>
      <c r="O50" s="670"/>
      <c r="P50" s="671"/>
      <c r="Q50" s="409"/>
      <c r="R50" s="409"/>
      <c r="S50" s="409"/>
      <c r="T50" s="409"/>
      <c r="U50" s="409"/>
      <c r="V50" s="494" t="str">
        <f t="shared" si="0"/>
        <v/>
      </c>
      <c r="W50" s="413"/>
      <c r="X50" s="406"/>
      <c r="Y50" s="407"/>
      <c r="AB50" s="384" t="str">
        <f t="shared" si="1"/>
        <v>OK</v>
      </c>
      <c r="AE50" s="384" t="str">
        <f t="shared" si="2"/>
        <v/>
      </c>
      <c r="AH50" s="384" t="b">
        <f>IF(D50=Data!$OL$3,Data!$AP$1, IF(D50=Data!$OL$4,Data!$AP$1, IF(D50=Data!$OL$5,Data!$AQ$1, IF(D50=Data!$OL$6,Data!$AQ$1, IF(D50=Data!$OL$7,Data!$AR$1)))))</f>
        <v>0</v>
      </c>
      <c r="AU50" s="384" t="e">
        <f t="shared" si="3"/>
        <v>#N/A</v>
      </c>
      <c r="AX50" s="384" t="str">
        <f t="shared" si="4"/>
        <v>CordlockNoCordless</v>
      </c>
      <c r="BI50" s="384" t="e">
        <f t="shared" si="5"/>
        <v>#N/A</v>
      </c>
      <c r="BN50" s="384" t="e">
        <f t="shared" si="6"/>
        <v>#N/A</v>
      </c>
    </row>
    <row r="51" spans="1:66" ht="30" customHeight="1">
      <c r="A51" s="414">
        <v>44</v>
      </c>
      <c r="B51" s="409"/>
      <c r="C51" s="420"/>
      <c r="D51" s="410"/>
      <c r="E51" s="409"/>
      <c r="F51" s="411"/>
      <c r="G51" s="411"/>
      <c r="H51" s="411"/>
      <c r="I51" s="411"/>
      <c r="J51" s="668"/>
      <c r="K51" s="669"/>
      <c r="L51" s="412"/>
      <c r="M51" s="412"/>
      <c r="N51" s="412"/>
      <c r="O51" s="670"/>
      <c r="P51" s="671"/>
      <c r="Q51" s="409"/>
      <c r="R51" s="409"/>
      <c r="S51" s="409"/>
      <c r="T51" s="409"/>
      <c r="U51" s="409"/>
      <c r="V51" s="494" t="str">
        <f t="shared" si="0"/>
        <v/>
      </c>
      <c r="W51" s="413"/>
      <c r="X51" s="406"/>
      <c r="Y51" s="407"/>
      <c r="AB51" s="384" t="str">
        <f t="shared" si="1"/>
        <v>OK</v>
      </c>
      <c r="AE51" s="384" t="str">
        <f t="shared" si="2"/>
        <v/>
      </c>
      <c r="AH51" s="384" t="b">
        <f>IF(D51=Data!$OL$3,Data!$AP$1, IF(D51=Data!$OL$4,Data!$AP$1, IF(D51=Data!$OL$5,Data!$AQ$1, IF(D51=Data!$OL$6,Data!$AQ$1, IF(D51=Data!$OL$7,Data!$AR$1)))))</f>
        <v>0</v>
      </c>
      <c r="AU51" s="384" t="e">
        <f t="shared" si="3"/>
        <v>#N/A</v>
      </c>
      <c r="AX51" s="384" t="str">
        <f t="shared" si="4"/>
        <v>CordlockNoCordless</v>
      </c>
      <c r="BI51" s="384" t="e">
        <f t="shared" si="5"/>
        <v>#N/A</v>
      </c>
      <c r="BN51" s="384" t="e">
        <f t="shared" si="6"/>
        <v>#N/A</v>
      </c>
    </row>
    <row r="52" spans="1:66" ht="30" customHeight="1">
      <c r="A52" s="414">
        <v>45</v>
      </c>
      <c r="B52" s="409"/>
      <c r="C52" s="420"/>
      <c r="D52" s="410"/>
      <c r="E52" s="409"/>
      <c r="F52" s="411"/>
      <c r="G52" s="411"/>
      <c r="H52" s="411"/>
      <c r="I52" s="411"/>
      <c r="J52" s="668"/>
      <c r="K52" s="669"/>
      <c r="L52" s="412"/>
      <c r="M52" s="412"/>
      <c r="N52" s="412"/>
      <c r="O52" s="670"/>
      <c r="P52" s="671"/>
      <c r="Q52" s="409"/>
      <c r="R52" s="409"/>
      <c r="S52" s="409"/>
      <c r="T52" s="409"/>
      <c r="U52" s="409"/>
      <c r="V52" s="494" t="str">
        <f t="shared" si="0"/>
        <v/>
      </c>
      <c r="W52" s="413"/>
      <c r="X52" s="406"/>
      <c r="Y52" s="407"/>
      <c r="AB52" s="384" t="str">
        <f t="shared" si="1"/>
        <v>OK</v>
      </c>
      <c r="AE52" s="384" t="str">
        <f t="shared" si="2"/>
        <v/>
      </c>
      <c r="AH52" s="384" t="b">
        <f>IF(D52=Data!$OL$3,Data!$AP$1, IF(D52=Data!$OL$4,Data!$AP$1, IF(D52=Data!$OL$5,Data!$AQ$1, IF(D52=Data!$OL$6,Data!$AQ$1, IF(D52=Data!$OL$7,Data!$AR$1)))))</f>
        <v>0</v>
      </c>
      <c r="AU52" s="384" t="e">
        <f t="shared" si="3"/>
        <v>#N/A</v>
      </c>
      <c r="AX52" s="384" t="str">
        <f t="shared" si="4"/>
        <v>CordlockNoCordless</v>
      </c>
      <c r="BI52" s="384" t="e">
        <f t="shared" si="5"/>
        <v>#N/A</v>
      </c>
      <c r="BN52" s="384" t="e">
        <f t="shared" si="6"/>
        <v>#N/A</v>
      </c>
    </row>
    <row r="53" spans="1:66" ht="30" customHeight="1">
      <c r="A53" s="414">
        <v>46</v>
      </c>
      <c r="B53" s="418"/>
      <c r="C53" s="420"/>
      <c r="D53" s="410"/>
      <c r="E53" s="409"/>
      <c r="F53" s="411"/>
      <c r="G53" s="411"/>
      <c r="H53" s="411"/>
      <c r="I53" s="411"/>
      <c r="J53" s="668"/>
      <c r="K53" s="669"/>
      <c r="L53" s="412"/>
      <c r="M53" s="412"/>
      <c r="N53" s="412"/>
      <c r="O53" s="670"/>
      <c r="P53" s="671"/>
      <c r="Q53" s="409"/>
      <c r="R53" s="409"/>
      <c r="S53" s="409"/>
      <c r="T53" s="409"/>
      <c r="U53" s="409"/>
      <c r="V53" s="494" t="str">
        <f t="shared" si="0"/>
        <v/>
      </c>
      <c r="W53" s="413"/>
      <c r="X53" s="406"/>
      <c r="Y53" s="407"/>
      <c r="AB53" s="384" t="str">
        <f t="shared" si="1"/>
        <v>OK</v>
      </c>
      <c r="AE53" s="384" t="str">
        <f t="shared" si="2"/>
        <v/>
      </c>
      <c r="AH53" s="384" t="b">
        <f>IF(D53=Data!$OL$3,Data!$AP$1, IF(D53=Data!$OL$4,Data!$AP$1, IF(D53=Data!$OL$5,Data!$AQ$1, IF(D53=Data!$OL$6,Data!$AQ$1, IF(D53=Data!$OL$7,Data!$AR$1)))))</f>
        <v>0</v>
      </c>
      <c r="AU53" s="384" t="e">
        <f t="shared" si="3"/>
        <v>#N/A</v>
      </c>
      <c r="AX53" s="384" t="str">
        <f t="shared" si="4"/>
        <v>CordlockNoCordless</v>
      </c>
      <c r="BI53" s="384" t="e">
        <f t="shared" si="5"/>
        <v>#N/A</v>
      </c>
      <c r="BN53" s="384" t="e">
        <f t="shared" si="6"/>
        <v>#N/A</v>
      </c>
    </row>
    <row r="54" spans="1:66" ht="30" customHeight="1">
      <c r="A54" s="414">
        <v>47</v>
      </c>
      <c r="B54" s="409"/>
      <c r="C54" s="420"/>
      <c r="D54" s="410"/>
      <c r="E54" s="409"/>
      <c r="F54" s="411"/>
      <c r="G54" s="411"/>
      <c r="H54" s="411"/>
      <c r="I54" s="411"/>
      <c r="J54" s="668"/>
      <c r="K54" s="669"/>
      <c r="L54" s="412"/>
      <c r="M54" s="412"/>
      <c r="N54" s="412"/>
      <c r="O54" s="670"/>
      <c r="P54" s="671"/>
      <c r="Q54" s="409"/>
      <c r="R54" s="409"/>
      <c r="S54" s="409"/>
      <c r="T54" s="409"/>
      <c r="U54" s="409"/>
      <c r="V54" s="494" t="str">
        <f t="shared" si="0"/>
        <v/>
      </c>
      <c r="W54" s="413"/>
      <c r="X54" s="406"/>
      <c r="Y54" s="407"/>
      <c r="AB54" s="384" t="str">
        <f t="shared" si="1"/>
        <v>OK</v>
      </c>
      <c r="AE54" s="384" t="str">
        <f t="shared" si="2"/>
        <v/>
      </c>
      <c r="AH54" s="384" t="b">
        <f>IF(D54=Data!$OL$3,Data!$AP$1, IF(D54=Data!$OL$4,Data!$AP$1, IF(D54=Data!$OL$5,Data!$AQ$1, IF(D54=Data!$OL$6,Data!$AQ$1, IF(D54=Data!$OL$7,Data!$AR$1)))))</f>
        <v>0</v>
      </c>
      <c r="AU54" s="384" t="e">
        <f t="shared" si="3"/>
        <v>#N/A</v>
      </c>
      <c r="AX54" s="384" t="str">
        <f t="shared" si="4"/>
        <v>CordlockNoCordless</v>
      </c>
      <c r="BI54" s="384" t="e">
        <f t="shared" si="5"/>
        <v>#N/A</v>
      </c>
      <c r="BN54" s="384" t="e">
        <f t="shared" si="6"/>
        <v>#N/A</v>
      </c>
    </row>
    <row r="55" spans="1:66" ht="30" customHeight="1">
      <c r="A55" s="414">
        <v>48</v>
      </c>
      <c r="B55" s="409"/>
      <c r="C55" s="420"/>
      <c r="D55" s="410"/>
      <c r="E55" s="409"/>
      <c r="F55" s="411"/>
      <c r="G55" s="411"/>
      <c r="H55" s="411"/>
      <c r="I55" s="411"/>
      <c r="J55" s="668"/>
      <c r="K55" s="669"/>
      <c r="L55" s="412"/>
      <c r="M55" s="412"/>
      <c r="N55" s="412"/>
      <c r="O55" s="670"/>
      <c r="P55" s="671"/>
      <c r="Q55" s="409"/>
      <c r="R55" s="409"/>
      <c r="S55" s="409"/>
      <c r="T55" s="409"/>
      <c r="U55" s="409"/>
      <c r="V55" s="494" t="str">
        <f t="shared" si="0"/>
        <v/>
      </c>
      <c r="W55" s="413"/>
      <c r="X55" s="406"/>
      <c r="Y55" s="407"/>
      <c r="AB55" s="384" t="str">
        <f t="shared" si="1"/>
        <v>OK</v>
      </c>
      <c r="AE55" s="384" t="str">
        <f t="shared" si="2"/>
        <v/>
      </c>
      <c r="AH55" s="384" t="b">
        <f>IF(D55=Data!$OL$3,Data!$AP$1, IF(D55=Data!$OL$4,Data!$AP$1, IF(D55=Data!$OL$5,Data!$AQ$1, IF(D55=Data!$OL$6,Data!$AQ$1, IF(D55=Data!$OL$7,Data!$AR$1)))))</f>
        <v>0</v>
      </c>
      <c r="AU55" s="384" t="e">
        <f t="shared" si="3"/>
        <v>#N/A</v>
      </c>
      <c r="AX55" s="384" t="str">
        <f t="shared" si="4"/>
        <v>CordlockNoCordless</v>
      </c>
      <c r="BI55" s="384" t="e">
        <f t="shared" si="5"/>
        <v>#N/A</v>
      </c>
      <c r="BN55" s="384" t="e">
        <f t="shared" si="6"/>
        <v>#N/A</v>
      </c>
    </row>
    <row r="56" spans="1:66" ht="30" customHeight="1">
      <c r="A56" s="414">
        <v>49</v>
      </c>
      <c r="B56" s="409"/>
      <c r="C56" s="420"/>
      <c r="D56" s="410"/>
      <c r="E56" s="409"/>
      <c r="F56" s="411"/>
      <c r="G56" s="411"/>
      <c r="H56" s="411"/>
      <c r="I56" s="411"/>
      <c r="J56" s="668"/>
      <c r="K56" s="669"/>
      <c r="L56" s="412"/>
      <c r="M56" s="412"/>
      <c r="N56" s="412"/>
      <c r="O56" s="670"/>
      <c r="P56" s="671"/>
      <c r="Q56" s="409"/>
      <c r="R56" s="409"/>
      <c r="S56" s="409"/>
      <c r="T56" s="409"/>
      <c r="U56" s="409"/>
      <c r="V56" s="494" t="str">
        <f t="shared" si="0"/>
        <v/>
      </c>
      <c r="W56" s="413"/>
      <c r="X56" s="406"/>
      <c r="Y56" s="407"/>
      <c r="AB56" s="384" t="str">
        <f t="shared" si="1"/>
        <v>OK</v>
      </c>
      <c r="AE56" s="384" t="str">
        <f t="shared" si="2"/>
        <v/>
      </c>
      <c r="AH56" s="384" t="b">
        <f>IF(D56=Data!$OL$3,Data!$AP$1, IF(D56=Data!$OL$4,Data!$AP$1, IF(D56=Data!$OL$5,Data!$AQ$1, IF(D56=Data!$OL$6,Data!$AQ$1, IF(D56=Data!$OL$7,Data!$AR$1)))))</f>
        <v>0</v>
      </c>
      <c r="AU56" s="384" t="e">
        <f t="shared" si="3"/>
        <v>#N/A</v>
      </c>
      <c r="AX56" s="384" t="str">
        <f t="shared" si="4"/>
        <v>CordlockNoCordless</v>
      </c>
      <c r="BI56" s="384" t="e">
        <f t="shared" si="5"/>
        <v>#N/A</v>
      </c>
      <c r="BN56" s="384" t="e">
        <f t="shared" si="6"/>
        <v>#N/A</v>
      </c>
    </row>
    <row r="57" spans="1:66" ht="30" customHeight="1" thickBot="1">
      <c r="A57" s="421">
        <v>50</v>
      </c>
      <c r="B57" s="422"/>
      <c r="C57" s="423"/>
      <c r="D57" s="424"/>
      <c r="E57" s="422"/>
      <c r="F57" s="425"/>
      <c r="G57" s="425"/>
      <c r="H57" s="425"/>
      <c r="I57" s="425"/>
      <c r="J57" s="672"/>
      <c r="K57" s="673"/>
      <c r="L57" s="426"/>
      <c r="M57" s="426"/>
      <c r="N57" s="426"/>
      <c r="O57" s="674"/>
      <c r="P57" s="675"/>
      <c r="Q57" s="422"/>
      <c r="R57" s="422"/>
      <c r="S57" s="422"/>
      <c r="T57" s="422"/>
      <c r="U57" s="422"/>
      <c r="V57" s="495" t="str">
        <f t="shared" si="0"/>
        <v/>
      </c>
      <c r="W57" s="427"/>
      <c r="X57" s="406"/>
      <c r="Y57" s="407"/>
      <c r="AB57" s="384" t="str">
        <f t="shared" si="1"/>
        <v>OK</v>
      </c>
      <c r="AE57" s="384" t="str">
        <f t="shared" si="2"/>
        <v/>
      </c>
      <c r="AH57" s="384" t="b">
        <f>IF(D57=Data!$OL$3,Data!$AP$1, IF(D57=Data!$OL$4,Data!$AP$1, IF(D57=Data!$OL$5,Data!$AQ$1, IF(D57=Data!$OL$6,Data!$AQ$1, IF(D57=Data!$OL$7,Data!$AR$1)))))</f>
        <v>0</v>
      </c>
      <c r="AU57" s="384" t="e">
        <f t="shared" si="3"/>
        <v>#N/A</v>
      </c>
      <c r="AX57" s="384" t="str">
        <f t="shared" si="4"/>
        <v>CordlockNoCordless</v>
      </c>
      <c r="BI57" s="384" t="e">
        <f t="shared" si="5"/>
        <v>#N/A</v>
      </c>
      <c r="BN57" s="384" t="e">
        <f t="shared" si="6"/>
        <v>#N/A</v>
      </c>
    </row>
    <row r="58" spans="1:66" ht="15.75" thickTop="1">
      <c r="BN58" s="384" t="e">
        <f t="shared" si="6"/>
        <v>#N/A</v>
      </c>
    </row>
  </sheetData>
  <sheetProtection algorithmName="SHA-512" hashValue="b2rZsYYV61cjoN5XR6dQaGQ/vPsFXR5PFY01EQnREBCcGhyEylkZAZP7pWc3NDRsOaniAQLNRkBFnK2ybzPYDA==" saltValue="kS1WNyl0SlvzdRMSGQ45aQ==" spinCount="100000" sheet="1" objects="1" scenarios="1"/>
  <mergeCells count="128">
    <mergeCell ref="J55:K55"/>
    <mergeCell ref="O55:P55"/>
    <mergeCell ref="J56:K56"/>
    <mergeCell ref="O56:P56"/>
    <mergeCell ref="J57:K57"/>
    <mergeCell ref="O57:P57"/>
    <mergeCell ref="J52:K52"/>
    <mergeCell ref="O52:P52"/>
    <mergeCell ref="J53:K53"/>
    <mergeCell ref="O53:P53"/>
    <mergeCell ref="J54:K54"/>
    <mergeCell ref="O54:P54"/>
    <mergeCell ref="J49:K49"/>
    <mergeCell ref="O49:P49"/>
    <mergeCell ref="J50:K50"/>
    <mergeCell ref="O50:P50"/>
    <mergeCell ref="J51:K51"/>
    <mergeCell ref="O51:P51"/>
    <mergeCell ref="J46:K46"/>
    <mergeCell ref="O46:P46"/>
    <mergeCell ref="J47:K47"/>
    <mergeCell ref="O47:P47"/>
    <mergeCell ref="J48:K48"/>
    <mergeCell ref="O48:P48"/>
    <mergeCell ref="J43:K43"/>
    <mergeCell ref="O43:P43"/>
    <mergeCell ref="J44:K44"/>
    <mergeCell ref="O44:P44"/>
    <mergeCell ref="J45:K45"/>
    <mergeCell ref="O45:P45"/>
    <mergeCell ref="J40:K40"/>
    <mergeCell ref="O40:P40"/>
    <mergeCell ref="J41:K41"/>
    <mergeCell ref="O41:P41"/>
    <mergeCell ref="J42:K42"/>
    <mergeCell ref="O42:P42"/>
    <mergeCell ref="J37:K37"/>
    <mergeCell ref="O37:P37"/>
    <mergeCell ref="J38:K38"/>
    <mergeCell ref="O38:P38"/>
    <mergeCell ref="J39:K39"/>
    <mergeCell ref="O39:P39"/>
    <mergeCell ref="J34:K34"/>
    <mergeCell ref="O34:P34"/>
    <mergeCell ref="J35:K35"/>
    <mergeCell ref="O35:P35"/>
    <mergeCell ref="J36:K36"/>
    <mergeCell ref="O36:P36"/>
    <mergeCell ref="J31:K31"/>
    <mergeCell ref="O31:P31"/>
    <mergeCell ref="J32:K32"/>
    <mergeCell ref="O32:P32"/>
    <mergeCell ref="J33:K33"/>
    <mergeCell ref="O33:P33"/>
    <mergeCell ref="J28:K28"/>
    <mergeCell ref="O28:P28"/>
    <mergeCell ref="J29:K29"/>
    <mergeCell ref="O29:P29"/>
    <mergeCell ref="J30:K30"/>
    <mergeCell ref="O30:P30"/>
    <mergeCell ref="J25:K25"/>
    <mergeCell ref="O25:P25"/>
    <mergeCell ref="J26:K26"/>
    <mergeCell ref="O26:P26"/>
    <mergeCell ref="J27:K27"/>
    <mergeCell ref="O27:P27"/>
    <mergeCell ref="J22:K22"/>
    <mergeCell ref="O22:P22"/>
    <mergeCell ref="J23:K23"/>
    <mergeCell ref="O23:P23"/>
    <mergeCell ref="J24:K24"/>
    <mergeCell ref="O24:P24"/>
    <mergeCell ref="J19:K19"/>
    <mergeCell ref="O19:P19"/>
    <mergeCell ref="J20:K20"/>
    <mergeCell ref="O20:P20"/>
    <mergeCell ref="J21:K21"/>
    <mergeCell ref="O21:P21"/>
    <mergeCell ref="J16:K16"/>
    <mergeCell ref="O16:P16"/>
    <mergeCell ref="J17:K17"/>
    <mergeCell ref="O17:P17"/>
    <mergeCell ref="J18:K18"/>
    <mergeCell ref="O18:P18"/>
    <mergeCell ref="J13:K13"/>
    <mergeCell ref="O13:P13"/>
    <mergeCell ref="J14:K14"/>
    <mergeCell ref="O14:P14"/>
    <mergeCell ref="J15:K15"/>
    <mergeCell ref="O15:P15"/>
    <mergeCell ref="J10:K10"/>
    <mergeCell ref="O10:P10"/>
    <mergeCell ref="J11:K11"/>
    <mergeCell ref="O11:P11"/>
    <mergeCell ref="J12:K12"/>
    <mergeCell ref="O12:P12"/>
    <mergeCell ref="J7:K7"/>
    <mergeCell ref="O7:P7"/>
    <mergeCell ref="J8:K8"/>
    <mergeCell ref="O8:P8"/>
    <mergeCell ref="J9:K9"/>
    <mergeCell ref="O9:P9"/>
    <mergeCell ref="Y4:Y5"/>
    <mergeCell ref="D5:I5"/>
    <mergeCell ref="J5:K5"/>
    <mergeCell ref="L5:M5"/>
    <mergeCell ref="A6:K6"/>
    <mergeCell ref="L6:M6"/>
    <mergeCell ref="N6:U6"/>
    <mergeCell ref="N4:W4"/>
    <mergeCell ref="N5:W5"/>
    <mergeCell ref="A4:C4"/>
    <mergeCell ref="D4:I4"/>
    <mergeCell ref="J4:K4"/>
    <mergeCell ref="L4:M4"/>
    <mergeCell ref="X4:X5"/>
    <mergeCell ref="Y1:Y2"/>
    <mergeCell ref="L2:M2"/>
    <mergeCell ref="F3:I3"/>
    <mergeCell ref="L3:M3"/>
    <mergeCell ref="N1:W1"/>
    <mergeCell ref="N2:W2"/>
    <mergeCell ref="N3:W3"/>
    <mergeCell ref="A1:E3"/>
    <mergeCell ref="J1:K3"/>
    <mergeCell ref="L1:M1"/>
    <mergeCell ref="X1:X2"/>
    <mergeCell ref="F1:I2"/>
  </mergeCells>
  <conditionalFormatting sqref="Q8:Q57">
    <cfRule type="containsText" dxfId="6" priority="10" stopIfTrue="1" operator="containsText" text="Yes">
      <formula>NOT(ISERROR(SEARCH("Yes",Q8)))</formula>
    </cfRule>
  </conditionalFormatting>
  <conditionalFormatting sqref="C8:C47">
    <cfRule type="cellIs" dxfId="5" priority="9" stopIfTrue="1" operator="greaterThan">
      <formula>1</formula>
    </cfRule>
  </conditionalFormatting>
  <conditionalFormatting sqref="N8:N57">
    <cfRule type="expression" dxfId="4" priority="8">
      <formula>AB8="Enter"</formula>
    </cfRule>
  </conditionalFormatting>
  <conditionalFormatting sqref="D8:D57">
    <cfRule type="containsText" dxfId="3" priority="5" operator="containsText" text="63mm PS Privacy Blind">
      <formula>NOT(ISERROR(SEARCH("63mm PS Privacy Blind",D8)))</formula>
    </cfRule>
    <cfRule type="containsText" dxfId="2" priority="7" operator="containsText" text="50mm PS Privacy Blind">
      <formula>NOT(ISERROR(SEARCH("50mm PS Privacy Blind",D8)))</formula>
    </cfRule>
  </conditionalFormatting>
  <conditionalFormatting sqref="N6:V6">
    <cfRule type="notContainsBlanks" dxfId="1" priority="6">
      <formula>LEN(TRIM(N6))&gt;0</formula>
    </cfRule>
  </conditionalFormatting>
  <conditionalFormatting sqref="V8:V57">
    <cfRule type="expression" dxfId="0" priority="1">
      <formula>(AE8="Yes")</formula>
    </cfRule>
  </conditionalFormatting>
  <dataValidations count="16">
    <dataValidation type="list" allowBlank="1" showInputMessage="1" showErrorMessage="1" errorTitle="Invalid Entry" error="Invalid Entry" sqref="L8:L57" xr:uid="{8E3D4ED6-168E-4DD7-93DD-E972383CEFBB}">
      <formula1>Motor_Position</formula1>
    </dataValidation>
    <dataValidation allowBlank="1" sqref="X1:Y57" xr:uid="{90A9E52C-4065-44EA-895B-3783B3757711}"/>
    <dataValidation type="list" allowBlank="1" showInputMessage="1" showErrorMessage="1" errorTitle="Invalid Entry" error="Invalid Entry" sqref="N8:N57" xr:uid="{51070B6F-D4A0-4D17-A952-0D77178181FA}">
      <formula1>EVBPelmet</formula1>
    </dataValidation>
    <dataValidation type="whole" errorStyle="warning" allowBlank="1" showInputMessage="1" showErrorMessage="1" errorTitle="Invalid Entry" error="Maximum Cut Out Width is 130mm." sqref="S8:S57 U8:U57" xr:uid="{22E1BD73-3F63-45F9-AACB-EF4648AAE36B}">
      <formula1>0</formula1>
      <formula2>130</formula2>
    </dataValidation>
    <dataValidation type="list" allowBlank="1" showInputMessage="1" showErrorMessage="1" errorTitle="Invalid Entry" error="Invalid Entry" sqref="H8:H57" xr:uid="{1F519E36-CFE0-42AF-8F4B-A67E7EDDFB0E}">
      <formula1>WindowType</formula1>
    </dataValidation>
    <dataValidation type="whole" errorStyle="warning" allowBlank="1" showInputMessage="1" showErrorMessage="1" errorTitle="Be Aware" error="The Minimum Width is 600mm._x000a__x000a_The Maximum Width is 5000mm. _x000a__x000a_The Maximum m2 is 15m2._x000a__x000a_All openings over the Maximum Widths will require Multiple Blinds." sqref="G8:G57" xr:uid="{8061D6A4-6562-4AA9-AF1B-B0EB3F0519A0}">
      <formula1>600</formula1>
      <formula2>5000</formula2>
    </dataValidation>
    <dataValidation type="whole" errorStyle="warning" allowBlank="1" showInputMessage="1" showErrorMessage="1" errorTitle="Be Aware" error="The Minimum Width is 600mm._x000a__x000a_The Maximum Width is 4500mm. _x000a__x000a_The Maximum m2 is 15m2._x000a__x000a_All openings over the Maximum Widths will require Multiple Blinds." sqref="F8:F57" xr:uid="{E63D73E6-43DE-48A6-8100-F955576D2578}">
      <formula1>600</formula1>
      <formula2>4500</formula2>
    </dataValidation>
    <dataValidation type="list" allowBlank="1" showInputMessage="1" showErrorMessage="1" errorTitle="Invalid Entry" error="Invalid Entry" sqref="D8:D57" xr:uid="{FCA93365-CA21-4013-8FF9-1C05963644AF}">
      <formula1>Blade_Type</formula1>
    </dataValidation>
    <dataValidation allowBlank="1" showInputMessage="1" showErrorMessage="1" errorTitle="Invalid Entry" error="Please select from List!" sqref="R8:R57 T8:T57" xr:uid="{2057F31B-D656-42CB-A28D-45BF469943F1}"/>
    <dataValidation type="list" allowBlank="1" showInputMessage="1" showErrorMessage="1" errorTitle="Invalid Entry" error="Invalid Entry" sqref="J8:K57" xr:uid="{E72ABAA2-C597-4CC6-A4AB-703EAFCB7832}">
      <formula1>"ACT, NAM"</formula1>
    </dataValidation>
    <dataValidation type="list" allowBlank="1" showInputMessage="1" showErrorMessage="1" errorTitle="Invalid Entry" error="Invalid Entry" sqref="I8:I57" xr:uid="{F3C9984E-A849-4447-BC27-A25240D3233D}">
      <formula1>Mounting</formula1>
    </dataValidation>
    <dataValidation allowBlank="1" showInputMessage="1" errorTitle="Invalid Enrty" error="Please select from List!" sqref="W8:W57" xr:uid="{AE22F16F-66F7-49E6-A72E-210F50D565DD}"/>
    <dataValidation type="list" allowBlank="1" showInputMessage="1" showErrorMessage="1" errorTitle="Invalid Entry" error="Invalid Entry" sqref="M8:M57" xr:uid="{1F65B2A8-0A65-4345-B143-E51A88298A1A}">
      <formula1>INDIRECT(SUBSTITUTE(BI8," ","_"))</formula1>
    </dataValidation>
    <dataValidation type="list" allowBlank="1" showInputMessage="1" showErrorMessage="1" errorTitle="Invalid Entry" error="Invalid Entry" sqref="E8:E57" xr:uid="{09D46CE5-41D5-4FF8-A037-008833DF98CA}">
      <formula1>INDIRECT(SUBSTITUTE(BN8," ","_"))</formula1>
    </dataValidation>
    <dataValidation allowBlank="1" showInputMessage="1" sqref="O8:Q57" xr:uid="{0CA0D07E-0FE5-4729-94E9-70B0BE0C6669}"/>
    <dataValidation errorStyle="information" allowBlank="1" showInputMessage="1" sqref="V8:V57" xr:uid="{1593BC11-B2C6-4B34-A360-DDC8EE814935}"/>
  </dataValidations>
  <printOptions horizontalCentered="1"/>
  <pageMargins left="0.23622047244094491" right="0.23622047244094491" top="0.23622047244094491" bottom="0.23622047244094491" header="0.19685039370078741" footer="0.19685039370078741"/>
  <pageSetup paperSize="9" scale="50" fitToHeight="2"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pageSetUpPr fitToPage="1"/>
  </sheetPr>
  <dimension ref="A1:J58"/>
  <sheetViews>
    <sheetView zoomScaleNormal="100" workbookViewId="0">
      <selection activeCell="A27" sqref="A27"/>
    </sheetView>
  </sheetViews>
  <sheetFormatPr defaultRowHeight="12.75"/>
  <cols>
    <col min="1" max="1" width="14.5703125" style="33" customWidth="1"/>
    <col min="2" max="2" width="25.7109375" style="33" customWidth="1"/>
    <col min="3" max="3" width="12.28515625" style="33" customWidth="1"/>
    <col min="4" max="4" width="12.42578125" style="33" customWidth="1"/>
    <col min="5" max="5" width="11.7109375" style="33" customWidth="1"/>
    <col min="6" max="6" width="9.42578125" style="33" customWidth="1"/>
    <col min="7" max="7" width="21.28515625" style="33" customWidth="1"/>
    <col min="8" max="8" width="12.42578125" style="33" customWidth="1"/>
    <col min="9" max="9" width="12.5703125" style="33" customWidth="1"/>
    <col min="10" max="10" width="11.85546875" style="33" customWidth="1"/>
    <col min="11" max="16384" width="9.140625" style="33"/>
  </cols>
  <sheetData>
    <row r="1" spans="1:10">
      <c r="A1" s="832"/>
      <c r="B1" s="832"/>
      <c r="C1" s="832"/>
      <c r="D1" s="832"/>
    </row>
    <row r="2" spans="1:10" ht="26.25">
      <c r="A2" s="832"/>
      <c r="B2" s="832"/>
      <c r="C2" s="832"/>
      <c r="D2" s="832"/>
      <c r="E2" s="826" t="s">
        <v>382</v>
      </c>
      <c r="F2" s="827"/>
      <c r="G2" s="827"/>
      <c r="H2" s="827"/>
      <c r="I2" s="827"/>
    </row>
    <row r="3" spans="1:10" ht="9" customHeight="1">
      <c r="A3" s="832"/>
      <c r="B3" s="832"/>
      <c r="C3" s="832"/>
      <c r="D3" s="832"/>
    </row>
    <row r="4" spans="1:10" ht="18.75" customHeight="1">
      <c r="D4" s="828" t="s">
        <v>0</v>
      </c>
      <c r="E4" s="828"/>
      <c r="F4" s="828"/>
      <c r="G4" s="829">
        <f>Summary!D3</f>
        <v>0</v>
      </c>
      <c r="H4" s="829"/>
      <c r="I4" s="829"/>
    </row>
    <row r="5" spans="1:10" ht="18.75" customHeight="1">
      <c r="A5" s="830" t="s">
        <v>979</v>
      </c>
      <c r="B5" s="830"/>
      <c r="C5" s="830"/>
      <c r="D5" s="828" t="s">
        <v>1</v>
      </c>
      <c r="E5" s="828"/>
      <c r="F5" s="828"/>
      <c r="G5" s="829">
        <f>Summary!D6</f>
        <v>0</v>
      </c>
      <c r="H5" s="829"/>
      <c r="I5" s="829"/>
    </row>
    <row r="6" spans="1:10" ht="18.75" customHeight="1">
      <c r="A6" s="830"/>
      <c r="B6" s="830"/>
      <c r="C6" s="830"/>
      <c r="D6" s="828" t="s">
        <v>978</v>
      </c>
      <c r="E6" s="828"/>
      <c r="F6" s="828"/>
      <c r="G6" s="829">
        <f>Summary!D7</f>
        <v>0</v>
      </c>
      <c r="H6" s="829"/>
      <c r="I6" s="829"/>
    </row>
    <row r="7" spans="1:10" ht="18.75" customHeight="1">
      <c r="A7" s="830"/>
      <c r="B7" s="830"/>
      <c r="C7" s="830"/>
      <c r="D7" s="828" t="s">
        <v>144</v>
      </c>
      <c r="E7" s="828"/>
      <c r="F7" s="828"/>
      <c r="G7" s="831">
        <f>Summary!D8</f>
        <v>0</v>
      </c>
      <c r="H7" s="831"/>
      <c r="I7" s="831"/>
    </row>
    <row r="8" spans="1:10">
      <c r="A8" s="830"/>
      <c r="B8" s="830"/>
      <c r="C8" s="830"/>
    </row>
    <row r="9" spans="1:10" s="430" customFormat="1" ht="21" customHeight="1">
      <c r="A9" s="428" t="s">
        <v>192</v>
      </c>
      <c r="B9" s="833" t="s">
        <v>2527</v>
      </c>
      <c r="C9" s="833"/>
      <c r="D9" s="833" t="s">
        <v>193</v>
      </c>
      <c r="E9" s="833"/>
      <c r="F9" s="834" t="s">
        <v>1780</v>
      </c>
      <c r="G9" s="834"/>
      <c r="H9" s="834"/>
      <c r="I9" s="834"/>
      <c r="J9" s="429"/>
    </row>
    <row r="10" spans="1:10" s="430" customFormat="1" ht="21" customHeight="1">
      <c r="A10" s="431"/>
      <c r="B10" s="833"/>
      <c r="C10" s="833"/>
      <c r="D10" s="835" t="s">
        <v>194</v>
      </c>
      <c r="E10" s="835"/>
      <c r="F10" s="834" t="s">
        <v>1780</v>
      </c>
      <c r="G10" s="834"/>
      <c r="H10" s="834"/>
      <c r="I10" s="834"/>
      <c r="J10" s="429"/>
    </row>
    <row r="25" spans="1:10" s="98" customFormat="1" ht="15.75" customHeight="1">
      <c r="A25" s="841" t="s">
        <v>977</v>
      </c>
      <c r="B25" s="842" t="s">
        <v>181</v>
      </c>
      <c r="C25" s="841" t="s">
        <v>976</v>
      </c>
      <c r="D25" s="841" t="s">
        <v>975</v>
      </c>
      <c r="E25" s="841" t="s">
        <v>974</v>
      </c>
      <c r="F25" s="836" t="s">
        <v>195</v>
      </c>
      <c r="G25" s="836" t="s">
        <v>1030</v>
      </c>
      <c r="H25" s="838" t="s">
        <v>196</v>
      </c>
      <c r="I25" s="839"/>
      <c r="J25" s="840"/>
    </row>
    <row r="26" spans="1:10" s="98" customFormat="1" ht="15">
      <c r="A26" s="841"/>
      <c r="B26" s="843"/>
      <c r="C26" s="841"/>
      <c r="D26" s="841"/>
      <c r="E26" s="841"/>
      <c r="F26" s="837"/>
      <c r="G26" s="837"/>
      <c r="H26" s="222" t="s">
        <v>197</v>
      </c>
      <c r="I26" s="221" t="s">
        <v>198</v>
      </c>
      <c r="J26" s="220" t="s">
        <v>199</v>
      </c>
    </row>
    <row r="27" spans="1:10" s="99" customFormat="1" ht="28.5" customHeight="1">
      <c r="A27" s="31"/>
      <c r="B27" s="32"/>
      <c r="C27" s="31"/>
      <c r="D27" s="31"/>
      <c r="E27" s="31"/>
      <c r="F27" s="31"/>
      <c r="G27" s="31"/>
      <c r="H27" s="31"/>
      <c r="I27" s="31"/>
      <c r="J27" s="31"/>
    </row>
    <row r="28" spans="1:10" s="99" customFormat="1" ht="28.5" customHeight="1">
      <c r="A28" s="31"/>
      <c r="B28" s="32"/>
      <c r="C28" s="31"/>
      <c r="D28" s="31"/>
      <c r="E28" s="31"/>
      <c r="F28" s="31"/>
      <c r="G28" s="31"/>
      <c r="H28" s="31"/>
      <c r="I28" s="31"/>
      <c r="J28" s="31"/>
    </row>
    <row r="29" spans="1:10" s="99" customFormat="1" ht="28.5" customHeight="1">
      <c r="A29" s="31"/>
      <c r="B29" s="32"/>
      <c r="C29" s="31"/>
      <c r="D29" s="31"/>
      <c r="E29" s="31"/>
      <c r="F29" s="31"/>
      <c r="G29" s="31"/>
      <c r="H29" s="31"/>
      <c r="I29" s="31"/>
      <c r="J29" s="31"/>
    </row>
    <row r="30" spans="1:10" s="99" customFormat="1" ht="28.5" customHeight="1">
      <c r="A30" s="31"/>
      <c r="B30" s="32"/>
      <c r="C30" s="31"/>
      <c r="D30" s="31"/>
      <c r="E30" s="31"/>
      <c r="F30" s="31"/>
      <c r="G30" s="31"/>
      <c r="H30" s="31"/>
      <c r="I30" s="31"/>
      <c r="J30" s="31"/>
    </row>
    <row r="31" spans="1:10" s="99" customFormat="1" ht="28.5" customHeight="1">
      <c r="A31" s="31"/>
      <c r="B31" s="32"/>
      <c r="C31" s="31"/>
      <c r="D31" s="31"/>
      <c r="E31" s="31"/>
      <c r="F31" s="31"/>
      <c r="G31" s="31"/>
      <c r="H31" s="31"/>
      <c r="I31" s="31"/>
      <c r="J31" s="31"/>
    </row>
    <row r="32" spans="1:10" s="99" customFormat="1" ht="28.5" customHeight="1">
      <c r="A32" s="31"/>
      <c r="B32" s="32"/>
      <c r="C32" s="31"/>
      <c r="D32" s="31"/>
      <c r="E32" s="31"/>
      <c r="F32" s="31"/>
      <c r="G32" s="31"/>
      <c r="H32" s="31"/>
      <c r="I32" s="31"/>
      <c r="J32" s="31"/>
    </row>
    <row r="33" spans="1:10" s="99" customFormat="1" ht="28.5" customHeight="1">
      <c r="A33" s="31"/>
      <c r="B33" s="32"/>
      <c r="C33" s="31"/>
      <c r="D33" s="31"/>
      <c r="E33" s="31"/>
      <c r="F33" s="31"/>
      <c r="G33" s="31"/>
      <c r="H33" s="31"/>
      <c r="I33" s="31"/>
      <c r="J33" s="31"/>
    </row>
    <row r="34" spans="1:10" s="99" customFormat="1" ht="28.5" customHeight="1">
      <c r="A34" s="31"/>
      <c r="B34" s="32"/>
      <c r="C34" s="31"/>
      <c r="D34" s="31"/>
      <c r="E34" s="31"/>
      <c r="F34" s="31"/>
      <c r="G34" s="31"/>
      <c r="H34" s="31"/>
      <c r="I34" s="31"/>
      <c r="J34" s="31"/>
    </row>
    <row r="35" spans="1:10" s="99" customFormat="1" ht="28.5" customHeight="1">
      <c r="A35" s="31"/>
      <c r="B35" s="32"/>
      <c r="C35" s="31"/>
      <c r="D35" s="31"/>
      <c r="E35" s="31"/>
      <c r="F35" s="31"/>
      <c r="G35" s="31"/>
      <c r="H35" s="31"/>
      <c r="I35" s="31"/>
      <c r="J35" s="31"/>
    </row>
    <row r="36" spans="1:10" s="99" customFormat="1" ht="28.5" customHeight="1">
      <c r="A36" s="31"/>
      <c r="B36" s="32"/>
      <c r="C36" s="31"/>
      <c r="D36" s="31"/>
      <c r="E36" s="31"/>
      <c r="F36" s="31"/>
      <c r="G36" s="31"/>
      <c r="H36" s="31"/>
      <c r="I36" s="31"/>
      <c r="J36" s="31"/>
    </row>
    <row r="37" spans="1:10" s="99" customFormat="1" ht="28.5" customHeight="1">
      <c r="A37" s="31"/>
      <c r="B37" s="32"/>
      <c r="C37" s="31"/>
      <c r="D37" s="31"/>
      <c r="E37" s="31"/>
      <c r="F37" s="31"/>
      <c r="G37" s="31"/>
      <c r="H37" s="31"/>
      <c r="I37" s="31"/>
      <c r="J37" s="31"/>
    </row>
    <row r="38" spans="1:10" s="99" customFormat="1" ht="28.5" customHeight="1">
      <c r="A38" s="31"/>
      <c r="B38" s="32"/>
      <c r="C38" s="31"/>
      <c r="D38" s="31"/>
      <c r="E38" s="31"/>
      <c r="F38" s="31"/>
      <c r="G38" s="31"/>
      <c r="H38" s="31"/>
      <c r="I38" s="31"/>
      <c r="J38" s="31"/>
    </row>
    <row r="39" spans="1:10" s="99" customFormat="1" ht="28.5" customHeight="1">
      <c r="A39" s="31"/>
      <c r="B39" s="32"/>
      <c r="C39" s="31"/>
      <c r="D39" s="31"/>
      <c r="E39" s="31"/>
      <c r="F39" s="31"/>
      <c r="G39" s="31"/>
      <c r="H39" s="31"/>
      <c r="I39" s="31"/>
      <c r="J39" s="31"/>
    </row>
    <row r="40" spans="1:10" s="99" customFormat="1" ht="28.5" customHeight="1">
      <c r="A40" s="31"/>
      <c r="B40" s="32"/>
      <c r="C40" s="31"/>
      <c r="D40" s="31"/>
      <c r="E40" s="31"/>
      <c r="F40" s="31"/>
      <c r="G40" s="31"/>
      <c r="H40" s="31"/>
      <c r="I40" s="31"/>
      <c r="J40" s="31"/>
    </row>
    <row r="41" spans="1:10" s="99" customFormat="1" ht="28.5" customHeight="1">
      <c r="A41" s="31"/>
      <c r="B41" s="32"/>
      <c r="C41" s="31"/>
      <c r="D41" s="31"/>
      <c r="E41" s="31"/>
      <c r="F41" s="31"/>
      <c r="G41" s="31"/>
      <c r="H41" s="31"/>
      <c r="I41" s="31"/>
      <c r="J41" s="31"/>
    </row>
    <row r="42" spans="1:10" s="99" customFormat="1" ht="28.5" customHeight="1">
      <c r="A42" s="31"/>
      <c r="B42" s="32"/>
      <c r="C42" s="31"/>
      <c r="D42" s="31"/>
      <c r="E42" s="31"/>
      <c r="F42" s="31"/>
      <c r="G42" s="31"/>
      <c r="H42" s="31"/>
      <c r="I42" s="31"/>
      <c r="J42" s="31"/>
    </row>
    <row r="43" spans="1:10" s="99" customFormat="1" ht="28.5" customHeight="1">
      <c r="A43" s="31"/>
      <c r="B43" s="32"/>
      <c r="C43" s="31"/>
      <c r="D43" s="31"/>
      <c r="E43" s="31"/>
      <c r="F43" s="31"/>
      <c r="G43" s="31"/>
      <c r="H43" s="31"/>
      <c r="I43" s="31"/>
      <c r="J43" s="31"/>
    </row>
    <row r="44" spans="1:10" s="99" customFormat="1" ht="28.5" customHeight="1">
      <c r="A44" s="31"/>
      <c r="B44" s="32"/>
      <c r="C44" s="31"/>
      <c r="D44" s="31"/>
      <c r="E44" s="31"/>
      <c r="F44" s="31"/>
      <c r="G44" s="31"/>
      <c r="H44" s="31"/>
      <c r="I44" s="31"/>
      <c r="J44" s="31"/>
    </row>
    <row r="45" spans="1:10" s="99" customFormat="1" ht="28.5" customHeight="1">
      <c r="A45" s="31"/>
      <c r="B45" s="32"/>
      <c r="C45" s="31"/>
      <c r="D45" s="31"/>
      <c r="E45" s="31"/>
      <c r="F45" s="31"/>
      <c r="G45" s="31"/>
      <c r="H45" s="31"/>
      <c r="I45" s="31"/>
      <c r="J45" s="31"/>
    </row>
    <row r="46" spans="1:10" s="99" customFormat="1" ht="28.5" customHeight="1">
      <c r="A46" s="31"/>
      <c r="B46" s="32"/>
      <c r="C46" s="31"/>
      <c r="D46" s="31"/>
      <c r="E46" s="31"/>
      <c r="F46" s="31"/>
      <c r="G46" s="31"/>
      <c r="H46" s="31"/>
      <c r="I46" s="31"/>
      <c r="J46" s="31"/>
    </row>
    <row r="47" spans="1:10" s="99" customFormat="1" ht="28.5" customHeight="1">
      <c r="A47" s="31"/>
      <c r="B47" s="32"/>
      <c r="C47" s="31"/>
      <c r="D47" s="31"/>
      <c r="E47" s="31"/>
      <c r="F47" s="31"/>
      <c r="G47" s="31"/>
      <c r="H47" s="31"/>
      <c r="I47" s="31"/>
      <c r="J47" s="31"/>
    </row>
    <row r="48" spans="1:10" s="99" customFormat="1" ht="28.5" customHeight="1">
      <c r="A48" s="31"/>
      <c r="B48" s="32"/>
      <c r="C48" s="31"/>
      <c r="D48" s="31"/>
      <c r="E48" s="31"/>
      <c r="F48" s="31"/>
      <c r="G48" s="31"/>
      <c r="H48" s="31"/>
      <c r="I48" s="31"/>
      <c r="J48" s="31"/>
    </row>
    <row r="49" spans="1:10" s="99" customFormat="1" ht="28.5" customHeight="1">
      <c r="A49" s="31"/>
      <c r="B49" s="32"/>
      <c r="C49" s="31"/>
      <c r="D49" s="31"/>
      <c r="E49" s="31"/>
      <c r="F49" s="31"/>
      <c r="G49" s="31"/>
      <c r="H49" s="31"/>
      <c r="I49" s="31"/>
      <c r="J49" s="31"/>
    </row>
    <row r="50" spans="1:10" s="99" customFormat="1" ht="28.5" customHeight="1">
      <c r="A50" s="31"/>
      <c r="B50" s="32"/>
      <c r="C50" s="31"/>
      <c r="D50" s="31"/>
      <c r="E50" s="31"/>
      <c r="F50" s="31"/>
      <c r="G50" s="31"/>
      <c r="H50" s="31"/>
      <c r="I50" s="31"/>
      <c r="J50" s="31"/>
    </row>
    <row r="51" spans="1:10" s="99" customFormat="1" ht="28.5" customHeight="1">
      <c r="A51" s="31"/>
      <c r="B51" s="32"/>
      <c r="C51" s="31"/>
      <c r="D51" s="31"/>
      <c r="E51" s="31"/>
      <c r="F51" s="31"/>
      <c r="G51" s="31"/>
      <c r="H51" s="31"/>
      <c r="I51" s="31"/>
      <c r="J51" s="31"/>
    </row>
    <row r="52" spans="1:10" s="99" customFormat="1" ht="28.5" customHeight="1">
      <c r="A52" s="31"/>
      <c r="B52" s="32"/>
      <c r="C52" s="31"/>
      <c r="D52" s="31"/>
      <c r="E52" s="31"/>
      <c r="F52" s="31"/>
      <c r="G52" s="31"/>
      <c r="H52" s="31"/>
      <c r="I52" s="31"/>
      <c r="J52" s="31"/>
    </row>
    <row r="53" spans="1:10" s="99" customFormat="1" ht="28.5" customHeight="1">
      <c r="A53" s="31"/>
      <c r="B53" s="32"/>
      <c r="C53" s="31"/>
      <c r="D53" s="31"/>
      <c r="E53" s="31"/>
      <c r="F53" s="31"/>
      <c r="G53" s="31"/>
      <c r="H53" s="31"/>
      <c r="I53" s="31"/>
      <c r="J53" s="31"/>
    </row>
    <row r="54" spans="1:10" s="99" customFormat="1" ht="28.5" customHeight="1">
      <c r="A54" s="31"/>
      <c r="B54" s="32"/>
      <c r="C54" s="31"/>
      <c r="D54" s="31"/>
      <c r="E54" s="31"/>
      <c r="F54" s="31"/>
      <c r="G54" s="31"/>
      <c r="H54" s="31"/>
      <c r="I54" s="31"/>
      <c r="J54" s="31"/>
    </row>
    <row r="55" spans="1:10" s="99" customFormat="1" ht="28.5" customHeight="1">
      <c r="A55" s="31"/>
      <c r="B55" s="32"/>
      <c r="C55" s="31"/>
      <c r="D55" s="31"/>
      <c r="E55" s="31"/>
      <c r="F55" s="31"/>
      <c r="G55" s="31"/>
      <c r="H55" s="31"/>
      <c r="I55" s="31"/>
      <c r="J55" s="31"/>
    </row>
    <row r="56" spans="1:10" s="99" customFormat="1" ht="28.5" customHeight="1">
      <c r="A56" s="31"/>
      <c r="B56" s="32"/>
      <c r="C56" s="31"/>
      <c r="D56" s="31"/>
      <c r="E56" s="31"/>
      <c r="F56" s="31"/>
      <c r="G56" s="31"/>
      <c r="H56" s="31"/>
      <c r="I56" s="31"/>
      <c r="J56" s="31"/>
    </row>
    <row r="57" spans="1:10" s="99" customFormat="1" ht="28.5" customHeight="1">
      <c r="A57" s="31"/>
      <c r="B57" s="32"/>
      <c r="C57" s="31"/>
      <c r="D57" s="31"/>
      <c r="E57" s="31"/>
      <c r="F57" s="31"/>
      <c r="G57" s="31"/>
      <c r="H57" s="31"/>
      <c r="I57" s="31"/>
      <c r="J57" s="31"/>
    </row>
    <row r="58" spans="1:10">
      <c r="B58" s="34"/>
    </row>
  </sheetData>
  <sheetProtection algorithmName="SHA-512" hashValue="XGCBOvpKIieKUvB2UZv6+pnPPQu+nDlHbjCES1vc2qoDck5oLYgrxAsLo99CZ64dJb4HO2i2LIylpYYIZch9+g==" saltValue="w88zz0eIy9yit1FIUm8RYA==" spinCount="100000" sheet="1" objects="1" scenarios="1"/>
  <protectedRanges>
    <protectedRange sqref="J9:J10" name="Range1"/>
  </protectedRanges>
  <mergeCells count="25">
    <mergeCell ref="G25:G26"/>
    <mergeCell ref="H25:J25"/>
    <mergeCell ref="A25:A26"/>
    <mergeCell ref="B25:B26"/>
    <mergeCell ref="C25:C26"/>
    <mergeCell ref="D25:D26"/>
    <mergeCell ref="E25:E26"/>
    <mergeCell ref="F25:F26"/>
    <mergeCell ref="B9:C9"/>
    <mergeCell ref="B10:C10"/>
    <mergeCell ref="F9:I9"/>
    <mergeCell ref="F10:I10"/>
    <mergeCell ref="D9:E9"/>
    <mergeCell ref="D10:E10"/>
    <mergeCell ref="E2:I2"/>
    <mergeCell ref="D4:F4"/>
    <mergeCell ref="G4:I4"/>
    <mergeCell ref="A5:C8"/>
    <mergeCell ref="D5:F5"/>
    <mergeCell ref="G5:I5"/>
    <mergeCell ref="D6:F6"/>
    <mergeCell ref="G6:I6"/>
    <mergeCell ref="D7:F7"/>
    <mergeCell ref="G7:I7"/>
    <mergeCell ref="A1:D3"/>
  </mergeCells>
  <dataValidations count="8">
    <dataValidation type="list" allowBlank="1" showInputMessage="1" showErrorMessage="1" errorTitle="Invalid Entry" error="Invalid Entry" sqref="E27:E57" xr:uid="{00000000-0002-0000-0B00-000000000000}">
      <formula1>ACTNAM</formula1>
    </dataValidation>
    <dataValidation type="list" allowBlank="1" showInputMessage="1" showErrorMessage="1" errorTitle="Invalid Entry" error="Invalid Entry" sqref="F27:F57" xr:uid="{00000000-0002-0000-0B00-000001000000}">
      <formula1>ButtThru</formula1>
    </dataValidation>
    <dataValidation type="list" allowBlank="1" showInputMessage="1" showErrorMessage="1" errorTitle="Invalid Entry" error="Invalid Entry" sqref="C27:C57" xr:uid="{00000000-0002-0000-0B00-000002000000}">
      <formula1>LHRHCorner</formula1>
    </dataValidation>
    <dataValidation type="list" allowBlank="1" showInputMessage="1" showErrorMessage="1" errorTitle="Invalid Entry" error="Invalid Entry" sqref="D27:D57" xr:uid="{00000000-0002-0000-0B00-000003000000}">
      <formula1>FaceRecess</formula1>
    </dataValidation>
    <dataValidation type="list" allowBlank="1" showInputMessage="1" showErrorMessage="1" errorTitle="Invalid Entry" error="Invalid Entry" sqref="B27:B57" xr:uid="{00000000-0002-0000-0B00-000004000000}">
      <formula1>BlindType</formula1>
    </dataValidation>
    <dataValidation type="list" allowBlank="1" showInputMessage="1" showErrorMessage="1" errorTitle="Invalid Entry" error="Invalid Entry" sqref="G27:G57" xr:uid="{00000000-0002-0000-0B00-000005000000}">
      <formula1>INDIRECT(D27)</formula1>
    </dataValidation>
    <dataValidation type="list" allowBlank="1" showInputMessage="1" showErrorMessage="1" errorTitle="Invalid Entry" error="Invalid Entry" sqref="F9:I10" xr:uid="{382153B4-6FF0-4B63-A5A5-D02AF496AEF0}">
      <formula1>CMBEmail</formula1>
    </dataValidation>
    <dataValidation allowBlank="1" showInputMessage="1" showErrorMessage="1" errorTitle="Invalid Entry" error="Invalid Entry" sqref="B9:C9" xr:uid="{08476989-4ED6-47FF-9601-1EA29CED9293}"/>
  </dataValidations>
  <printOptions horizontalCentered="1"/>
  <pageMargins left="0.19685039370078741" right="0.19685039370078741" top="0.23622047244094491" bottom="0.23622047244094491" header="0.19685039370078741" footer="0.19685039370078741"/>
  <pageSetup paperSize="9" scale="65" orientation="portrait"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0.749992370372631"/>
    <pageSetUpPr fitToPage="1"/>
  </sheetPr>
  <dimension ref="A1:L58"/>
  <sheetViews>
    <sheetView zoomScaleNormal="100" workbookViewId="0">
      <selection activeCell="A27" sqref="A27"/>
    </sheetView>
  </sheetViews>
  <sheetFormatPr defaultRowHeight="12.75"/>
  <cols>
    <col min="1" max="1" width="12.85546875" style="33" customWidth="1"/>
    <col min="2" max="2" width="20.5703125" style="33" customWidth="1"/>
    <col min="3" max="3" width="11.42578125" style="33" customWidth="1"/>
    <col min="4" max="4" width="13.140625" style="33" customWidth="1"/>
    <col min="5" max="5" width="21.28515625" style="33" customWidth="1"/>
    <col min="6" max="6" width="7.7109375" style="33" customWidth="1"/>
    <col min="7" max="12" width="10.42578125" style="33" customWidth="1"/>
    <col min="13" max="16384" width="9.140625" style="33"/>
  </cols>
  <sheetData>
    <row r="1" spans="1:11">
      <c r="A1" s="832"/>
      <c r="B1" s="832"/>
      <c r="C1" s="832"/>
      <c r="D1" s="832"/>
    </row>
    <row r="2" spans="1:11" ht="26.25">
      <c r="A2" s="832"/>
      <c r="B2" s="832"/>
      <c r="C2" s="832"/>
      <c r="D2" s="832"/>
      <c r="E2" s="844" t="s">
        <v>383</v>
      </c>
      <c r="F2" s="827"/>
      <c r="G2" s="827"/>
      <c r="H2" s="827"/>
      <c r="I2" s="827"/>
      <c r="J2" s="827"/>
      <c r="K2" s="827"/>
    </row>
    <row r="3" spans="1:11" ht="9" customHeight="1">
      <c r="A3" s="832"/>
      <c r="B3" s="832"/>
      <c r="C3" s="832"/>
      <c r="D3" s="832"/>
    </row>
    <row r="4" spans="1:11" ht="18.75" customHeight="1">
      <c r="D4" s="828" t="s">
        <v>0</v>
      </c>
      <c r="E4" s="828"/>
      <c r="F4" s="828"/>
      <c r="G4" s="828"/>
      <c r="H4" s="829">
        <f>Summary!D3</f>
        <v>0</v>
      </c>
      <c r="I4" s="829"/>
      <c r="J4" s="829"/>
      <c r="K4" s="829"/>
    </row>
    <row r="5" spans="1:11" ht="18.75" customHeight="1">
      <c r="A5" s="830" t="s">
        <v>979</v>
      </c>
      <c r="B5" s="830"/>
      <c r="C5" s="830"/>
      <c r="D5" s="828" t="s">
        <v>1</v>
      </c>
      <c r="E5" s="828"/>
      <c r="F5" s="828"/>
      <c r="G5" s="828"/>
      <c r="H5" s="829">
        <f>Summary!D6</f>
        <v>0</v>
      </c>
      <c r="I5" s="829"/>
      <c r="J5" s="829"/>
      <c r="K5" s="829"/>
    </row>
    <row r="6" spans="1:11" ht="18.75" customHeight="1">
      <c r="A6" s="830"/>
      <c r="B6" s="830"/>
      <c r="C6" s="830"/>
      <c r="D6" s="828" t="s">
        <v>978</v>
      </c>
      <c r="E6" s="828"/>
      <c r="F6" s="828"/>
      <c r="G6" s="828"/>
      <c r="H6" s="829">
        <f>Summary!D7</f>
        <v>0</v>
      </c>
      <c r="I6" s="829"/>
      <c r="J6" s="829"/>
      <c r="K6" s="829"/>
    </row>
    <row r="7" spans="1:11" ht="18.75" customHeight="1">
      <c r="A7" s="830"/>
      <c r="B7" s="830"/>
      <c r="C7" s="830"/>
      <c r="D7" s="828" t="s">
        <v>144</v>
      </c>
      <c r="E7" s="828"/>
      <c r="F7" s="828"/>
      <c r="G7" s="828"/>
      <c r="H7" s="831">
        <f>Summary!D8</f>
        <v>0</v>
      </c>
      <c r="I7" s="831"/>
      <c r="J7" s="831"/>
      <c r="K7" s="831"/>
    </row>
    <row r="8" spans="1:11">
      <c r="A8" s="830"/>
      <c r="B8" s="830"/>
      <c r="C8" s="830"/>
    </row>
    <row r="9" spans="1:11" s="430" customFormat="1" ht="21" customHeight="1">
      <c r="A9" s="428" t="s">
        <v>192</v>
      </c>
      <c r="B9" s="833" t="s">
        <v>2527</v>
      </c>
      <c r="C9" s="833"/>
      <c r="D9" s="833" t="s">
        <v>193</v>
      </c>
      <c r="E9" s="833"/>
      <c r="F9" s="833"/>
      <c r="G9" s="834" t="s">
        <v>1780</v>
      </c>
      <c r="H9" s="834"/>
      <c r="I9" s="834"/>
      <c r="J9" s="834"/>
      <c r="K9" s="834"/>
    </row>
    <row r="10" spans="1:11" s="430" customFormat="1" ht="21" customHeight="1">
      <c r="A10" s="431"/>
      <c r="B10" s="833"/>
      <c r="C10" s="833"/>
      <c r="D10" s="835" t="s">
        <v>194</v>
      </c>
      <c r="E10" s="835"/>
      <c r="F10" s="835"/>
      <c r="G10" s="834" t="s">
        <v>1780</v>
      </c>
      <c r="H10" s="834"/>
      <c r="I10" s="834"/>
      <c r="J10" s="834"/>
      <c r="K10" s="834"/>
    </row>
    <row r="12" spans="1:11" ht="20.25">
      <c r="A12" s="100"/>
    </row>
    <row r="25" spans="1:12" s="98" customFormat="1" ht="15.75" customHeight="1">
      <c r="A25" s="845" t="s">
        <v>981</v>
      </c>
      <c r="B25" s="849" t="s">
        <v>181</v>
      </c>
      <c r="C25" s="847" t="s">
        <v>975</v>
      </c>
      <c r="D25" s="847" t="s">
        <v>974</v>
      </c>
      <c r="E25" s="847" t="s">
        <v>1030</v>
      </c>
      <c r="F25" s="847" t="s">
        <v>980</v>
      </c>
      <c r="G25" s="845" t="s">
        <v>196</v>
      </c>
      <c r="H25" s="846"/>
      <c r="I25" s="846"/>
      <c r="J25" s="846"/>
      <c r="K25" s="846"/>
      <c r="L25" s="846"/>
    </row>
    <row r="26" spans="1:12" s="98" customFormat="1" ht="15">
      <c r="A26" s="845"/>
      <c r="B26" s="850"/>
      <c r="C26" s="848"/>
      <c r="D26" s="848"/>
      <c r="E26" s="848"/>
      <c r="F26" s="848"/>
      <c r="G26" s="227" t="s">
        <v>197</v>
      </c>
      <c r="H26" s="226" t="s">
        <v>198</v>
      </c>
      <c r="I26" s="225" t="s">
        <v>200</v>
      </c>
      <c r="J26" s="224" t="s">
        <v>201</v>
      </c>
      <c r="K26" s="223" t="s">
        <v>202</v>
      </c>
      <c r="L26" s="223" t="s">
        <v>199</v>
      </c>
    </row>
    <row r="27" spans="1:12" s="99" customFormat="1" ht="28.5" customHeight="1">
      <c r="A27" s="31"/>
      <c r="B27" s="32"/>
      <c r="C27" s="31"/>
      <c r="D27" s="31"/>
      <c r="E27" s="31"/>
      <c r="F27" s="31"/>
      <c r="G27" s="31"/>
      <c r="H27" s="31"/>
      <c r="I27" s="31"/>
      <c r="J27" s="31"/>
      <c r="K27" s="31"/>
      <c r="L27" s="31"/>
    </row>
    <row r="28" spans="1:12" s="99" customFormat="1" ht="28.5" customHeight="1">
      <c r="A28" s="31"/>
      <c r="B28" s="32"/>
      <c r="C28" s="31"/>
      <c r="D28" s="31"/>
      <c r="E28" s="31"/>
      <c r="F28" s="31"/>
      <c r="G28" s="31"/>
      <c r="H28" s="31"/>
      <c r="I28" s="31"/>
      <c r="J28" s="31"/>
      <c r="K28" s="31"/>
      <c r="L28" s="31"/>
    </row>
    <row r="29" spans="1:12" s="99" customFormat="1" ht="28.5" customHeight="1">
      <c r="A29" s="31"/>
      <c r="B29" s="32"/>
      <c r="C29" s="31"/>
      <c r="D29" s="31"/>
      <c r="E29" s="31"/>
      <c r="F29" s="31"/>
      <c r="G29" s="31"/>
      <c r="H29" s="31"/>
      <c r="I29" s="31"/>
      <c r="J29" s="31"/>
      <c r="K29" s="31"/>
      <c r="L29" s="31"/>
    </row>
    <row r="30" spans="1:12" s="99" customFormat="1" ht="28.5" customHeight="1">
      <c r="A30" s="31"/>
      <c r="B30" s="32"/>
      <c r="C30" s="31"/>
      <c r="D30" s="31"/>
      <c r="E30" s="31"/>
      <c r="F30" s="31"/>
      <c r="G30" s="31"/>
      <c r="H30" s="31"/>
      <c r="I30" s="31"/>
      <c r="J30" s="31"/>
      <c r="K30" s="31"/>
      <c r="L30" s="31"/>
    </row>
    <row r="31" spans="1:12" s="99" customFormat="1" ht="28.5" customHeight="1">
      <c r="A31" s="31"/>
      <c r="B31" s="32"/>
      <c r="C31" s="31"/>
      <c r="D31" s="31"/>
      <c r="E31" s="31"/>
      <c r="F31" s="31"/>
      <c r="G31" s="31"/>
      <c r="H31" s="31"/>
      <c r="I31" s="31"/>
      <c r="J31" s="31"/>
      <c r="K31" s="31"/>
      <c r="L31" s="31"/>
    </row>
    <row r="32" spans="1:12" s="99" customFormat="1" ht="28.5" customHeight="1">
      <c r="A32" s="31"/>
      <c r="B32" s="32"/>
      <c r="C32" s="31"/>
      <c r="D32" s="31"/>
      <c r="E32" s="31"/>
      <c r="F32" s="31"/>
      <c r="G32" s="31"/>
      <c r="H32" s="31"/>
      <c r="I32" s="31"/>
      <c r="J32" s="31"/>
      <c r="K32" s="31"/>
      <c r="L32" s="31"/>
    </row>
    <row r="33" spans="1:12" s="99" customFormat="1" ht="28.5" customHeight="1">
      <c r="A33" s="31"/>
      <c r="B33" s="32"/>
      <c r="C33" s="31"/>
      <c r="D33" s="31"/>
      <c r="E33" s="31"/>
      <c r="F33" s="31"/>
      <c r="G33" s="31"/>
      <c r="H33" s="31"/>
      <c r="I33" s="31"/>
      <c r="J33" s="31"/>
      <c r="K33" s="31"/>
      <c r="L33" s="31"/>
    </row>
    <row r="34" spans="1:12" s="99" customFormat="1" ht="28.5" customHeight="1">
      <c r="A34" s="31"/>
      <c r="B34" s="32"/>
      <c r="C34" s="31"/>
      <c r="D34" s="31"/>
      <c r="E34" s="31"/>
      <c r="F34" s="31"/>
      <c r="G34" s="31"/>
      <c r="H34" s="31"/>
      <c r="I34" s="31"/>
      <c r="J34" s="31"/>
      <c r="K34" s="31"/>
      <c r="L34" s="31"/>
    </row>
    <row r="35" spans="1:12" s="99" customFormat="1" ht="28.5" customHeight="1">
      <c r="A35" s="31"/>
      <c r="B35" s="32"/>
      <c r="C35" s="31"/>
      <c r="D35" s="31"/>
      <c r="E35" s="31"/>
      <c r="F35" s="31"/>
      <c r="G35" s="31"/>
      <c r="H35" s="31"/>
      <c r="I35" s="31"/>
      <c r="J35" s="31"/>
      <c r="K35" s="31"/>
      <c r="L35" s="31"/>
    </row>
    <row r="36" spans="1:12" s="99" customFormat="1" ht="28.5" customHeight="1">
      <c r="A36" s="31"/>
      <c r="B36" s="32"/>
      <c r="C36" s="31"/>
      <c r="D36" s="31"/>
      <c r="E36" s="31"/>
      <c r="F36" s="31"/>
      <c r="G36" s="31"/>
      <c r="H36" s="31"/>
      <c r="I36" s="31"/>
      <c r="J36" s="31"/>
      <c r="K36" s="31"/>
      <c r="L36" s="31"/>
    </row>
    <row r="37" spans="1:12" s="99" customFormat="1" ht="28.5" customHeight="1">
      <c r="A37" s="31"/>
      <c r="B37" s="32"/>
      <c r="C37" s="31"/>
      <c r="D37" s="31"/>
      <c r="E37" s="31"/>
      <c r="F37" s="31"/>
      <c r="G37" s="31"/>
      <c r="H37" s="31"/>
      <c r="I37" s="31"/>
      <c r="J37" s="31"/>
      <c r="K37" s="31"/>
      <c r="L37" s="31"/>
    </row>
    <row r="38" spans="1:12" s="99" customFormat="1" ht="28.5" customHeight="1">
      <c r="A38" s="31"/>
      <c r="B38" s="32"/>
      <c r="C38" s="31"/>
      <c r="D38" s="31"/>
      <c r="E38" s="31"/>
      <c r="F38" s="31"/>
      <c r="G38" s="31"/>
      <c r="H38" s="31"/>
      <c r="I38" s="31"/>
      <c r="J38" s="31"/>
      <c r="K38" s="31"/>
      <c r="L38" s="31"/>
    </row>
    <row r="39" spans="1:12" s="99" customFormat="1" ht="28.5" customHeight="1">
      <c r="A39" s="31"/>
      <c r="B39" s="32"/>
      <c r="C39" s="31"/>
      <c r="D39" s="31"/>
      <c r="E39" s="31"/>
      <c r="F39" s="31"/>
      <c r="G39" s="31"/>
      <c r="H39" s="31"/>
      <c r="I39" s="31"/>
      <c r="J39" s="31"/>
      <c r="K39" s="31"/>
      <c r="L39" s="31"/>
    </row>
    <row r="40" spans="1:12" s="99" customFormat="1" ht="28.5" customHeight="1">
      <c r="A40" s="31"/>
      <c r="B40" s="32"/>
      <c r="C40" s="31"/>
      <c r="D40" s="31"/>
      <c r="E40" s="31"/>
      <c r="F40" s="31"/>
      <c r="G40" s="31"/>
      <c r="H40" s="31"/>
      <c r="I40" s="31"/>
      <c r="J40" s="31"/>
      <c r="K40" s="31"/>
      <c r="L40" s="31"/>
    </row>
    <row r="41" spans="1:12" s="99" customFormat="1" ht="28.5" customHeight="1">
      <c r="A41" s="31"/>
      <c r="B41" s="32"/>
      <c r="C41" s="31"/>
      <c r="D41" s="31"/>
      <c r="E41" s="31"/>
      <c r="F41" s="31"/>
      <c r="G41" s="31"/>
      <c r="H41" s="31"/>
      <c r="I41" s="31"/>
      <c r="J41" s="31"/>
      <c r="K41" s="31"/>
      <c r="L41" s="31"/>
    </row>
    <row r="42" spans="1:12" s="99" customFormat="1" ht="28.5" customHeight="1">
      <c r="A42" s="31"/>
      <c r="B42" s="32"/>
      <c r="C42" s="31"/>
      <c r="D42" s="31"/>
      <c r="E42" s="31"/>
      <c r="F42" s="31"/>
      <c r="G42" s="31"/>
      <c r="H42" s="31"/>
      <c r="I42" s="31"/>
      <c r="J42" s="31"/>
      <c r="K42" s="31"/>
      <c r="L42" s="31"/>
    </row>
    <row r="43" spans="1:12" s="99" customFormat="1" ht="28.5" customHeight="1">
      <c r="A43" s="31"/>
      <c r="B43" s="32"/>
      <c r="C43" s="31"/>
      <c r="D43" s="31"/>
      <c r="E43" s="31"/>
      <c r="F43" s="31"/>
      <c r="G43" s="31"/>
      <c r="H43" s="31"/>
      <c r="I43" s="31"/>
      <c r="J43" s="31"/>
      <c r="K43" s="31"/>
      <c r="L43" s="31"/>
    </row>
    <row r="44" spans="1:12" s="99" customFormat="1" ht="28.5" customHeight="1">
      <c r="A44" s="31"/>
      <c r="B44" s="32"/>
      <c r="C44" s="31"/>
      <c r="D44" s="31"/>
      <c r="E44" s="31"/>
      <c r="F44" s="31"/>
      <c r="G44" s="31"/>
      <c r="H44" s="31"/>
      <c r="I44" s="31"/>
      <c r="J44" s="31"/>
      <c r="K44" s="31"/>
      <c r="L44" s="31"/>
    </row>
    <row r="45" spans="1:12" s="99" customFormat="1" ht="28.5" customHeight="1">
      <c r="A45" s="31"/>
      <c r="B45" s="32"/>
      <c r="C45" s="31"/>
      <c r="D45" s="31"/>
      <c r="E45" s="31"/>
      <c r="F45" s="31"/>
      <c r="G45" s="31"/>
      <c r="H45" s="31"/>
      <c r="I45" s="31"/>
      <c r="J45" s="31"/>
      <c r="K45" s="31"/>
      <c r="L45" s="31"/>
    </row>
    <row r="46" spans="1:12" s="99" customFormat="1" ht="28.5" customHeight="1">
      <c r="A46" s="31"/>
      <c r="B46" s="32"/>
      <c r="C46" s="31"/>
      <c r="D46" s="31"/>
      <c r="E46" s="31"/>
      <c r="F46" s="31"/>
      <c r="G46" s="31"/>
      <c r="H46" s="31"/>
      <c r="I46" s="31"/>
      <c r="J46" s="31"/>
      <c r="K46" s="31"/>
      <c r="L46" s="31"/>
    </row>
    <row r="47" spans="1:12" s="99" customFormat="1" ht="28.5" customHeight="1">
      <c r="A47" s="31"/>
      <c r="B47" s="32"/>
      <c r="C47" s="31"/>
      <c r="D47" s="31"/>
      <c r="E47" s="31"/>
      <c r="F47" s="31"/>
      <c r="G47" s="31"/>
      <c r="H47" s="31"/>
      <c r="I47" s="31"/>
      <c r="J47" s="31"/>
      <c r="K47" s="31"/>
      <c r="L47" s="31"/>
    </row>
    <row r="48" spans="1:12" s="99" customFormat="1" ht="28.5" customHeight="1">
      <c r="A48" s="31"/>
      <c r="B48" s="32"/>
      <c r="C48" s="31"/>
      <c r="D48" s="31"/>
      <c r="E48" s="31"/>
      <c r="F48" s="31"/>
      <c r="G48" s="31"/>
      <c r="H48" s="31"/>
      <c r="I48" s="31"/>
      <c r="J48" s="31"/>
      <c r="K48" s="31"/>
      <c r="L48" s="31"/>
    </row>
    <row r="49" spans="1:12" s="99" customFormat="1" ht="28.5" customHeight="1">
      <c r="A49" s="31"/>
      <c r="B49" s="32"/>
      <c r="C49" s="31"/>
      <c r="D49" s="31"/>
      <c r="E49" s="31"/>
      <c r="F49" s="31"/>
      <c r="G49" s="31"/>
      <c r="H49" s="31"/>
      <c r="I49" s="31"/>
      <c r="J49" s="31"/>
      <c r="K49" s="31"/>
      <c r="L49" s="31"/>
    </row>
    <row r="50" spans="1:12" s="99" customFormat="1" ht="28.5" customHeight="1">
      <c r="A50" s="31"/>
      <c r="B50" s="32"/>
      <c r="C50" s="31"/>
      <c r="D50" s="31"/>
      <c r="E50" s="31"/>
      <c r="F50" s="31"/>
      <c r="G50" s="31"/>
      <c r="H50" s="31"/>
      <c r="I50" s="31"/>
      <c r="J50" s="31"/>
      <c r="K50" s="31"/>
      <c r="L50" s="31"/>
    </row>
    <row r="51" spans="1:12" s="99" customFormat="1" ht="28.5" customHeight="1">
      <c r="A51" s="31"/>
      <c r="B51" s="32"/>
      <c r="C51" s="31"/>
      <c r="D51" s="31"/>
      <c r="E51" s="31"/>
      <c r="F51" s="31"/>
      <c r="G51" s="31"/>
      <c r="H51" s="31"/>
      <c r="I51" s="31"/>
      <c r="J51" s="31"/>
      <c r="K51" s="31"/>
      <c r="L51" s="31"/>
    </row>
    <row r="52" spans="1:12" s="99" customFormat="1" ht="28.5" customHeight="1">
      <c r="A52" s="31"/>
      <c r="B52" s="32"/>
      <c r="C52" s="31"/>
      <c r="D52" s="31"/>
      <c r="E52" s="31"/>
      <c r="F52" s="31"/>
      <c r="G52" s="31"/>
      <c r="H52" s="31"/>
      <c r="I52" s="31"/>
      <c r="J52" s="31"/>
      <c r="K52" s="31"/>
      <c r="L52" s="31"/>
    </row>
    <row r="53" spans="1:12" s="99" customFormat="1" ht="28.5" customHeight="1">
      <c r="A53" s="31"/>
      <c r="B53" s="32"/>
      <c r="C53" s="31"/>
      <c r="D53" s="31"/>
      <c r="E53" s="31"/>
      <c r="F53" s="31"/>
      <c r="G53" s="31"/>
      <c r="H53" s="31"/>
      <c r="I53" s="31"/>
      <c r="J53" s="31"/>
      <c r="K53" s="31"/>
      <c r="L53" s="31"/>
    </row>
    <row r="54" spans="1:12" s="99" customFormat="1" ht="28.5" customHeight="1">
      <c r="A54" s="31"/>
      <c r="B54" s="32"/>
      <c r="C54" s="31"/>
      <c r="D54" s="31"/>
      <c r="E54" s="31"/>
      <c r="F54" s="31"/>
      <c r="G54" s="31"/>
      <c r="H54" s="31"/>
      <c r="I54" s="31"/>
      <c r="J54" s="31"/>
      <c r="K54" s="31"/>
      <c r="L54" s="31"/>
    </row>
    <row r="55" spans="1:12" s="99" customFormat="1" ht="28.5" customHeight="1">
      <c r="A55" s="31"/>
      <c r="B55" s="32"/>
      <c r="C55" s="31"/>
      <c r="D55" s="31"/>
      <c r="E55" s="31"/>
      <c r="F55" s="31"/>
      <c r="G55" s="31"/>
      <c r="H55" s="31"/>
      <c r="I55" s="31"/>
      <c r="J55" s="31"/>
      <c r="K55" s="31"/>
      <c r="L55" s="31"/>
    </row>
    <row r="56" spans="1:12" s="99" customFormat="1" ht="28.5" customHeight="1">
      <c r="A56" s="31"/>
      <c r="B56" s="32"/>
      <c r="C56" s="31"/>
      <c r="D56" s="31"/>
      <c r="E56" s="31"/>
      <c r="F56" s="31"/>
      <c r="G56" s="31"/>
      <c r="H56" s="31"/>
      <c r="I56" s="31"/>
      <c r="J56" s="31"/>
      <c r="K56" s="31"/>
      <c r="L56" s="31"/>
    </row>
    <row r="57" spans="1:12" s="99" customFormat="1" ht="28.5" customHeight="1">
      <c r="A57" s="31"/>
      <c r="B57" s="32"/>
      <c r="C57" s="31"/>
      <c r="D57" s="31"/>
      <c r="E57" s="31"/>
      <c r="F57" s="31"/>
      <c r="G57" s="31"/>
      <c r="H57" s="31"/>
      <c r="I57" s="31"/>
      <c r="J57" s="31"/>
      <c r="K57" s="31"/>
      <c r="L57" s="31"/>
    </row>
    <row r="58" spans="1:12">
      <c r="B58" s="34"/>
    </row>
  </sheetData>
  <sheetProtection algorithmName="SHA-512" hashValue="+Hdi/IczZ7qPyYt2Y8e17VMudWOrZbedWeEn7pmsDrDFB+cBKPKtIIbDRQjv1EWudKh5fsqnd7YKZ/NMhriY7A==" saltValue="8BjgMP8gTLb9D2uXrvSb5g==" spinCount="100000" sheet="1" objects="1" scenarios="1"/>
  <mergeCells count="24">
    <mergeCell ref="G10:K10"/>
    <mergeCell ref="G25:L25"/>
    <mergeCell ref="F25:F26"/>
    <mergeCell ref="A25:A26"/>
    <mergeCell ref="B25:B26"/>
    <mergeCell ref="C25:C26"/>
    <mergeCell ref="D25:D26"/>
    <mergeCell ref="E25:E26"/>
    <mergeCell ref="A1:D3"/>
    <mergeCell ref="E2:K2"/>
    <mergeCell ref="D4:G4"/>
    <mergeCell ref="B9:C9"/>
    <mergeCell ref="B10:C10"/>
    <mergeCell ref="A5:C8"/>
    <mergeCell ref="D5:G5"/>
    <mergeCell ref="D6:G6"/>
    <mergeCell ref="D7:G7"/>
    <mergeCell ref="H4:K4"/>
    <mergeCell ref="H5:K5"/>
    <mergeCell ref="H6:K6"/>
    <mergeCell ref="H7:K7"/>
    <mergeCell ref="D9:F9"/>
    <mergeCell ref="D10:F10"/>
    <mergeCell ref="G9:K9"/>
  </mergeCells>
  <dataValidations count="6">
    <dataValidation type="list" allowBlank="1" showInputMessage="1" showErrorMessage="1" errorTitle="Invalid Entry" error="Invalid Entry" sqref="D27:D57" xr:uid="{00000000-0002-0000-0C00-000000000000}">
      <formula1>ACTNAM</formula1>
    </dataValidation>
    <dataValidation type="list" allowBlank="1" showInputMessage="1" showErrorMessage="1" errorTitle="Invalid Entry" error="Invalid Entry" sqref="C27:C57" xr:uid="{00000000-0002-0000-0C00-000001000000}">
      <formula1>FaceRecess</formula1>
    </dataValidation>
    <dataValidation type="list" allowBlank="1" showInputMessage="1" showErrorMessage="1" errorTitle="Invalid Entry" error="Invalid Entry" sqref="B27:B57" xr:uid="{00000000-0002-0000-0C00-000002000000}">
      <formula1>BlindType</formula1>
    </dataValidation>
    <dataValidation type="list" allowBlank="1" showInputMessage="1" showErrorMessage="1" errorTitle="Invalid Entry" error="Invalid Entry" sqref="E27:E57" xr:uid="{00000000-0002-0000-0C00-000003000000}">
      <formula1>INDIRECT(C27)</formula1>
    </dataValidation>
    <dataValidation type="list" allowBlank="1" showInputMessage="1" showErrorMessage="1" errorTitle="Invalid Entry" error="Invalid Entry" sqref="G9:K10" xr:uid="{9E28D191-FE43-4686-A956-E417B170B40C}">
      <formula1>CMBEmail</formula1>
    </dataValidation>
    <dataValidation allowBlank="1" showInputMessage="1" showErrorMessage="1" errorTitle="Invalid Entry" error="Invalid Entry" sqref="B9:C9" xr:uid="{5B516DCC-BE69-4668-9680-9F4D0AC3B40B}"/>
  </dataValidations>
  <printOptions horizontalCentered="1"/>
  <pageMargins left="0.19685039370078741" right="0.19685039370078741" top="0.23622047244094491" bottom="0.23622047244094491" header="0.19685039370078741" footer="0.19685039370078741"/>
  <pageSetup paperSize="9" scale="6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26"/>
  <sheetViews>
    <sheetView tabSelected="1" workbookViewId="0">
      <selection activeCell="D3" sqref="D3:K3"/>
    </sheetView>
  </sheetViews>
  <sheetFormatPr defaultRowHeight="12.75"/>
  <cols>
    <col min="1" max="2" width="9.140625" style="364"/>
    <col min="3" max="3" width="32.140625" style="364" customWidth="1"/>
    <col min="4" max="4" width="16.42578125" style="364" customWidth="1"/>
    <col min="5" max="5" width="12.85546875" style="364" customWidth="1"/>
    <col min="6" max="6" width="6.85546875" style="364" customWidth="1"/>
    <col min="7" max="7" width="10.28515625" style="364" customWidth="1"/>
    <col min="8" max="8" width="10" style="364" customWidth="1"/>
    <col min="9" max="9" width="13" style="364" customWidth="1"/>
    <col min="10" max="10" width="10.140625" style="364" bestFit="1" customWidth="1"/>
    <col min="11" max="11" width="24.85546875" style="364" customWidth="1"/>
    <col min="12" max="16384" width="9.140625" style="364"/>
  </cols>
  <sheetData>
    <row r="1" spans="1:15" ht="69.75" customHeight="1">
      <c r="A1" s="510"/>
      <c r="B1" s="510"/>
      <c r="C1" s="510"/>
      <c r="D1" s="510"/>
      <c r="E1" s="510"/>
      <c r="F1" s="510"/>
      <c r="G1" s="510"/>
      <c r="H1" s="510"/>
      <c r="I1" s="510"/>
      <c r="J1" s="510"/>
      <c r="K1" s="510"/>
    </row>
    <row r="2" spans="1:15" ht="48" customHeight="1">
      <c r="A2" s="511" t="s">
        <v>1793</v>
      </c>
      <c r="B2" s="512"/>
      <c r="C2" s="512"/>
      <c r="D2" s="512"/>
      <c r="E2" s="512"/>
      <c r="F2" s="512"/>
      <c r="G2" s="512"/>
      <c r="H2" s="512"/>
      <c r="I2" s="512"/>
      <c r="J2" s="512"/>
      <c r="K2" s="513"/>
    </row>
    <row r="3" spans="1:15" ht="22.5" customHeight="1">
      <c r="A3" s="498" t="s">
        <v>0</v>
      </c>
      <c r="B3" s="499"/>
      <c r="C3" s="500"/>
      <c r="D3" s="514"/>
      <c r="E3" s="514"/>
      <c r="F3" s="514"/>
      <c r="G3" s="514"/>
      <c r="H3" s="514"/>
      <c r="I3" s="514"/>
      <c r="J3" s="514"/>
      <c r="K3" s="514"/>
    </row>
    <row r="4" spans="1:15" ht="22.5" customHeight="1">
      <c r="A4" s="497" t="s">
        <v>143</v>
      </c>
      <c r="B4" s="497"/>
      <c r="C4" s="497"/>
      <c r="D4" s="516"/>
      <c r="E4" s="517"/>
      <c r="F4" s="517"/>
      <c r="G4" s="517"/>
      <c r="H4" s="517"/>
      <c r="I4" s="517"/>
      <c r="J4" s="517"/>
      <c r="K4" s="517"/>
      <c r="O4" s="365"/>
    </row>
    <row r="5" spans="1:15" ht="22.5" customHeight="1">
      <c r="A5" s="515"/>
      <c r="B5" s="515"/>
      <c r="C5" s="515"/>
      <c r="D5" s="517"/>
      <c r="E5" s="517"/>
      <c r="F5" s="517"/>
      <c r="G5" s="517"/>
      <c r="H5" s="517"/>
      <c r="I5" s="517"/>
      <c r="J5" s="517"/>
      <c r="K5" s="517"/>
    </row>
    <row r="6" spans="1:15" ht="22.5" customHeight="1">
      <c r="A6" s="497" t="s">
        <v>229</v>
      </c>
      <c r="B6" s="497"/>
      <c r="C6" s="497"/>
      <c r="D6" s="518"/>
      <c r="E6" s="518"/>
      <c r="F6" s="518"/>
      <c r="G6" s="518"/>
      <c r="H6" s="518"/>
      <c r="I6" s="518"/>
      <c r="J6" s="518"/>
      <c r="K6" s="518"/>
    </row>
    <row r="7" spans="1:15" ht="22.5" customHeight="1">
      <c r="A7" s="497" t="s">
        <v>1032</v>
      </c>
      <c r="B7" s="497"/>
      <c r="C7" s="497"/>
      <c r="D7" s="522"/>
      <c r="E7" s="522"/>
      <c r="F7" s="522"/>
      <c r="G7" s="522"/>
      <c r="H7" s="522"/>
      <c r="I7" s="522"/>
      <c r="J7" s="522"/>
      <c r="K7" s="522"/>
    </row>
    <row r="8" spans="1:15" ht="22.5" customHeight="1">
      <c r="A8" s="497" t="s">
        <v>144</v>
      </c>
      <c r="B8" s="497"/>
      <c r="C8" s="497"/>
      <c r="D8" s="506"/>
      <c r="E8" s="506"/>
      <c r="F8" s="506"/>
      <c r="G8" s="506"/>
      <c r="H8" s="506"/>
      <c r="I8" s="506"/>
      <c r="J8" s="506"/>
      <c r="K8" s="506"/>
    </row>
    <row r="9" spans="1:15" ht="22.5" customHeight="1">
      <c r="A9" s="497" t="s">
        <v>170</v>
      </c>
      <c r="B9" s="497"/>
      <c r="C9" s="497"/>
      <c r="D9" s="507" t="s">
        <v>416</v>
      </c>
      <c r="E9" s="508"/>
      <c r="F9" s="508"/>
      <c r="G9" s="508"/>
      <c r="H9" s="508"/>
      <c r="I9" s="508"/>
      <c r="J9" s="508"/>
      <c r="K9" s="509"/>
    </row>
    <row r="10" spans="1:15" s="366" customFormat="1" ht="22.5" customHeight="1">
      <c r="A10" s="497"/>
      <c r="B10" s="497"/>
      <c r="C10" s="497"/>
      <c r="D10" s="521" t="s">
        <v>1795</v>
      </c>
      <c r="E10" s="521"/>
      <c r="F10" s="521"/>
      <c r="G10" s="519" t="s">
        <v>1780</v>
      </c>
      <c r="H10" s="520"/>
      <c r="I10" s="520"/>
      <c r="J10" s="520"/>
      <c r="K10" s="492"/>
    </row>
    <row r="11" spans="1:15" ht="23.25">
      <c r="A11" s="498" t="s">
        <v>171</v>
      </c>
      <c r="B11" s="499"/>
      <c r="C11" s="500"/>
      <c r="D11" s="501"/>
      <c r="E11" s="502"/>
      <c r="F11" s="502"/>
      <c r="G11" s="502"/>
      <c r="H11" s="502"/>
      <c r="I11" s="502"/>
      <c r="J11" s="502"/>
      <c r="K11" s="503"/>
    </row>
    <row r="13" spans="1:15">
      <c r="A13" s="504" t="s">
        <v>172</v>
      </c>
      <c r="B13" s="504"/>
      <c r="C13" s="504"/>
      <c r="D13" s="504"/>
      <c r="E13" s="504"/>
      <c r="F13" s="504"/>
      <c r="G13" s="504"/>
      <c r="H13" s="504"/>
      <c r="I13" s="504"/>
      <c r="J13" s="504"/>
      <c r="K13" s="504"/>
    </row>
    <row r="14" spans="1:15">
      <c r="A14" s="505" t="s">
        <v>173</v>
      </c>
      <c r="B14" s="505"/>
      <c r="C14" s="505"/>
      <c r="D14" s="367" t="s">
        <v>178</v>
      </c>
      <c r="E14" s="367" t="s">
        <v>174</v>
      </c>
      <c r="G14" s="505" t="s">
        <v>173</v>
      </c>
      <c r="H14" s="505"/>
      <c r="I14" s="505"/>
      <c r="J14" s="367" t="s">
        <v>207</v>
      </c>
      <c r="K14" s="367" t="s">
        <v>174</v>
      </c>
    </row>
    <row r="15" spans="1:15" ht="18" hidden="1">
      <c r="A15" s="525" t="s">
        <v>1082</v>
      </c>
      <c r="B15" s="525"/>
      <c r="C15" s="525"/>
      <c r="D15" s="368">
        <f>SUM('25mm Aluminium Blinds'!C8:C57)</f>
        <v>0</v>
      </c>
      <c r="E15" s="369" t="s">
        <v>180</v>
      </c>
    </row>
    <row r="16" spans="1:15" ht="18">
      <c r="A16" s="525" t="s">
        <v>1078</v>
      </c>
      <c r="B16" s="525"/>
      <c r="C16" s="525"/>
      <c r="D16" s="368">
        <f>SUM('50mm &amp; 63mm Venetian Blinds'!C8:C57)</f>
        <v>0</v>
      </c>
      <c r="E16" s="370" t="s">
        <v>176</v>
      </c>
      <c r="G16" s="525" t="s">
        <v>380</v>
      </c>
      <c r="H16" s="525"/>
      <c r="I16" s="525"/>
      <c r="J16" s="371" t="str">
        <f>IF(COUNTA('CMB Corner WS'!A27:J57)&gt;0,"YES","")</f>
        <v/>
      </c>
      <c r="K16" s="372" t="s">
        <v>378</v>
      </c>
    </row>
    <row r="17" spans="1:11" ht="18" hidden="1">
      <c r="A17" s="525" t="s">
        <v>175</v>
      </c>
      <c r="B17" s="525"/>
      <c r="C17" s="525"/>
      <c r="D17" s="371">
        <f>SUM('Roller Blinds'!C8:C57)</f>
        <v>0</v>
      </c>
      <c r="E17" s="373" t="s">
        <v>179</v>
      </c>
      <c r="G17" s="374"/>
      <c r="H17" s="374"/>
      <c r="I17" s="374"/>
      <c r="J17" s="375"/>
      <c r="K17" s="376"/>
    </row>
    <row r="18" spans="1:11" ht="18" hidden="1">
      <c r="A18" s="525" t="s">
        <v>187</v>
      </c>
      <c r="B18" s="525"/>
      <c r="C18" s="525"/>
      <c r="D18" s="371">
        <f>SUM('Vertical Blinds'!C7:C26)</f>
        <v>0</v>
      </c>
      <c r="E18" s="377" t="s">
        <v>188</v>
      </c>
    </row>
    <row r="19" spans="1:11" ht="18">
      <c r="A19" s="525" t="s">
        <v>1172</v>
      </c>
      <c r="B19" s="525"/>
      <c r="C19" s="525"/>
      <c r="D19" s="371">
        <f>SUM('Cellular Blinds'!C8:C57)</f>
        <v>0</v>
      </c>
      <c r="E19" s="378" t="s">
        <v>1394</v>
      </c>
      <c r="G19" s="525" t="s">
        <v>381</v>
      </c>
      <c r="H19" s="525"/>
      <c r="I19" s="525"/>
      <c r="J19" s="371" t="str">
        <f>IF(COUNTA('CMB Bay WS'!A27:L57)&gt;0,"YES","")</f>
        <v/>
      </c>
      <c r="K19" s="379" t="s">
        <v>379</v>
      </c>
    </row>
    <row r="20" spans="1:11" ht="18">
      <c r="A20" s="525" t="s">
        <v>2302</v>
      </c>
      <c r="B20" s="525"/>
      <c r="C20" s="525"/>
      <c r="D20" s="371">
        <f>SUM('Transition Blinds &amp; Roma Shades'!C8:C57)</f>
        <v>0</v>
      </c>
      <c r="E20" s="380" t="s">
        <v>1766</v>
      </c>
      <c r="G20" s="526"/>
      <c r="H20" s="526"/>
      <c r="I20" s="526"/>
      <c r="J20" s="526"/>
      <c r="K20" s="526"/>
    </row>
    <row r="21" spans="1:11" ht="18">
      <c r="A21" s="525" t="s">
        <v>2386</v>
      </c>
      <c r="B21" s="525"/>
      <c r="C21" s="525"/>
      <c r="D21" s="371">
        <f>SUM('Aluminium Venetian Blinds'!C8:C57)</f>
        <v>0</v>
      </c>
      <c r="E21" s="491" t="s">
        <v>180</v>
      </c>
      <c r="G21" s="527" t="s">
        <v>1796</v>
      </c>
      <c r="H21" s="528"/>
      <c r="I21" s="528"/>
      <c r="J21" s="528"/>
      <c r="K21" s="529"/>
    </row>
    <row r="22" spans="1:11" ht="18">
      <c r="A22" s="525" t="s">
        <v>2387</v>
      </c>
      <c r="B22" s="525"/>
      <c r="C22" s="525"/>
      <c r="D22" s="371">
        <f>SUM('External Venetian Blinds'!C8:C57)</f>
        <v>0</v>
      </c>
      <c r="E22" s="488" t="s">
        <v>377</v>
      </c>
      <c r="G22" s="533"/>
      <c r="H22" s="533"/>
      <c r="I22" s="533"/>
      <c r="J22" s="533"/>
      <c r="K22" s="533"/>
    </row>
    <row r="24" spans="1:11">
      <c r="G24" s="530" t="s">
        <v>1036</v>
      </c>
      <c r="H24" s="531"/>
      <c r="I24" s="531"/>
      <c r="J24" s="532"/>
      <c r="K24" s="381">
        <v>64</v>
      </c>
    </row>
    <row r="26" spans="1:11" ht="39" customHeight="1">
      <c r="A26" s="523" t="s">
        <v>1089</v>
      </c>
      <c r="B26" s="524"/>
      <c r="C26" s="524"/>
      <c r="D26" s="524"/>
      <c r="E26" s="524"/>
      <c r="F26" s="524"/>
      <c r="G26" s="524"/>
      <c r="H26" s="524"/>
      <c r="I26" s="524"/>
      <c r="J26" s="524"/>
      <c r="K26" s="524"/>
    </row>
  </sheetData>
  <sheetProtection algorithmName="SHA-512" hashValue="+HjFZJXLEinb+ASHaYaWTrpkLC1X3P1zb9qRrqptzDmsaUWJX6WVyjtm4oRSBfo9BVISjfuf+V5KmtgH/RbbxQ==" saltValue="iQP06XhEyf6h+TMGGwL6+g==" spinCount="100000" sheet="1"/>
  <protectedRanges>
    <protectedRange sqref="D4" name="Range8"/>
    <protectedRange sqref="J17" name="Range6"/>
    <protectedRange sqref="D11 D3 D5:D7" name="Range5"/>
    <protectedRange sqref="D9" name="Range1"/>
    <protectedRange sqref="D8" name="Range4"/>
    <protectedRange sqref="J22" name="Range6_1"/>
    <protectedRange sqref="J22" name="Range7"/>
    <protectedRange sqref="J19 J16" name="Range6_1_1"/>
    <protectedRange sqref="J19 J16" name="Range7_1"/>
  </protectedRanges>
  <mergeCells count="36">
    <mergeCell ref="A26:K26"/>
    <mergeCell ref="A16:C16"/>
    <mergeCell ref="G20:K20"/>
    <mergeCell ref="G21:K21"/>
    <mergeCell ref="A15:C15"/>
    <mergeCell ref="G24:J24"/>
    <mergeCell ref="A20:C20"/>
    <mergeCell ref="G22:K22"/>
    <mergeCell ref="G19:I19"/>
    <mergeCell ref="A18:C18"/>
    <mergeCell ref="A17:C17"/>
    <mergeCell ref="G16:I16"/>
    <mergeCell ref="A19:C19"/>
    <mergeCell ref="A22:C22"/>
    <mergeCell ref="A21:C21"/>
    <mergeCell ref="A14:C14"/>
    <mergeCell ref="G14:I14"/>
    <mergeCell ref="D8:K8"/>
    <mergeCell ref="D9:K9"/>
    <mergeCell ref="A1:K1"/>
    <mergeCell ref="A2:K2"/>
    <mergeCell ref="A3:C3"/>
    <mergeCell ref="D3:K3"/>
    <mergeCell ref="A4:C5"/>
    <mergeCell ref="D4:K5"/>
    <mergeCell ref="A6:C6"/>
    <mergeCell ref="A9:C10"/>
    <mergeCell ref="D6:K6"/>
    <mergeCell ref="G10:J10"/>
    <mergeCell ref="D10:F10"/>
    <mergeCell ref="D7:K7"/>
    <mergeCell ref="A8:C8"/>
    <mergeCell ref="A11:C11"/>
    <mergeCell ref="D11:K11"/>
    <mergeCell ref="A13:K13"/>
    <mergeCell ref="A7:C7"/>
  </mergeCells>
  <conditionalFormatting sqref="J16 J19">
    <cfRule type="containsText" dxfId="117" priority="2" stopIfTrue="1" operator="containsText" text="YES">
      <formula>NOT(ISERROR(SEARCH("YES",J16)))</formula>
    </cfRule>
  </conditionalFormatting>
  <dataValidations count="6">
    <dataValidation type="list" allowBlank="1" showInputMessage="1" showErrorMessage="1" errorTitle="Invalid Entry" error="Invalid Entry" sqref="G22:K22" xr:uid="{00000000-0002-0000-0100-000000000000}">
      <formula1>Pacific_Sales_Coordinator</formula1>
    </dataValidation>
    <dataValidation type="list" errorStyle="information" allowBlank="1" showErrorMessage="1" errorTitle="Alert" error="Warning - Non Default Delivery Address" sqref="D4:K5" xr:uid="{00000000-0002-0000-0100-000001000000}">
      <formula1>Delivery_Address</formula1>
    </dataValidation>
    <dataValidation type="list" errorStyle="information" allowBlank="1" showErrorMessage="1" errorTitle="Alert" error="Warning - Non Default Store Name" sqref="D3:K3" xr:uid="{00000000-0002-0000-0100-000002000000}">
      <formula1>Store_Name</formula1>
    </dataValidation>
    <dataValidation type="list" allowBlank="1" showInputMessage="1" showErrorMessage="1" errorTitle="Invalid Entry" error="Invalid Entry" sqref="K10" xr:uid="{00000000-0002-0000-0100-000003000000}">
      <formula1>CMBPhone</formula1>
    </dataValidation>
    <dataValidation type="list" allowBlank="1" showInputMessage="1" showErrorMessage="1" errorTitle="Invalid Entry" error="Invalid Entry" sqref="G10:J10" xr:uid="{00000000-0002-0000-0100-000005000000}">
      <formula1>CMBEmail</formula1>
    </dataValidation>
    <dataValidation allowBlank="1" showInputMessage="1" sqref="J16 J19" xr:uid="{00000000-0002-0000-0100-000007000000}"/>
  </dataValidations>
  <printOptions horizontalCentered="1"/>
  <pageMargins left="0.55118110236220474" right="0.43307086614173229" top="0.23622047244094491" bottom="0.23622047244094491" header="0.15748031496062992" footer="0.15748031496062992"/>
  <pageSetup paperSize="9" scale="9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9" tint="-0.249977111117893"/>
    <pageSetUpPr fitToPage="1"/>
  </sheetPr>
  <dimension ref="A1:AC58"/>
  <sheetViews>
    <sheetView view="pageBreakPreview" zoomScale="85" zoomScaleSheetLayoutView="85" workbookViewId="0">
      <selection activeCell="B8" sqref="B8"/>
    </sheetView>
  </sheetViews>
  <sheetFormatPr defaultRowHeight="15"/>
  <cols>
    <col min="1" max="1" width="7.42578125" style="54" customWidth="1"/>
    <col min="2" max="2" width="13" style="54" customWidth="1"/>
    <col min="3" max="3" width="6.28515625" style="54" customWidth="1"/>
    <col min="4" max="4" width="18.5703125" style="54" customWidth="1"/>
    <col min="5" max="5" width="27.140625" style="54" customWidth="1"/>
    <col min="6" max="6" width="13" style="54" customWidth="1"/>
    <col min="7" max="7" width="12.42578125" style="54" customWidth="1"/>
    <col min="8" max="8" width="16.28515625" style="54" customWidth="1"/>
    <col min="9" max="9" width="14.7109375" style="54" customWidth="1"/>
    <col min="10" max="10" width="10.42578125" style="54" customWidth="1"/>
    <col min="11" max="11" width="4.28515625" style="54" customWidth="1"/>
    <col min="12" max="12" width="13.5703125" style="54" customWidth="1"/>
    <col min="13" max="13" width="14.42578125" style="54" customWidth="1"/>
    <col min="14" max="14" width="14" style="54" customWidth="1"/>
    <col min="15" max="15" width="7.140625" style="54" customWidth="1"/>
    <col min="16" max="16" width="6.140625" style="54" customWidth="1"/>
    <col min="17" max="17" width="15.28515625" style="54" customWidth="1"/>
    <col min="18" max="18" width="15.140625" style="54" customWidth="1"/>
    <col min="19" max="20" width="14.7109375" style="54" customWidth="1"/>
    <col min="21" max="21" width="40.42578125" style="54" customWidth="1"/>
    <col min="22" max="22" width="15" style="54" customWidth="1"/>
    <col min="23" max="23" width="43.42578125" style="54" customWidth="1"/>
    <col min="24" max="25" width="9.140625" style="33"/>
    <col min="26" max="27" width="9.140625" style="33" hidden="1" customWidth="1"/>
    <col min="28" max="28" width="40.42578125" style="33" hidden="1" customWidth="1"/>
    <col min="29" max="29" width="42.28515625" style="33" hidden="1" customWidth="1"/>
    <col min="30" max="39" width="0" style="33" hidden="1" customWidth="1"/>
    <col min="40" max="16384" width="9.140625" style="33"/>
  </cols>
  <sheetData>
    <row r="1" spans="1:29" ht="26.25">
      <c r="A1" s="542"/>
      <c r="B1" s="543"/>
      <c r="C1" s="543"/>
      <c r="D1" s="543"/>
      <c r="E1" s="543"/>
      <c r="F1" s="543"/>
      <c r="G1" s="543"/>
      <c r="H1" s="543"/>
      <c r="I1" s="544"/>
      <c r="J1" s="58"/>
      <c r="K1" s="58"/>
      <c r="L1" s="536" t="s">
        <v>0</v>
      </c>
      <c r="M1" s="536"/>
      <c r="N1" s="545">
        <f>Summary!D3</f>
        <v>0</v>
      </c>
      <c r="O1" s="546"/>
      <c r="P1" s="546"/>
      <c r="Q1" s="546"/>
      <c r="R1" s="546"/>
      <c r="S1" s="546"/>
      <c r="T1" s="546"/>
      <c r="U1" s="59"/>
      <c r="V1" s="540"/>
      <c r="W1" s="519"/>
    </row>
    <row r="2" spans="1:29" ht="19.5">
      <c r="A2" s="28"/>
      <c r="B2" s="29"/>
      <c r="C2" s="29"/>
      <c r="D2" s="29"/>
      <c r="E2" s="29"/>
      <c r="F2" s="547" t="s">
        <v>184</v>
      </c>
      <c r="G2" s="547"/>
      <c r="H2" s="547"/>
      <c r="I2" s="548"/>
      <c r="J2" s="60"/>
      <c r="K2" s="60"/>
      <c r="L2" s="536" t="s">
        <v>141</v>
      </c>
      <c r="M2" s="536"/>
      <c r="N2" s="549">
        <f>Summary!D6</f>
        <v>0</v>
      </c>
      <c r="O2" s="550"/>
      <c r="P2" s="550"/>
      <c r="Q2" s="550"/>
      <c r="R2" s="550"/>
      <c r="S2" s="550"/>
      <c r="T2" s="550"/>
      <c r="U2" s="61"/>
      <c r="V2" s="540"/>
      <c r="W2" s="519"/>
    </row>
    <row r="3" spans="1:29" ht="17.25" customHeight="1">
      <c r="A3" s="7"/>
      <c r="B3" s="8"/>
      <c r="C3" s="8"/>
      <c r="D3" s="8"/>
      <c r="E3" s="8"/>
      <c r="F3" s="534"/>
      <c r="G3" s="534"/>
      <c r="H3" s="534"/>
      <c r="I3" s="535"/>
      <c r="J3" s="58"/>
      <c r="K3" s="58"/>
      <c r="L3" s="536" t="s">
        <v>143</v>
      </c>
      <c r="M3" s="536"/>
      <c r="N3" s="537">
        <f>Summary!D4</f>
        <v>0</v>
      </c>
      <c r="O3" s="538"/>
      <c r="P3" s="538"/>
      <c r="Q3" s="538"/>
      <c r="R3" s="538"/>
      <c r="S3" s="538"/>
      <c r="T3" s="539"/>
      <c r="U3" s="61"/>
      <c r="V3" s="62"/>
      <c r="W3" s="63"/>
    </row>
    <row r="4" spans="1:29" ht="17.25" customHeight="1">
      <c r="A4" s="551" t="s">
        <v>453</v>
      </c>
      <c r="B4" s="551"/>
      <c r="C4" s="551"/>
      <c r="D4" s="552"/>
      <c r="E4" s="553"/>
      <c r="F4" s="551" t="s">
        <v>452</v>
      </c>
      <c r="G4" s="551"/>
      <c r="H4" s="554"/>
      <c r="I4" s="555"/>
      <c r="J4" s="60"/>
      <c r="K4" s="60"/>
      <c r="L4" s="536" t="s">
        <v>978</v>
      </c>
      <c r="M4" s="536"/>
      <c r="N4" s="556">
        <f>Summary!D7</f>
        <v>0</v>
      </c>
      <c r="O4" s="557"/>
      <c r="P4" s="557"/>
      <c r="Q4" s="557"/>
      <c r="R4" s="557"/>
      <c r="S4" s="557"/>
      <c r="T4" s="558"/>
      <c r="U4" s="61"/>
      <c r="V4" s="540"/>
      <c r="W4" s="541"/>
    </row>
    <row r="5" spans="1:29" ht="17.25" customHeight="1">
      <c r="A5" s="96" t="s">
        <v>415</v>
      </c>
      <c r="B5" s="97"/>
      <c r="C5" s="97"/>
      <c r="D5" s="566" t="s">
        <v>210</v>
      </c>
      <c r="E5" s="567"/>
      <c r="F5" s="567"/>
      <c r="G5" s="567"/>
      <c r="H5" s="567"/>
      <c r="I5" s="568"/>
      <c r="J5" s="60"/>
      <c r="K5" s="60"/>
      <c r="L5" s="536" t="s">
        <v>144</v>
      </c>
      <c r="M5" s="536"/>
      <c r="N5" s="569">
        <f>Summary!D8</f>
        <v>0</v>
      </c>
      <c r="O5" s="570"/>
      <c r="P5" s="570"/>
      <c r="Q5" s="570"/>
      <c r="R5" s="570"/>
      <c r="S5" s="570"/>
      <c r="T5" s="570"/>
      <c r="U5" s="64"/>
      <c r="V5" s="540"/>
      <c r="W5" s="541"/>
    </row>
    <row r="6" spans="1:29" ht="15.75" thickBot="1">
      <c r="F6" s="59"/>
      <c r="L6" s="575" t="s">
        <v>654</v>
      </c>
      <c r="M6" s="575"/>
      <c r="N6" s="576" t="str">
        <f>AB18</f>
        <v/>
      </c>
      <c r="O6" s="576"/>
      <c r="P6" s="576"/>
      <c r="Q6" s="576"/>
      <c r="R6" s="576"/>
      <c r="S6" s="576"/>
      <c r="T6" s="576"/>
      <c r="W6" s="65"/>
    </row>
    <row r="7" spans="1:29" ht="45" customHeight="1" thickTop="1" thickBot="1">
      <c r="A7" s="66" t="s">
        <v>146</v>
      </c>
      <c r="B7" s="67" t="s">
        <v>147</v>
      </c>
      <c r="C7" s="67" t="s">
        <v>164</v>
      </c>
      <c r="D7" s="67" t="s">
        <v>181</v>
      </c>
      <c r="E7" s="67" t="s">
        <v>152</v>
      </c>
      <c r="F7" s="67" t="s">
        <v>148</v>
      </c>
      <c r="G7" s="68" t="s">
        <v>149</v>
      </c>
      <c r="H7" s="69" t="s">
        <v>14</v>
      </c>
      <c r="I7" s="69" t="s">
        <v>165</v>
      </c>
      <c r="J7" s="571" t="s">
        <v>13</v>
      </c>
      <c r="K7" s="572"/>
      <c r="L7" s="68" t="s">
        <v>10</v>
      </c>
      <c r="M7" s="67" t="s">
        <v>12</v>
      </c>
      <c r="N7" s="67" t="s">
        <v>183</v>
      </c>
      <c r="O7" s="573" t="s">
        <v>15</v>
      </c>
      <c r="P7" s="574"/>
      <c r="Q7" s="67" t="s">
        <v>4</v>
      </c>
      <c r="R7" s="67" t="s">
        <v>5</v>
      </c>
      <c r="S7" s="67" t="s">
        <v>6</v>
      </c>
      <c r="T7" s="67" t="s">
        <v>7</v>
      </c>
      <c r="U7" s="70" t="s">
        <v>203</v>
      </c>
      <c r="V7" s="228"/>
      <c r="W7" s="228"/>
    </row>
    <row r="8" spans="1:29" ht="30" customHeight="1" thickTop="1">
      <c r="A8" s="50">
        <v>1</v>
      </c>
      <c r="B8" s="95"/>
      <c r="C8" s="23"/>
      <c r="D8" s="25"/>
      <c r="E8" s="71"/>
      <c r="F8" s="41"/>
      <c r="G8" s="42"/>
      <c r="H8" s="24"/>
      <c r="I8" s="24"/>
      <c r="J8" s="559"/>
      <c r="K8" s="560"/>
      <c r="L8" s="11"/>
      <c r="M8" s="11"/>
      <c r="N8" s="11"/>
      <c r="O8" s="561"/>
      <c r="P8" s="562"/>
      <c r="Q8" s="25"/>
      <c r="R8" s="25"/>
      <c r="S8" s="25"/>
      <c r="T8" s="25"/>
      <c r="U8" s="177"/>
      <c r="V8" s="229"/>
      <c r="W8" s="230"/>
      <c r="AA8" s="33" t="str">
        <f>IF(AND(C8&gt;0,N8=""),"Enter","OK")</f>
        <v>OK</v>
      </c>
      <c r="AB8" s="33" t="str">
        <f>IF(COUNTIF($H$8:$H$57,Data!KF3),Data!KG3,"")</f>
        <v/>
      </c>
      <c r="AC8" s="33" t="str">
        <f>IF(SUM(--ISNUMBER(SEARCH({"Bay","Corner"}, H8:H17))),"Yes","No")</f>
        <v>No</v>
      </c>
    </row>
    <row r="9" spans="1:29" ht="30" customHeight="1">
      <c r="A9" s="51">
        <v>2</v>
      </c>
      <c r="B9" s="19"/>
      <c r="C9" s="27"/>
      <c r="D9" s="13"/>
      <c r="E9" s="72"/>
      <c r="F9" s="14"/>
      <c r="G9" s="14"/>
      <c r="H9" s="14"/>
      <c r="I9" s="14"/>
      <c r="J9" s="563"/>
      <c r="K9" s="564"/>
      <c r="L9" s="15"/>
      <c r="M9" s="15"/>
      <c r="N9" s="15"/>
      <c r="O9" s="565"/>
      <c r="P9" s="565"/>
      <c r="Q9" s="19"/>
      <c r="R9" s="13"/>
      <c r="S9" s="13"/>
      <c r="T9" s="13"/>
      <c r="U9" s="175"/>
      <c r="V9" s="229"/>
      <c r="W9" s="230"/>
      <c r="AA9" s="33" t="str">
        <f t="shared" ref="AA9:AA57" si="0">IF(AND(C9&gt;0,N9=""),"Enter","OK")</f>
        <v>OK</v>
      </c>
      <c r="AB9" s="33" t="str">
        <f>IF(COUNTIF($H$8:$H$57,Data!KF4),Data!KG4,"")</f>
        <v/>
      </c>
    </row>
    <row r="10" spans="1:29" ht="30" customHeight="1">
      <c r="A10" s="52">
        <v>3</v>
      </c>
      <c r="B10" s="17"/>
      <c r="C10" s="17"/>
      <c r="D10" s="13"/>
      <c r="E10" s="72"/>
      <c r="F10" s="14"/>
      <c r="G10" s="14"/>
      <c r="H10" s="14"/>
      <c r="I10" s="14"/>
      <c r="J10" s="563"/>
      <c r="K10" s="564"/>
      <c r="L10" s="15"/>
      <c r="M10" s="15"/>
      <c r="N10" s="15"/>
      <c r="O10" s="565"/>
      <c r="P10" s="565"/>
      <c r="Q10" s="13"/>
      <c r="R10" s="13"/>
      <c r="S10" s="13"/>
      <c r="T10" s="13"/>
      <c r="U10" s="175"/>
      <c r="V10" s="229"/>
      <c r="W10" s="230"/>
      <c r="AA10" s="33" t="str">
        <f t="shared" si="0"/>
        <v>OK</v>
      </c>
      <c r="AB10" s="33" t="str">
        <f>IF(COUNTIF($H$8:$H$57,Data!KF5),Data!KG5,"")</f>
        <v/>
      </c>
    </row>
    <row r="11" spans="1:29" ht="30" customHeight="1">
      <c r="A11" s="52">
        <v>4</v>
      </c>
      <c r="B11" s="17"/>
      <c r="C11" s="17"/>
      <c r="D11" s="13"/>
      <c r="E11" s="72"/>
      <c r="F11" s="14"/>
      <c r="G11" s="14"/>
      <c r="H11" s="14"/>
      <c r="I11" s="14"/>
      <c r="J11" s="563"/>
      <c r="K11" s="564"/>
      <c r="L11" s="15"/>
      <c r="M11" s="15"/>
      <c r="N11" s="15"/>
      <c r="O11" s="565"/>
      <c r="P11" s="565"/>
      <c r="Q11" s="13"/>
      <c r="R11" s="13"/>
      <c r="S11" s="13"/>
      <c r="T11" s="13"/>
      <c r="U11" s="175"/>
      <c r="V11" s="229"/>
      <c r="W11" s="230"/>
      <c r="AA11" s="33" t="str">
        <f t="shared" si="0"/>
        <v>OK</v>
      </c>
      <c r="AB11" s="33" t="str">
        <f>IF(COUNTIF($H$8:$H$57,Data!KF6),Data!KG6,"")</f>
        <v/>
      </c>
    </row>
    <row r="12" spans="1:29" ht="30" customHeight="1">
      <c r="A12" s="52">
        <v>5</v>
      </c>
      <c r="B12" s="17"/>
      <c r="C12" s="17"/>
      <c r="D12" s="13"/>
      <c r="E12" s="72"/>
      <c r="F12" s="14"/>
      <c r="G12" s="14"/>
      <c r="H12" s="14"/>
      <c r="I12" s="14"/>
      <c r="J12" s="563"/>
      <c r="K12" s="564"/>
      <c r="L12" s="15"/>
      <c r="M12" s="15"/>
      <c r="N12" s="15"/>
      <c r="O12" s="565"/>
      <c r="P12" s="565"/>
      <c r="Q12" s="13"/>
      <c r="R12" s="13"/>
      <c r="S12" s="13"/>
      <c r="T12" s="13"/>
      <c r="U12" s="175"/>
      <c r="V12" s="229"/>
      <c r="W12" s="230"/>
      <c r="AA12" s="33" t="str">
        <f t="shared" si="0"/>
        <v>OK</v>
      </c>
      <c r="AB12" s="33" t="str">
        <f>IF(COUNTIF($H$8:$H$57,Data!KF7),Data!KG7,"")</f>
        <v/>
      </c>
    </row>
    <row r="13" spans="1:29" ht="30" customHeight="1">
      <c r="A13" s="52">
        <v>6</v>
      </c>
      <c r="B13" s="17"/>
      <c r="C13" s="17"/>
      <c r="D13" s="13"/>
      <c r="E13" s="72"/>
      <c r="F13" s="14"/>
      <c r="G13" s="14"/>
      <c r="H13" s="14"/>
      <c r="I13" s="14"/>
      <c r="J13" s="563"/>
      <c r="K13" s="564"/>
      <c r="L13" s="15"/>
      <c r="M13" s="15"/>
      <c r="N13" s="15"/>
      <c r="O13" s="565"/>
      <c r="P13" s="565"/>
      <c r="Q13" s="13"/>
      <c r="R13" s="13"/>
      <c r="S13" s="13"/>
      <c r="T13" s="13"/>
      <c r="U13" s="175"/>
      <c r="V13" s="229"/>
      <c r="W13" s="230"/>
      <c r="AA13" s="33" t="str">
        <f t="shared" si="0"/>
        <v>OK</v>
      </c>
      <c r="AB13" s="33" t="str">
        <f>IF(COUNTIF($H$8:$H$57,Data!KF8),Data!KG8,"")</f>
        <v/>
      </c>
    </row>
    <row r="14" spans="1:29" ht="30" customHeight="1">
      <c r="A14" s="52">
        <v>7</v>
      </c>
      <c r="B14" s="20"/>
      <c r="C14" s="17"/>
      <c r="D14" s="19"/>
      <c r="E14" s="72"/>
      <c r="F14" s="14"/>
      <c r="G14" s="14"/>
      <c r="H14" s="14"/>
      <c r="I14" s="14"/>
      <c r="J14" s="563"/>
      <c r="K14" s="564"/>
      <c r="L14" s="15"/>
      <c r="M14" s="15"/>
      <c r="N14" s="15"/>
      <c r="O14" s="565"/>
      <c r="P14" s="565"/>
      <c r="Q14" s="13"/>
      <c r="R14" s="19"/>
      <c r="S14" s="13"/>
      <c r="T14" s="13"/>
      <c r="U14" s="175"/>
      <c r="V14" s="229"/>
      <c r="W14" s="230"/>
      <c r="AA14" s="33" t="str">
        <f t="shared" si="0"/>
        <v>OK</v>
      </c>
      <c r="AB14" s="33" t="str">
        <f>IF(COUNTIF($H$8:$H$57,Data!KF9),Data!KG9,"")</f>
        <v/>
      </c>
    </row>
    <row r="15" spans="1:29" ht="30" customHeight="1">
      <c r="A15" s="52">
        <v>8</v>
      </c>
      <c r="B15" s="20"/>
      <c r="C15" s="17"/>
      <c r="D15" s="13"/>
      <c r="E15" s="72"/>
      <c r="F15" s="14"/>
      <c r="G15" s="14"/>
      <c r="H15" s="14"/>
      <c r="I15" s="14"/>
      <c r="J15" s="563"/>
      <c r="K15" s="564"/>
      <c r="L15" s="15"/>
      <c r="M15" s="15"/>
      <c r="N15" s="15"/>
      <c r="O15" s="565"/>
      <c r="P15" s="565"/>
      <c r="Q15" s="13"/>
      <c r="R15" s="13"/>
      <c r="S15" s="13"/>
      <c r="T15" s="13"/>
      <c r="U15" s="175"/>
      <c r="V15" s="229"/>
      <c r="W15" s="230"/>
      <c r="AA15" s="33" t="str">
        <f t="shared" si="0"/>
        <v>OK</v>
      </c>
      <c r="AB15" s="33" t="str">
        <f>IF(COUNTIF(AB8:AB14,Data!KG6),Data!KH6,"")</f>
        <v/>
      </c>
    </row>
    <row r="16" spans="1:29" ht="30" customHeight="1">
      <c r="A16" s="52">
        <v>9</v>
      </c>
      <c r="B16" s="17"/>
      <c r="C16" s="17"/>
      <c r="D16" s="13"/>
      <c r="E16" s="72"/>
      <c r="F16" s="14"/>
      <c r="G16" s="14"/>
      <c r="H16" s="14"/>
      <c r="I16" s="14"/>
      <c r="J16" s="563"/>
      <c r="K16" s="564"/>
      <c r="L16" s="15"/>
      <c r="M16" s="15"/>
      <c r="N16" s="15"/>
      <c r="O16" s="565"/>
      <c r="P16" s="565"/>
      <c r="Q16" s="13"/>
      <c r="R16" s="13"/>
      <c r="S16" s="13"/>
      <c r="T16" s="13"/>
      <c r="U16" s="175"/>
      <c r="V16" s="229"/>
      <c r="W16" s="230"/>
      <c r="AA16" s="33" t="str">
        <f t="shared" si="0"/>
        <v>OK</v>
      </c>
      <c r="AB16" s="33" t="str">
        <f>IF(COUNTIF(AB8:AB14,Data!KG7),Data!KH7,"")</f>
        <v/>
      </c>
    </row>
    <row r="17" spans="1:28" ht="30" customHeight="1">
      <c r="A17" s="52">
        <v>10</v>
      </c>
      <c r="B17" s="17"/>
      <c r="C17" s="17"/>
      <c r="D17" s="13"/>
      <c r="E17" s="72"/>
      <c r="F17" s="14"/>
      <c r="G17" s="14"/>
      <c r="H17" s="14"/>
      <c r="I17" s="14"/>
      <c r="J17" s="563"/>
      <c r="K17" s="564"/>
      <c r="L17" s="15"/>
      <c r="M17" s="15"/>
      <c r="N17" s="15"/>
      <c r="O17" s="565"/>
      <c r="P17" s="565"/>
      <c r="Q17" s="13"/>
      <c r="R17" s="13"/>
      <c r="S17" s="13"/>
      <c r="T17" s="13"/>
      <c r="U17" s="175"/>
      <c r="V17" s="229"/>
      <c r="W17" s="230"/>
      <c r="AA17" s="33" t="str">
        <f t="shared" si="0"/>
        <v>OK</v>
      </c>
      <c r="AB17" s="33" t="str">
        <f>AB15&amp;" &amp; "&amp;AB16&amp;""</f>
        <v xml:space="preserve"> &amp; </v>
      </c>
    </row>
    <row r="18" spans="1:28" ht="30" customHeight="1">
      <c r="A18" s="52">
        <v>11</v>
      </c>
      <c r="B18" s="17"/>
      <c r="C18" s="17"/>
      <c r="D18" s="13"/>
      <c r="E18" s="72"/>
      <c r="F18" s="14"/>
      <c r="G18" s="14"/>
      <c r="H18" s="14"/>
      <c r="I18" s="14"/>
      <c r="J18" s="563"/>
      <c r="K18" s="564"/>
      <c r="L18" s="15"/>
      <c r="M18" s="15"/>
      <c r="N18" s="15"/>
      <c r="O18" s="565"/>
      <c r="P18" s="565"/>
      <c r="Q18" s="13"/>
      <c r="R18" s="13"/>
      <c r="S18" s="13"/>
      <c r="T18" s="13"/>
      <c r="U18" s="175"/>
      <c r="V18" s="229"/>
      <c r="W18" s="230"/>
      <c r="AA18" s="33" t="str">
        <f t="shared" si="0"/>
        <v>OK</v>
      </c>
      <c r="AB18" s="33" t="str">
        <f>IF(AB17="Corner &amp; Bay","Corner &amp; Bay Window Diagram Must Be Supplied",IF(AB15="Corner","Corner Window Diagram Must Be Supplied",IF(AB16="Bay","Bay Window Diagram Must Be Supplied","")))</f>
        <v/>
      </c>
    </row>
    <row r="19" spans="1:28" ht="30" customHeight="1">
      <c r="A19" s="52">
        <v>12</v>
      </c>
      <c r="B19" s="17"/>
      <c r="C19" s="17"/>
      <c r="D19" s="13"/>
      <c r="E19" s="72"/>
      <c r="F19" s="14"/>
      <c r="G19" s="14"/>
      <c r="H19" s="14"/>
      <c r="I19" s="14"/>
      <c r="J19" s="563"/>
      <c r="K19" s="564"/>
      <c r="L19" s="15"/>
      <c r="M19" s="15"/>
      <c r="N19" s="15"/>
      <c r="O19" s="565"/>
      <c r="P19" s="565"/>
      <c r="Q19" s="12"/>
      <c r="R19" s="13"/>
      <c r="S19" s="13"/>
      <c r="T19" s="13"/>
      <c r="U19" s="175"/>
      <c r="V19" s="229"/>
      <c r="W19" s="230"/>
      <c r="AA19" s="33" t="str">
        <f t="shared" si="0"/>
        <v>OK</v>
      </c>
    </row>
    <row r="20" spans="1:28" ht="30" customHeight="1">
      <c r="A20" s="52">
        <v>13</v>
      </c>
      <c r="B20" s="20"/>
      <c r="C20" s="17"/>
      <c r="D20" s="13"/>
      <c r="E20" s="72"/>
      <c r="F20" s="14"/>
      <c r="G20" s="14"/>
      <c r="H20" s="14"/>
      <c r="I20" s="14"/>
      <c r="J20" s="563"/>
      <c r="K20" s="564"/>
      <c r="L20" s="15"/>
      <c r="M20" s="15"/>
      <c r="N20" s="15"/>
      <c r="O20" s="565"/>
      <c r="P20" s="565"/>
      <c r="Q20" s="13"/>
      <c r="R20" s="13"/>
      <c r="S20" s="13"/>
      <c r="T20" s="13"/>
      <c r="U20" s="175"/>
      <c r="V20" s="229"/>
      <c r="W20" s="230"/>
      <c r="AA20" s="33" t="str">
        <f t="shared" si="0"/>
        <v>OK</v>
      </c>
    </row>
    <row r="21" spans="1:28" ht="30" customHeight="1">
      <c r="A21" s="52">
        <v>14</v>
      </c>
      <c r="B21" s="17"/>
      <c r="C21" s="17"/>
      <c r="D21" s="13"/>
      <c r="E21" s="72"/>
      <c r="F21" s="14"/>
      <c r="G21" s="14"/>
      <c r="H21" s="14"/>
      <c r="I21" s="14"/>
      <c r="J21" s="563"/>
      <c r="K21" s="564"/>
      <c r="L21" s="15"/>
      <c r="M21" s="15"/>
      <c r="N21" s="15"/>
      <c r="O21" s="565"/>
      <c r="P21" s="565"/>
      <c r="Q21" s="13"/>
      <c r="R21" s="13"/>
      <c r="S21" s="13"/>
      <c r="T21" s="13"/>
      <c r="U21" s="175"/>
      <c r="V21" s="229"/>
      <c r="W21" s="230"/>
      <c r="AA21" s="33" t="str">
        <f t="shared" si="0"/>
        <v>OK</v>
      </c>
    </row>
    <row r="22" spans="1:28" ht="30" customHeight="1">
      <c r="A22" s="52">
        <v>15</v>
      </c>
      <c r="B22" s="17"/>
      <c r="C22" s="17"/>
      <c r="D22" s="13"/>
      <c r="E22" s="72"/>
      <c r="F22" s="14"/>
      <c r="G22" s="14"/>
      <c r="H22" s="14"/>
      <c r="I22" s="14"/>
      <c r="J22" s="563"/>
      <c r="K22" s="564"/>
      <c r="L22" s="15"/>
      <c r="M22" s="15"/>
      <c r="N22" s="15"/>
      <c r="O22" s="565"/>
      <c r="P22" s="565"/>
      <c r="Q22" s="13"/>
      <c r="R22" s="19"/>
      <c r="S22" s="13"/>
      <c r="T22" s="13"/>
      <c r="U22" s="175"/>
      <c r="V22" s="229"/>
      <c r="W22" s="230"/>
      <c r="AA22" s="33" t="str">
        <f t="shared" si="0"/>
        <v>OK</v>
      </c>
    </row>
    <row r="23" spans="1:28" ht="30" customHeight="1">
      <c r="A23" s="52">
        <v>16</v>
      </c>
      <c r="B23" s="17"/>
      <c r="C23" s="17"/>
      <c r="D23" s="13"/>
      <c r="E23" s="72"/>
      <c r="F23" s="14"/>
      <c r="G23" s="14"/>
      <c r="H23" s="14"/>
      <c r="I23" s="14"/>
      <c r="J23" s="563"/>
      <c r="K23" s="564"/>
      <c r="L23" s="15"/>
      <c r="M23" s="15"/>
      <c r="N23" s="15"/>
      <c r="O23" s="565"/>
      <c r="P23" s="565"/>
      <c r="Q23" s="13"/>
      <c r="R23" s="13"/>
      <c r="S23" s="13"/>
      <c r="T23" s="13"/>
      <c r="U23" s="175"/>
      <c r="V23" s="229"/>
      <c r="W23" s="230"/>
      <c r="AA23" s="33" t="str">
        <f t="shared" si="0"/>
        <v>OK</v>
      </c>
    </row>
    <row r="24" spans="1:28" ht="30" customHeight="1">
      <c r="A24" s="52">
        <v>17</v>
      </c>
      <c r="B24" s="20"/>
      <c r="C24" s="17"/>
      <c r="D24" s="13"/>
      <c r="E24" s="72"/>
      <c r="F24" s="14"/>
      <c r="G24" s="14"/>
      <c r="H24" s="14"/>
      <c r="I24" s="14"/>
      <c r="J24" s="563"/>
      <c r="K24" s="564"/>
      <c r="L24" s="15"/>
      <c r="M24" s="15"/>
      <c r="N24" s="15"/>
      <c r="O24" s="565"/>
      <c r="P24" s="565"/>
      <c r="Q24" s="13"/>
      <c r="R24" s="13"/>
      <c r="S24" s="13"/>
      <c r="T24" s="13"/>
      <c r="U24" s="175"/>
      <c r="V24" s="229"/>
      <c r="W24" s="230"/>
      <c r="AA24" s="33" t="str">
        <f t="shared" si="0"/>
        <v>OK</v>
      </c>
    </row>
    <row r="25" spans="1:28" ht="30" customHeight="1">
      <c r="A25" s="52">
        <v>18</v>
      </c>
      <c r="B25" s="17"/>
      <c r="C25" s="17"/>
      <c r="D25" s="13"/>
      <c r="E25" s="72"/>
      <c r="F25" s="14"/>
      <c r="G25" s="14"/>
      <c r="H25" s="14"/>
      <c r="I25" s="14"/>
      <c r="J25" s="563"/>
      <c r="K25" s="564"/>
      <c r="L25" s="15"/>
      <c r="M25" s="15"/>
      <c r="N25" s="15"/>
      <c r="O25" s="565"/>
      <c r="P25" s="565"/>
      <c r="Q25" s="13"/>
      <c r="R25" s="19"/>
      <c r="S25" s="13"/>
      <c r="T25" s="13"/>
      <c r="U25" s="175"/>
      <c r="V25" s="229"/>
      <c r="W25" s="230"/>
      <c r="AA25" s="33" t="str">
        <f t="shared" si="0"/>
        <v>OK</v>
      </c>
    </row>
    <row r="26" spans="1:28" ht="30" customHeight="1">
      <c r="A26" s="52">
        <v>19</v>
      </c>
      <c r="B26" s="17"/>
      <c r="C26" s="17"/>
      <c r="D26" s="13"/>
      <c r="E26" s="72"/>
      <c r="F26" s="14"/>
      <c r="G26" s="14"/>
      <c r="H26" s="14"/>
      <c r="I26" s="14"/>
      <c r="J26" s="563"/>
      <c r="K26" s="564"/>
      <c r="L26" s="15"/>
      <c r="M26" s="15"/>
      <c r="N26" s="15"/>
      <c r="O26" s="565"/>
      <c r="P26" s="565"/>
      <c r="Q26" s="13"/>
      <c r="R26" s="13"/>
      <c r="S26" s="13"/>
      <c r="T26" s="13"/>
      <c r="U26" s="175"/>
      <c r="V26" s="229"/>
      <c r="W26" s="230"/>
      <c r="AA26" s="33" t="str">
        <f t="shared" si="0"/>
        <v>OK</v>
      </c>
    </row>
    <row r="27" spans="1:28" ht="30" customHeight="1">
      <c r="A27" s="52">
        <v>20</v>
      </c>
      <c r="B27" s="13"/>
      <c r="C27" s="13"/>
      <c r="D27" s="13"/>
      <c r="E27" s="72"/>
      <c r="F27" s="14"/>
      <c r="G27" s="14"/>
      <c r="H27" s="14"/>
      <c r="I27" s="14"/>
      <c r="J27" s="563"/>
      <c r="K27" s="564"/>
      <c r="L27" s="15"/>
      <c r="M27" s="15"/>
      <c r="N27" s="15"/>
      <c r="O27" s="565"/>
      <c r="P27" s="565"/>
      <c r="Q27" s="13"/>
      <c r="R27" s="13"/>
      <c r="S27" s="13"/>
      <c r="T27" s="13"/>
      <c r="U27" s="175"/>
      <c r="V27" s="229"/>
      <c r="W27" s="230"/>
      <c r="AA27" s="33" t="str">
        <f t="shared" si="0"/>
        <v>OK</v>
      </c>
    </row>
    <row r="28" spans="1:28" ht="30" customHeight="1">
      <c r="A28" s="52">
        <v>21</v>
      </c>
      <c r="B28" s="19"/>
      <c r="C28" s="13"/>
      <c r="D28" s="13"/>
      <c r="E28" s="72"/>
      <c r="F28" s="14"/>
      <c r="G28" s="14"/>
      <c r="H28" s="14"/>
      <c r="I28" s="14"/>
      <c r="J28" s="563"/>
      <c r="K28" s="564"/>
      <c r="L28" s="15"/>
      <c r="M28" s="15"/>
      <c r="N28" s="15"/>
      <c r="O28" s="565"/>
      <c r="P28" s="565"/>
      <c r="Q28" s="13"/>
      <c r="R28" s="13"/>
      <c r="S28" s="13"/>
      <c r="T28" s="13"/>
      <c r="U28" s="175"/>
      <c r="V28" s="229"/>
      <c r="W28" s="230"/>
      <c r="AA28" s="33" t="str">
        <f t="shared" si="0"/>
        <v>OK</v>
      </c>
    </row>
    <row r="29" spans="1:28" ht="30" customHeight="1">
      <c r="A29" s="52">
        <v>22</v>
      </c>
      <c r="B29" s="13"/>
      <c r="C29" s="13"/>
      <c r="D29" s="13"/>
      <c r="E29" s="72"/>
      <c r="F29" s="14"/>
      <c r="G29" s="14"/>
      <c r="H29" s="14"/>
      <c r="I29" s="14"/>
      <c r="J29" s="563"/>
      <c r="K29" s="564"/>
      <c r="L29" s="15"/>
      <c r="M29" s="15"/>
      <c r="N29" s="15"/>
      <c r="O29" s="565"/>
      <c r="P29" s="565"/>
      <c r="Q29" s="13"/>
      <c r="R29" s="13"/>
      <c r="S29" s="13"/>
      <c r="T29" s="13"/>
      <c r="U29" s="175"/>
      <c r="V29" s="229"/>
      <c r="W29" s="230"/>
      <c r="AA29" s="33" t="str">
        <f t="shared" si="0"/>
        <v>OK</v>
      </c>
    </row>
    <row r="30" spans="1:28" ht="30" customHeight="1">
      <c r="A30" s="52">
        <v>23</v>
      </c>
      <c r="B30" s="13"/>
      <c r="C30" s="13"/>
      <c r="D30" s="13"/>
      <c r="E30" s="72"/>
      <c r="F30" s="14"/>
      <c r="G30" s="14"/>
      <c r="H30" s="14"/>
      <c r="I30" s="14"/>
      <c r="J30" s="563"/>
      <c r="K30" s="564"/>
      <c r="L30" s="15"/>
      <c r="M30" s="15"/>
      <c r="N30" s="15"/>
      <c r="O30" s="565"/>
      <c r="P30" s="565"/>
      <c r="Q30" s="13"/>
      <c r="R30" s="13"/>
      <c r="S30" s="13"/>
      <c r="T30" s="13"/>
      <c r="U30" s="175"/>
      <c r="V30" s="229"/>
      <c r="W30" s="230"/>
      <c r="AA30" s="33" t="str">
        <f t="shared" si="0"/>
        <v>OK</v>
      </c>
    </row>
    <row r="31" spans="1:28" ht="30" customHeight="1">
      <c r="A31" s="52">
        <v>24</v>
      </c>
      <c r="B31" s="13"/>
      <c r="C31" s="13"/>
      <c r="D31" s="13"/>
      <c r="E31" s="72"/>
      <c r="F31" s="14"/>
      <c r="G31" s="14"/>
      <c r="H31" s="14"/>
      <c r="I31" s="14"/>
      <c r="J31" s="563"/>
      <c r="K31" s="564"/>
      <c r="L31" s="15"/>
      <c r="M31" s="15"/>
      <c r="N31" s="15"/>
      <c r="O31" s="565"/>
      <c r="P31" s="565"/>
      <c r="Q31" s="13"/>
      <c r="R31" s="13"/>
      <c r="S31" s="13"/>
      <c r="T31" s="13"/>
      <c r="U31" s="175"/>
      <c r="V31" s="229"/>
      <c r="W31" s="230"/>
      <c r="AA31" s="33" t="str">
        <f t="shared" si="0"/>
        <v>OK</v>
      </c>
    </row>
    <row r="32" spans="1:28" ht="30" customHeight="1">
      <c r="A32" s="52">
        <v>25</v>
      </c>
      <c r="B32" s="13"/>
      <c r="C32" s="13"/>
      <c r="D32" s="13"/>
      <c r="E32" s="72"/>
      <c r="F32" s="14"/>
      <c r="G32" s="14"/>
      <c r="H32" s="14"/>
      <c r="I32" s="14"/>
      <c r="J32" s="563"/>
      <c r="K32" s="564"/>
      <c r="L32" s="15"/>
      <c r="M32" s="15"/>
      <c r="N32" s="15"/>
      <c r="O32" s="565"/>
      <c r="P32" s="565"/>
      <c r="Q32" s="13"/>
      <c r="R32" s="13"/>
      <c r="S32" s="13"/>
      <c r="T32" s="13"/>
      <c r="U32" s="175"/>
      <c r="V32" s="229"/>
      <c r="W32" s="230"/>
      <c r="AA32" s="33" t="str">
        <f t="shared" si="0"/>
        <v>OK</v>
      </c>
    </row>
    <row r="33" spans="1:27" ht="30" customHeight="1">
      <c r="A33" s="52">
        <v>26</v>
      </c>
      <c r="B33" s="13"/>
      <c r="C33" s="13"/>
      <c r="D33" s="13"/>
      <c r="E33" s="72"/>
      <c r="F33" s="14"/>
      <c r="G33" s="14"/>
      <c r="H33" s="14"/>
      <c r="I33" s="14"/>
      <c r="J33" s="563"/>
      <c r="K33" s="564"/>
      <c r="L33" s="15"/>
      <c r="M33" s="15"/>
      <c r="N33" s="15"/>
      <c r="O33" s="565"/>
      <c r="P33" s="565"/>
      <c r="Q33" s="13"/>
      <c r="R33" s="13"/>
      <c r="S33" s="13"/>
      <c r="T33" s="13"/>
      <c r="U33" s="175"/>
      <c r="V33" s="229"/>
      <c r="W33" s="230"/>
      <c r="AA33" s="33" t="str">
        <f t="shared" si="0"/>
        <v>OK</v>
      </c>
    </row>
    <row r="34" spans="1:27" ht="30" customHeight="1">
      <c r="A34" s="52">
        <v>27</v>
      </c>
      <c r="B34" s="19"/>
      <c r="C34" s="13"/>
      <c r="D34" s="13"/>
      <c r="E34" s="72"/>
      <c r="F34" s="14"/>
      <c r="G34" s="14"/>
      <c r="H34" s="14"/>
      <c r="I34" s="14"/>
      <c r="J34" s="563"/>
      <c r="K34" s="564"/>
      <c r="L34" s="15"/>
      <c r="M34" s="15"/>
      <c r="N34" s="15"/>
      <c r="O34" s="565"/>
      <c r="P34" s="565"/>
      <c r="Q34" s="13"/>
      <c r="R34" s="13"/>
      <c r="S34" s="13"/>
      <c r="T34" s="13"/>
      <c r="U34" s="175"/>
      <c r="V34" s="229"/>
      <c r="W34" s="230"/>
      <c r="AA34" s="33" t="str">
        <f t="shared" si="0"/>
        <v>OK</v>
      </c>
    </row>
    <row r="35" spans="1:27" ht="30" customHeight="1">
      <c r="A35" s="52">
        <v>28</v>
      </c>
      <c r="B35" s="13"/>
      <c r="C35" s="13"/>
      <c r="D35" s="13"/>
      <c r="E35" s="72"/>
      <c r="F35" s="14"/>
      <c r="G35" s="14"/>
      <c r="H35" s="14"/>
      <c r="I35" s="14"/>
      <c r="J35" s="563"/>
      <c r="K35" s="564"/>
      <c r="L35" s="15"/>
      <c r="M35" s="15"/>
      <c r="N35" s="15"/>
      <c r="O35" s="565"/>
      <c r="P35" s="565"/>
      <c r="Q35" s="13"/>
      <c r="R35" s="13"/>
      <c r="S35" s="13"/>
      <c r="T35" s="13"/>
      <c r="U35" s="175"/>
      <c r="V35" s="229"/>
      <c r="W35" s="230"/>
      <c r="AA35" s="33" t="str">
        <f t="shared" si="0"/>
        <v>OK</v>
      </c>
    </row>
    <row r="36" spans="1:27" ht="30" customHeight="1">
      <c r="A36" s="52">
        <v>29</v>
      </c>
      <c r="B36" s="13"/>
      <c r="C36" s="13"/>
      <c r="D36" s="13"/>
      <c r="E36" s="72"/>
      <c r="F36" s="14"/>
      <c r="G36" s="14"/>
      <c r="H36" s="14"/>
      <c r="I36" s="14"/>
      <c r="J36" s="563"/>
      <c r="K36" s="564"/>
      <c r="L36" s="15"/>
      <c r="M36" s="15"/>
      <c r="N36" s="15"/>
      <c r="O36" s="565"/>
      <c r="P36" s="565"/>
      <c r="Q36" s="13"/>
      <c r="R36" s="13"/>
      <c r="S36" s="13"/>
      <c r="T36" s="13"/>
      <c r="U36" s="175"/>
      <c r="V36" s="229"/>
      <c r="W36" s="230"/>
      <c r="AA36" s="33" t="str">
        <f t="shared" si="0"/>
        <v>OK</v>
      </c>
    </row>
    <row r="37" spans="1:27" ht="30" customHeight="1">
      <c r="A37" s="52">
        <v>30</v>
      </c>
      <c r="B37" s="13"/>
      <c r="C37" s="13"/>
      <c r="D37" s="13"/>
      <c r="E37" s="72"/>
      <c r="F37" s="14"/>
      <c r="G37" s="14"/>
      <c r="H37" s="14"/>
      <c r="I37" s="14"/>
      <c r="J37" s="563"/>
      <c r="K37" s="564"/>
      <c r="L37" s="15"/>
      <c r="M37" s="15"/>
      <c r="N37" s="15"/>
      <c r="O37" s="565"/>
      <c r="P37" s="565"/>
      <c r="Q37" s="13"/>
      <c r="R37" s="13"/>
      <c r="S37" s="13"/>
      <c r="T37" s="13"/>
      <c r="U37" s="175"/>
      <c r="V37" s="229"/>
      <c r="W37" s="230"/>
      <c r="AA37" s="33" t="str">
        <f t="shared" si="0"/>
        <v>OK</v>
      </c>
    </row>
    <row r="38" spans="1:27" ht="30" customHeight="1">
      <c r="A38" s="52">
        <v>31</v>
      </c>
      <c r="B38" s="13"/>
      <c r="C38" s="13"/>
      <c r="D38" s="13"/>
      <c r="E38" s="72"/>
      <c r="F38" s="14"/>
      <c r="G38" s="14"/>
      <c r="H38" s="14"/>
      <c r="I38" s="14"/>
      <c r="J38" s="563"/>
      <c r="K38" s="564"/>
      <c r="L38" s="15"/>
      <c r="M38" s="15"/>
      <c r="N38" s="15"/>
      <c r="O38" s="565"/>
      <c r="P38" s="565"/>
      <c r="Q38" s="13"/>
      <c r="R38" s="19"/>
      <c r="S38" s="13"/>
      <c r="T38" s="13"/>
      <c r="U38" s="175"/>
      <c r="V38" s="229"/>
      <c r="W38" s="230"/>
      <c r="AA38" s="33" t="str">
        <f t="shared" si="0"/>
        <v>OK</v>
      </c>
    </row>
    <row r="39" spans="1:27" ht="30" customHeight="1">
      <c r="A39" s="52">
        <v>32</v>
      </c>
      <c r="B39" s="13"/>
      <c r="C39" s="13"/>
      <c r="D39" s="13"/>
      <c r="E39" s="72"/>
      <c r="F39" s="14"/>
      <c r="G39" s="14"/>
      <c r="H39" s="14"/>
      <c r="I39" s="14"/>
      <c r="J39" s="563"/>
      <c r="K39" s="564"/>
      <c r="L39" s="15"/>
      <c r="M39" s="15"/>
      <c r="N39" s="15"/>
      <c r="O39" s="565"/>
      <c r="P39" s="565"/>
      <c r="Q39" s="13"/>
      <c r="R39" s="13"/>
      <c r="S39" s="13"/>
      <c r="T39" s="13"/>
      <c r="U39" s="175"/>
      <c r="V39" s="229"/>
      <c r="W39" s="230"/>
      <c r="AA39" s="33" t="str">
        <f t="shared" si="0"/>
        <v>OK</v>
      </c>
    </row>
    <row r="40" spans="1:27" ht="30" customHeight="1">
      <c r="A40" s="52">
        <v>33</v>
      </c>
      <c r="B40" s="13"/>
      <c r="C40" s="13"/>
      <c r="D40" s="13"/>
      <c r="E40" s="72"/>
      <c r="F40" s="14"/>
      <c r="G40" s="14"/>
      <c r="H40" s="14"/>
      <c r="I40" s="14"/>
      <c r="J40" s="563"/>
      <c r="K40" s="564"/>
      <c r="L40" s="15"/>
      <c r="M40" s="15"/>
      <c r="N40" s="15"/>
      <c r="O40" s="565"/>
      <c r="P40" s="565"/>
      <c r="Q40" s="13"/>
      <c r="R40" s="13"/>
      <c r="S40" s="13"/>
      <c r="T40" s="13"/>
      <c r="U40" s="175"/>
      <c r="V40" s="229"/>
      <c r="W40" s="230"/>
      <c r="AA40" s="33" t="str">
        <f t="shared" si="0"/>
        <v>OK</v>
      </c>
    </row>
    <row r="41" spans="1:27" ht="30" customHeight="1">
      <c r="A41" s="52">
        <v>34</v>
      </c>
      <c r="B41" s="13"/>
      <c r="C41" s="13"/>
      <c r="D41" s="13"/>
      <c r="E41" s="72"/>
      <c r="F41" s="14"/>
      <c r="G41" s="14"/>
      <c r="H41" s="14"/>
      <c r="I41" s="14"/>
      <c r="J41" s="563"/>
      <c r="K41" s="564"/>
      <c r="L41" s="15"/>
      <c r="M41" s="15"/>
      <c r="N41" s="15"/>
      <c r="O41" s="565"/>
      <c r="P41" s="565"/>
      <c r="Q41" s="13"/>
      <c r="R41" s="19"/>
      <c r="S41" s="13"/>
      <c r="T41" s="13"/>
      <c r="U41" s="175"/>
      <c r="V41" s="229"/>
      <c r="W41" s="230"/>
      <c r="AA41" s="33" t="str">
        <f t="shared" si="0"/>
        <v>OK</v>
      </c>
    </row>
    <row r="42" spans="1:27" ht="30" customHeight="1">
      <c r="A42" s="52">
        <v>35</v>
      </c>
      <c r="B42" s="13"/>
      <c r="C42" s="13"/>
      <c r="D42" s="13"/>
      <c r="E42" s="72"/>
      <c r="F42" s="14"/>
      <c r="G42" s="14"/>
      <c r="H42" s="14"/>
      <c r="I42" s="14"/>
      <c r="J42" s="563"/>
      <c r="K42" s="564"/>
      <c r="L42" s="15"/>
      <c r="M42" s="15"/>
      <c r="N42" s="15"/>
      <c r="O42" s="565"/>
      <c r="P42" s="565"/>
      <c r="Q42" s="13"/>
      <c r="R42" s="13"/>
      <c r="S42" s="13"/>
      <c r="T42" s="13"/>
      <c r="U42" s="175"/>
      <c r="V42" s="229"/>
      <c r="W42" s="230"/>
      <c r="AA42" s="33" t="str">
        <f t="shared" si="0"/>
        <v>OK</v>
      </c>
    </row>
    <row r="43" spans="1:27" ht="30" customHeight="1">
      <c r="A43" s="52">
        <v>36</v>
      </c>
      <c r="B43" s="13"/>
      <c r="C43" s="13"/>
      <c r="D43" s="13"/>
      <c r="E43" s="72"/>
      <c r="F43" s="14"/>
      <c r="G43" s="14"/>
      <c r="H43" s="14"/>
      <c r="I43" s="14"/>
      <c r="J43" s="563"/>
      <c r="K43" s="564"/>
      <c r="L43" s="15"/>
      <c r="M43" s="15"/>
      <c r="N43" s="15"/>
      <c r="O43" s="565"/>
      <c r="P43" s="565"/>
      <c r="Q43" s="13"/>
      <c r="R43" s="13"/>
      <c r="S43" s="13"/>
      <c r="T43" s="13"/>
      <c r="U43" s="175"/>
      <c r="V43" s="229"/>
      <c r="W43" s="230"/>
      <c r="AA43" s="33" t="str">
        <f t="shared" si="0"/>
        <v>OK</v>
      </c>
    </row>
    <row r="44" spans="1:27" ht="30" customHeight="1">
      <c r="A44" s="52">
        <v>37</v>
      </c>
      <c r="B44" s="19"/>
      <c r="C44" s="13"/>
      <c r="D44" s="13"/>
      <c r="E44" s="72"/>
      <c r="F44" s="14"/>
      <c r="G44" s="14"/>
      <c r="H44" s="14"/>
      <c r="I44" s="14"/>
      <c r="J44" s="563"/>
      <c r="K44" s="564"/>
      <c r="L44" s="15"/>
      <c r="M44" s="15"/>
      <c r="N44" s="15"/>
      <c r="O44" s="565"/>
      <c r="P44" s="565"/>
      <c r="Q44" s="13"/>
      <c r="R44" s="13"/>
      <c r="S44" s="13"/>
      <c r="T44" s="13"/>
      <c r="U44" s="175"/>
      <c r="V44" s="229"/>
      <c r="W44" s="230"/>
      <c r="AA44" s="33" t="str">
        <f t="shared" si="0"/>
        <v>OK</v>
      </c>
    </row>
    <row r="45" spans="1:27" ht="30" customHeight="1">
      <c r="A45" s="52">
        <v>38</v>
      </c>
      <c r="B45" s="13"/>
      <c r="C45" s="13"/>
      <c r="D45" s="13"/>
      <c r="E45" s="72"/>
      <c r="F45" s="14"/>
      <c r="G45" s="14"/>
      <c r="H45" s="14"/>
      <c r="I45" s="14"/>
      <c r="J45" s="563"/>
      <c r="K45" s="564"/>
      <c r="L45" s="15"/>
      <c r="M45" s="15"/>
      <c r="N45" s="15"/>
      <c r="O45" s="565"/>
      <c r="P45" s="565"/>
      <c r="Q45" s="13"/>
      <c r="R45" s="13"/>
      <c r="S45" s="13"/>
      <c r="T45" s="13"/>
      <c r="U45" s="175"/>
      <c r="V45" s="229"/>
      <c r="W45" s="230"/>
      <c r="AA45" s="33" t="str">
        <f t="shared" si="0"/>
        <v>OK</v>
      </c>
    </row>
    <row r="46" spans="1:27" ht="30" customHeight="1">
      <c r="A46" s="52">
        <v>39</v>
      </c>
      <c r="B46" s="13"/>
      <c r="C46" s="13"/>
      <c r="D46" s="13"/>
      <c r="E46" s="72"/>
      <c r="F46" s="14"/>
      <c r="G46" s="14"/>
      <c r="H46" s="14"/>
      <c r="I46" s="14"/>
      <c r="J46" s="563"/>
      <c r="K46" s="564"/>
      <c r="L46" s="15"/>
      <c r="M46" s="15"/>
      <c r="N46" s="15"/>
      <c r="O46" s="565"/>
      <c r="P46" s="565"/>
      <c r="Q46" s="13"/>
      <c r="R46" s="13"/>
      <c r="S46" s="13"/>
      <c r="T46" s="13"/>
      <c r="U46" s="175"/>
      <c r="V46" s="229"/>
      <c r="W46" s="230"/>
      <c r="AA46" s="33" t="str">
        <f t="shared" si="0"/>
        <v>OK</v>
      </c>
    </row>
    <row r="47" spans="1:27" ht="30" customHeight="1">
      <c r="A47" s="52">
        <v>40</v>
      </c>
      <c r="B47" s="19"/>
      <c r="C47" s="13"/>
      <c r="D47" s="13"/>
      <c r="E47" s="72"/>
      <c r="F47" s="14"/>
      <c r="G47" s="14"/>
      <c r="H47" s="14"/>
      <c r="I47" s="14"/>
      <c r="J47" s="563"/>
      <c r="K47" s="564"/>
      <c r="L47" s="15"/>
      <c r="M47" s="15"/>
      <c r="N47" s="15"/>
      <c r="O47" s="565"/>
      <c r="P47" s="565"/>
      <c r="Q47" s="13"/>
      <c r="R47" s="13"/>
      <c r="S47" s="13"/>
      <c r="T47" s="13"/>
      <c r="U47" s="175"/>
      <c r="V47" s="229"/>
      <c r="W47" s="230"/>
      <c r="AA47" s="33" t="str">
        <f t="shared" si="0"/>
        <v>OK</v>
      </c>
    </row>
    <row r="48" spans="1:27" ht="30" customHeight="1">
      <c r="A48" s="52">
        <v>41</v>
      </c>
      <c r="B48" s="13"/>
      <c r="C48" s="13"/>
      <c r="D48" s="13"/>
      <c r="E48" s="72"/>
      <c r="F48" s="14"/>
      <c r="G48" s="14"/>
      <c r="H48" s="14"/>
      <c r="I48" s="14"/>
      <c r="J48" s="563"/>
      <c r="K48" s="564"/>
      <c r="L48" s="15"/>
      <c r="M48" s="15"/>
      <c r="N48" s="15"/>
      <c r="O48" s="565"/>
      <c r="P48" s="565"/>
      <c r="Q48" s="13"/>
      <c r="R48" s="13"/>
      <c r="S48" s="13"/>
      <c r="T48" s="13"/>
      <c r="U48" s="175"/>
      <c r="V48" s="229"/>
      <c r="W48" s="230"/>
      <c r="AA48" s="33" t="str">
        <f t="shared" si="0"/>
        <v>OK</v>
      </c>
    </row>
    <row r="49" spans="1:27" ht="30" customHeight="1">
      <c r="A49" s="52">
        <v>42</v>
      </c>
      <c r="B49" s="13"/>
      <c r="C49" s="13"/>
      <c r="D49" s="13"/>
      <c r="E49" s="72"/>
      <c r="F49" s="14"/>
      <c r="G49" s="14"/>
      <c r="H49" s="14"/>
      <c r="I49" s="14"/>
      <c r="J49" s="563"/>
      <c r="K49" s="564"/>
      <c r="L49" s="15"/>
      <c r="M49" s="15"/>
      <c r="N49" s="15"/>
      <c r="O49" s="565"/>
      <c r="P49" s="565"/>
      <c r="Q49" s="13"/>
      <c r="R49" s="13"/>
      <c r="S49" s="13"/>
      <c r="T49" s="13"/>
      <c r="U49" s="175"/>
      <c r="V49" s="229"/>
      <c r="W49" s="230"/>
      <c r="AA49" s="33" t="str">
        <f t="shared" si="0"/>
        <v>OK</v>
      </c>
    </row>
    <row r="50" spans="1:27" ht="30" customHeight="1">
      <c r="A50" s="52">
        <v>43</v>
      </c>
      <c r="B50" s="13"/>
      <c r="C50" s="13"/>
      <c r="D50" s="13"/>
      <c r="E50" s="72"/>
      <c r="F50" s="14"/>
      <c r="G50" s="14"/>
      <c r="H50" s="14"/>
      <c r="I50" s="14"/>
      <c r="J50" s="563"/>
      <c r="K50" s="564"/>
      <c r="L50" s="15"/>
      <c r="M50" s="15"/>
      <c r="N50" s="15"/>
      <c r="O50" s="565"/>
      <c r="P50" s="565"/>
      <c r="Q50" s="13"/>
      <c r="R50" s="13"/>
      <c r="S50" s="13"/>
      <c r="T50" s="13"/>
      <c r="U50" s="175"/>
      <c r="V50" s="229"/>
      <c r="W50" s="230"/>
      <c r="AA50" s="33" t="str">
        <f t="shared" si="0"/>
        <v>OK</v>
      </c>
    </row>
    <row r="51" spans="1:27" ht="30" customHeight="1">
      <c r="A51" s="52">
        <v>44</v>
      </c>
      <c r="B51" s="13"/>
      <c r="C51" s="13"/>
      <c r="D51" s="13"/>
      <c r="E51" s="72"/>
      <c r="F51" s="14"/>
      <c r="G51" s="14"/>
      <c r="H51" s="14"/>
      <c r="I51" s="14"/>
      <c r="J51" s="563"/>
      <c r="K51" s="564"/>
      <c r="L51" s="15"/>
      <c r="M51" s="15"/>
      <c r="N51" s="15"/>
      <c r="O51" s="565"/>
      <c r="P51" s="565"/>
      <c r="Q51" s="13"/>
      <c r="R51" s="13"/>
      <c r="S51" s="13"/>
      <c r="T51" s="13"/>
      <c r="U51" s="175"/>
      <c r="V51" s="229"/>
      <c r="W51" s="230"/>
      <c r="AA51" s="33" t="str">
        <f t="shared" si="0"/>
        <v>OK</v>
      </c>
    </row>
    <row r="52" spans="1:27" ht="30" customHeight="1">
      <c r="A52" s="52">
        <v>45</v>
      </c>
      <c r="B52" s="13"/>
      <c r="C52" s="13"/>
      <c r="D52" s="13"/>
      <c r="E52" s="72"/>
      <c r="F52" s="14"/>
      <c r="G52" s="14"/>
      <c r="H52" s="14"/>
      <c r="I52" s="14"/>
      <c r="J52" s="563"/>
      <c r="K52" s="564"/>
      <c r="L52" s="15"/>
      <c r="M52" s="15"/>
      <c r="N52" s="15"/>
      <c r="O52" s="565"/>
      <c r="P52" s="565"/>
      <c r="Q52" s="13"/>
      <c r="R52" s="13"/>
      <c r="S52" s="13"/>
      <c r="T52" s="13"/>
      <c r="U52" s="175"/>
      <c r="V52" s="229"/>
      <c r="W52" s="230"/>
      <c r="AA52" s="33" t="str">
        <f t="shared" si="0"/>
        <v>OK</v>
      </c>
    </row>
    <row r="53" spans="1:27" ht="30" customHeight="1">
      <c r="A53" s="52">
        <v>46</v>
      </c>
      <c r="B53" s="19"/>
      <c r="C53" s="13"/>
      <c r="D53" s="13"/>
      <c r="E53" s="72"/>
      <c r="F53" s="14"/>
      <c r="G53" s="14"/>
      <c r="H53" s="14"/>
      <c r="I53" s="14"/>
      <c r="J53" s="563"/>
      <c r="K53" s="564"/>
      <c r="L53" s="15"/>
      <c r="M53" s="15"/>
      <c r="N53" s="15"/>
      <c r="O53" s="565"/>
      <c r="P53" s="565"/>
      <c r="Q53" s="13"/>
      <c r="R53" s="13"/>
      <c r="S53" s="13"/>
      <c r="T53" s="13"/>
      <c r="U53" s="175"/>
      <c r="V53" s="229"/>
      <c r="W53" s="230"/>
      <c r="AA53" s="33" t="str">
        <f t="shared" si="0"/>
        <v>OK</v>
      </c>
    </row>
    <row r="54" spans="1:27" ht="30" customHeight="1">
      <c r="A54" s="52">
        <v>47</v>
      </c>
      <c r="B54" s="13"/>
      <c r="C54" s="13"/>
      <c r="D54" s="13"/>
      <c r="E54" s="72"/>
      <c r="F54" s="14"/>
      <c r="G54" s="14"/>
      <c r="H54" s="14"/>
      <c r="I54" s="14"/>
      <c r="J54" s="563"/>
      <c r="K54" s="564"/>
      <c r="L54" s="15"/>
      <c r="M54" s="15"/>
      <c r="N54" s="15"/>
      <c r="O54" s="565"/>
      <c r="P54" s="565"/>
      <c r="Q54" s="13"/>
      <c r="R54" s="13"/>
      <c r="S54" s="13"/>
      <c r="T54" s="13"/>
      <c r="U54" s="175"/>
      <c r="V54" s="229"/>
      <c r="W54" s="230"/>
      <c r="AA54" s="33" t="str">
        <f t="shared" si="0"/>
        <v>OK</v>
      </c>
    </row>
    <row r="55" spans="1:27" ht="30" customHeight="1">
      <c r="A55" s="52">
        <v>48</v>
      </c>
      <c r="B55" s="13"/>
      <c r="C55" s="13"/>
      <c r="D55" s="13"/>
      <c r="E55" s="72"/>
      <c r="F55" s="14"/>
      <c r="G55" s="14"/>
      <c r="H55" s="14"/>
      <c r="I55" s="14"/>
      <c r="J55" s="563"/>
      <c r="K55" s="564"/>
      <c r="L55" s="15"/>
      <c r="M55" s="15"/>
      <c r="N55" s="15"/>
      <c r="O55" s="565"/>
      <c r="P55" s="565"/>
      <c r="Q55" s="13"/>
      <c r="R55" s="13"/>
      <c r="S55" s="13"/>
      <c r="T55" s="13"/>
      <c r="U55" s="175"/>
      <c r="V55" s="229"/>
      <c r="W55" s="230"/>
      <c r="AA55" s="33" t="str">
        <f t="shared" si="0"/>
        <v>OK</v>
      </c>
    </row>
    <row r="56" spans="1:27" ht="30" customHeight="1">
      <c r="A56" s="52">
        <v>49</v>
      </c>
      <c r="B56" s="13"/>
      <c r="C56" s="13"/>
      <c r="D56" s="13"/>
      <c r="E56" s="72"/>
      <c r="F56" s="14"/>
      <c r="G56" s="14"/>
      <c r="H56" s="14"/>
      <c r="I56" s="14"/>
      <c r="J56" s="563"/>
      <c r="K56" s="564"/>
      <c r="L56" s="15"/>
      <c r="M56" s="15"/>
      <c r="N56" s="15"/>
      <c r="O56" s="565"/>
      <c r="P56" s="565"/>
      <c r="Q56" s="13"/>
      <c r="R56" s="13"/>
      <c r="S56" s="13"/>
      <c r="T56" s="13"/>
      <c r="U56" s="175"/>
      <c r="V56" s="229"/>
      <c r="W56" s="230"/>
      <c r="AA56" s="33" t="str">
        <f t="shared" si="0"/>
        <v>OK</v>
      </c>
    </row>
    <row r="57" spans="1:27" ht="30" customHeight="1" thickBot="1">
      <c r="A57" s="53">
        <v>50</v>
      </c>
      <c r="B57" s="21"/>
      <c r="C57" s="21"/>
      <c r="D57" s="21"/>
      <c r="E57" s="73"/>
      <c r="F57" s="22"/>
      <c r="G57" s="22"/>
      <c r="H57" s="22"/>
      <c r="I57" s="22"/>
      <c r="J57" s="577"/>
      <c r="K57" s="578"/>
      <c r="L57" s="44"/>
      <c r="M57" s="44"/>
      <c r="N57" s="44"/>
      <c r="O57" s="579"/>
      <c r="P57" s="579"/>
      <c r="Q57" s="45"/>
      <c r="R57" s="21"/>
      <c r="S57" s="21"/>
      <c r="T57" s="21"/>
      <c r="U57" s="176"/>
      <c r="V57" s="229"/>
      <c r="W57" s="230"/>
      <c r="AA57" s="33" t="str">
        <f t="shared" si="0"/>
        <v>OK</v>
      </c>
    </row>
    <row r="58" spans="1:27" ht="15.75" thickTop="1"/>
  </sheetData>
  <sheetProtection password="A0FF" sheet="1" objects="1" scenarios="1"/>
  <mergeCells count="126">
    <mergeCell ref="J56:K56"/>
    <mergeCell ref="O56:P56"/>
    <mergeCell ref="J57:K57"/>
    <mergeCell ref="O57:P57"/>
    <mergeCell ref="J53:K53"/>
    <mergeCell ref="O53:P53"/>
    <mergeCell ref="J54:K54"/>
    <mergeCell ref="O54:P54"/>
    <mergeCell ref="J55:K55"/>
    <mergeCell ref="O55:P55"/>
    <mergeCell ref="J50:K50"/>
    <mergeCell ref="O50:P50"/>
    <mergeCell ref="J51:K51"/>
    <mergeCell ref="O51:P51"/>
    <mergeCell ref="J52:K52"/>
    <mergeCell ref="O52:P52"/>
    <mergeCell ref="J47:K47"/>
    <mergeCell ref="O47:P47"/>
    <mergeCell ref="J48:K48"/>
    <mergeCell ref="O48:P48"/>
    <mergeCell ref="J49:K49"/>
    <mergeCell ref="O49:P49"/>
    <mergeCell ref="J44:K44"/>
    <mergeCell ref="O44:P44"/>
    <mergeCell ref="J45:K45"/>
    <mergeCell ref="O45:P45"/>
    <mergeCell ref="J46:K46"/>
    <mergeCell ref="O46:P46"/>
    <mergeCell ref="J41:K41"/>
    <mergeCell ref="O41:P41"/>
    <mergeCell ref="J42:K42"/>
    <mergeCell ref="O42:P42"/>
    <mergeCell ref="J43:K43"/>
    <mergeCell ref="O43:P43"/>
    <mergeCell ref="J38:K38"/>
    <mergeCell ref="O38:P38"/>
    <mergeCell ref="J39:K39"/>
    <mergeCell ref="O39:P39"/>
    <mergeCell ref="J40:K40"/>
    <mergeCell ref="O40:P40"/>
    <mergeCell ref="J35:K35"/>
    <mergeCell ref="O35:P35"/>
    <mergeCell ref="J36:K36"/>
    <mergeCell ref="O36:P36"/>
    <mergeCell ref="J37:K37"/>
    <mergeCell ref="O37:P37"/>
    <mergeCell ref="J32:K32"/>
    <mergeCell ref="O32:P32"/>
    <mergeCell ref="J33:K33"/>
    <mergeCell ref="O33:P33"/>
    <mergeCell ref="J34:K34"/>
    <mergeCell ref="O34:P34"/>
    <mergeCell ref="J29:K29"/>
    <mergeCell ref="O29:P29"/>
    <mergeCell ref="J30:K30"/>
    <mergeCell ref="O30:P30"/>
    <mergeCell ref="J31:K31"/>
    <mergeCell ref="O31:P31"/>
    <mergeCell ref="J26:K26"/>
    <mergeCell ref="O26:P26"/>
    <mergeCell ref="J27:K27"/>
    <mergeCell ref="O27:P27"/>
    <mergeCell ref="J28:K28"/>
    <mergeCell ref="O28:P28"/>
    <mergeCell ref="J23:K23"/>
    <mergeCell ref="O23:P23"/>
    <mergeCell ref="J24:K24"/>
    <mergeCell ref="O24:P24"/>
    <mergeCell ref="J25:K25"/>
    <mergeCell ref="O25:P25"/>
    <mergeCell ref="J20:K20"/>
    <mergeCell ref="O20:P20"/>
    <mergeCell ref="J21:K21"/>
    <mergeCell ref="O21:P21"/>
    <mergeCell ref="J22:K22"/>
    <mergeCell ref="O22:P22"/>
    <mergeCell ref="J17:K17"/>
    <mergeCell ref="O17:P17"/>
    <mergeCell ref="J18:K18"/>
    <mergeCell ref="O18:P18"/>
    <mergeCell ref="J19:K19"/>
    <mergeCell ref="O19:P19"/>
    <mergeCell ref="J14:K14"/>
    <mergeCell ref="O14:P14"/>
    <mergeCell ref="J15:K15"/>
    <mergeCell ref="O15:P15"/>
    <mergeCell ref="J16:K16"/>
    <mergeCell ref="O16:P16"/>
    <mergeCell ref="J11:K11"/>
    <mergeCell ref="O11:P11"/>
    <mergeCell ref="J12:K12"/>
    <mergeCell ref="O12:P12"/>
    <mergeCell ref="J13:K13"/>
    <mergeCell ref="O13:P13"/>
    <mergeCell ref="J8:K8"/>
    <mergeCell ref="O8:P8"/>
    <mergeCell ref="J9:K9"/>
    <mergeCell ref="O9:P9"/>
    <mergeCell ref="J10:K10"/>
    <mergeCell ref="O10:P10"/>
    <mergeCell ref="D5:I5"/>
    <mergeCell ref="L5:M5"/>
    <mergeCell ref="N5:T5"/>
    <mergeCell ref="J7:K7"/>
    <mergeCell ref="O7:P7"/>
    <mergeCell ref="L6:M6"/>
    <mergeCell ref="N6:T6"/>
    <mergeCell ref="F3:I3"/>
    <mergeCell ref="L3:M3"/>
    <mergeCell ref="N3:T3"/>
    <mergeCell ref="L4:M4"/>
    <mergeCell ref="V1:V2"/>
    <mergeCell ref="W1:W2"/>
    <mergeCell ref="V4:V5"/>
    <mergeCell ref="W4:W5"/>
    <mergeCell ref="A1:I1"/>
    <mergeCell ref="L1:M1"/>
    <mergeCell ref="N1:T1"/>
    <mergeCell ref="F2:I2"/>
    <mergeCell ref="L2:M2"/>
    <mergeCell ref="N2:T2"/>
    <mergeCell ref="A4:C4"/>
    <mergeCell ref="D4:E4"/>
    <mergeCell ref="F4:G4"/>
    <mergeCell ref="H4:I4"/>
    <mergeCell ref="N4:T4"/>
  </mergeCells>
  <conditionalFormatting sqref="O8:P57">
    <cfRule type="containsText" dxfId="116" priority="10" stopIfTrue="1" operator="containsText" text="Yes">
      <formula>NOT(ISERROR(SEARCH("Yes",O8)))</formula>
    </cfRule>
  </conditionalFormatting>
  <conditionalFormatting sqref="C8:C57">
    <cfRule type="cellIs" dxfId="115" priority="7" stopIfTrue="1" operator="greaterThan">
      <formula>1</formula>
    </cfRule>
  </conditionalFormatting>
  <conditionalFormatting sqref="M8:M57">
    <cfRule type="expression" dxfId="114" priority="3">
      <formula>M8&lt;&gt;L8</formula>
    </cfRule>
  </conditionalFormatting>
  <conditionalFormatting sqref="N8:N57">
    <cfRule type="expression" dxfId="113" priority="2">
      <formula>AA8="Enter"</formula>
    </cfRule>
  </conditionalFormatting>
  <conditionalFormatting sqref="N6:T6">
    <cfRule type="notContainsBlanks" dxfId="112" priority="1">
      <formula>LEN(TRIM(N6))&gt;0</formula>
    </cfRule>
  </conditionalFormatting>
  <dataValidations count="14">
    <dataValidation allowBlank="1" showInputMessage="1" errorTitle="Invalid Enrty" error="Please select from List!" sqref="U8:U57" xr:uid="{00000000-0002-0000-0200-000000000000}"/>
    <dataValidation type="list" allowBlank="1" showInputMessage="1" showErrorMessage="1" sqref="I8:I57" xr:uid="{00000000-0002-0000-0200-000001000000}">
      <formula1>"Face Fit, Recess Fit"</formula1>
    </dataValidation>
    <dataValidation type="list" errorStyle="warning" allowBlank="1" showInputMessage="1" showErrorMessage="1" errorTitle="Invalid Entry" error="This is not a standard colour._x000a_Please select from List!" sqref="J8:K57" xr:uid="{00000000-0002-0000-0200-000002000000}">
      <formula1>"NAM, ACT"</formula1>
    </dataValidation>
    <dataValidation type="list" allowBlank="1" showInputMessage="1" showErrorMessage="1" sqref="L8:M57" xr:uid="{00000000-0002-0000-0200-000003000000}">
      <formula1>"Left, Right"</formula1>
    </dataValidation>
    <dataValidation allowBlank="1" showInputMessage="1" showErrorMessage="1" errorTitle="Invalid Entry" error="Please select from List!" sqref="Q8:Q57 S8:S57" xr:uid="{00000000-0002-0000-0200-000004000000}"/>
    <dataValidation type="list" allowBlank="1" showInputMessage="1" showErrorMessage="1" errorTitle="Invalid Entry" error="Invalid Entry" sqref="E8:E57" xr:uid="{00000000-0002-0000-0200-000005000000}">
      <formula1>AlumColours</formula1>
    </dataValidation>
    <dataValidation type="list" allowBlank="1" showInputMessage="1" showErrorMessage="1" sqref="D8:D57" xr:uid="{00000000-0002-0000-0200-000006000000}">
      <formula1>"25mm Aluminium Blinds"</formula1>
    </dataValidation>
    <dataValidation type="list" allowBlank="1" showInputMessage="1" showErrorMessage="1" errorTitle="Invalid Entry" error="Invalid Entry" sqref="O8:P57" xr:uid="{00000000-0002-0000-0200-000007000000}">
      <formula1>"No, Yes"</formula1>
    </dataValidation>
    <dataValidation type="list" allowBlank="1" showInputMessage="1" showErrorMessage="1" errorTitle="Invalid Entry" error="Invalid Entry" sqref="H8:H57" xr:uid="{00000000-0002-0000-0200-000008000000}">
      <formula1>WindowType</formula1>
    </dataValidation>
    <dataValidation type="whole" errorStyle="warning" allowBlank="1" showInputMessage="1" showErrorMessage="1" errorTitle="Be Aware" error="Minimum width is 270mm._x000a_Maximum width is 2700mm. _x000a__x000a_Larger openings may require multiple Blinds._x000a__x000a_Blinds over approximately 7 SQM are able to be made but are not covered under warranty." sqref="F8:F57" xr:uid="{00000000-0002-0000-0200-000009000000}">
      <formula1>270</formula1>
      <formula2>2700</formula2>
    </dataValidation>
    <dataValidation type="whole" errorStyle="warning" allowBlank="1" showInputMessage="1" showErrorMessage="1" errorTitle="Be Aware" error="Maximum height/drop is 3600mm." sqref="G8:G57" xr:uid="{00000000-0002-0000-0200-00000A000000}">
      <formula1>1</formula1>
      <formula2>3600</formula2>
    </dataValidation>
    <dataValidation type="whole" errorStyle="warning" allowBlank="1" showInputMessage="1" showErrorMessage="1" errorTitle="Invalid Entry" error="Maximum Cut Out Width is 165mm." sqref="R8:R57 T8:T57" xr:uid="{00000000-0002-0000-0200-00000B000000}">
      <formula1>0</formula1>
      <formula2>165</formula2>
    </dataValidation>
    <dataValidation type="list" allowBlank="1" showInputMessage="1" showErrorMessage="1" errorTitle="Invalid Entry" error="Invalid Entry" sqref="N8:N57" xr:uid="{00000000-0002-0000-0200-00000C000000}">
      <formula1>HoldDown</formula1>
    </dataValidation>
    <dataValidation allowBlank="1" sqref="V1:W57" xr:uid="{00000000-0002-0000-0200-00000D000000}"/>
  </dataValidations>
  <printOptions horizontalCentered="1"/>
  <pageMargins left="0.23622047244094491" right="0.23622047244094491" top="0.23622047244094491" bottom="0.23622047244094491" header="0.19685039370078741" footer="0.15748031496062992"/>
  <pageSetup paperSize="9" scale="48"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pageSetUpPr fitToPage="1"/>
  </sheetPr>
  <dimension ref="A1:BZ58"/>
  <sheetViews>
    <sheetView zoomScale="85" zoomScaleNormal="85" zoomScaleSheetLayoutView="85" workbookViewId="0">
      <selection activeCell="B8" sqref="B8"/>
    </sheetView>
  </sheetViews>
  <sheetFormatPr defaultRowHeight="15"/>
  <cols>
    <col min="1" max="1" width="7.140625" style="54" customWidth="1"/>
    <col min="2" max="2" width="13.7109375" style="54" customWidth="1"/>
    <col min="3" max="3" width="8.42578125" style="54" customWidth="1"/>
    <col min="4" max="4" width="21.5703125" style="54" customWidth="1"/>
    <col min="5" max="5" width="19.28515625" style="54" customWidth="1"/>
    <col min="6" max="6" width="13" style="54" customWidth="1"/>
    <col min="7" max="7" width="12.42578125" style="54" customWidth="1"/>
    <col min="8" max="8" width="15.85546875" style="54" customWidth="1"/>
    <col min="9" max="9" width="11.42578125" style="54" customWidth="1"/>
    <col min="10" max="10" width="9.140625" style="54" customWidth="1"/>
    <col min="11" max="11" width="4.28515625" style="54" customWidth="1"/>
    <col min="12" max="13" width="13.7109375" style="54" customWidth="1"/>
    <col min="14" max="14" width="14" style="54" customWidth="1"/>
    <col min="15" max="16" width="16.5703125" style="54" customWidth="1"/>
    <col min="17" max="17" width="15.28515625" style="54" customWidth="1"/>
    <col min="18" max="18" width="15.140625" style="54" customWidth="1"/>
    <col min="19" max="19" width="12.28515625" style="54" customWidth="1"/>
    <col min="20" max="20" width="10.85546875" style="54" customWidth="1"/>
    <col min="21" max="21" width="9.28515625" style="54" customWidth="1"/>
    <col min="22" max="23" width="14.7109375" style="54" customWidth="1"/>
    <col min="24" max="24" width="19.7109375" style="54" customWidth="1"/>
    <col min="25" max="25" width="9.85546875" style="54" customWidth="1"/>
    <col min="26" max="26" width="40.42578125" style="54" customWidth="1"/>
    <col min="27" max="27" width="15.42578125" style="54" customWidth="1"/>
    <col min="28" max="28" width="44.5703125" style="65" customWidth="1"/>
    <col min="29" max="29" width="22.5703125" style="33" hidden="1" customWidth="1"/>
    <col min="30" max="31" width="9.140625" style="33" hidden="1" customWidth="1"/>
    <col min="32" max="32" width="14.7109375" style="172" hidden="1" customWidth="1"/>
    <col min="33" max="33" width="37.42578125" style="172" hidden="1" customWidth="1"/>
    <col min="34" max="35" width="23.28515625" style="172" hidden="1" customWidth="1"/>
    <col min="36" max="36" width="25.140625" style="33" hidden="1" customWidth="1"/>
    <col min="37" max="38" width="9.140625" style="33" hidden="1" customWidth="1"/>
    <col min="39" max="39" width="21.85546875" style="33" hidden="1" customWidth="1"/>
    <col min="40" max="40" width="9.140625" style="33" hidden="1" customWidth="1"/>
    <col min="41" max="41" width="24" style="33" hidden="1" customWidth="1"/>
    <col min="42" max="42" width="9.140625" style="33" hidden="1" customWidth="1"/>
    <col min="43" max="43" width="42.7109375" style="33" hidden="1" customWidth="1"/>
    <col min="44" max="52" width="9.140625" style="33" hidden="1" customWidth="1"/>
    <col min="53" max="53" width="14.7109375" style="33" hidden="1" customWidth="1"/>
    <col min="54" max="55" width="15.140625" style="172" hidden="1" customWidth="1"/>
    <col min="56" max="56" width="21.42578125" style="172" hidden="1" customWidth="1"/>
    <col min="57" max="57" width="9.140625" style="33" hidden="1" customWidth="1"/>
    <col min="58" max="58" width="13.85546875" style="33" hidden="1" customWidth="1"/>
    <col min="59" max="59" width="45" style="172" hidden="1" customWidth="1"/>
    <col min="60" max="60" width="53" style="33" hidden="1" customWidth="1"/>
    <col min="61" max="61" width="33.5703125" style="33" hidden="1" customWidth="1"/>
    <col min="62" max="62" width="28.85546875" style="33" hidden="1" customWidth="1"/>
    <col min="63" max="63" width="35.140625" style="33" hidden="1" customWidth="1"/>
    <col min="64" max="64" width="24.42578125" style="33" hidden="1" customWidth="1"/>
    <col min="65" max="78" width="9.140625" style="33" hidden="1" customWidth="1"/>
    <col min="79" max="16384" width="9.140625" style="33"/>
  </cols>
  <sheetData>
    <row r="1" spans="1:64" ht="26.25">
      <c r="A1" s="114"/>
      <c r="B1" s="115"/>
      <c r="C1" s="115"/>
      <c r="D1" s="115"/>
      <c r="E1" s="171"/>
      <c r="F1" s="115"/>
      <c r="G1" s="115"/>
      <c r="H1" s="115"/>
      <c r="I1" s="115"/>
      <c r="J1" s="121"/>
      <c r="K1" s="58"/>
      <c r="L1" s="536" t="s">
        <v>0</v>
      </c>
      <c r="M1" s="536"/>
      <c r="N1" s="545">
        <f>Summary!D3</f>
        <v>0</v>
      </c>
      <c r="O1" s="546"/>
      <c r="P1" s="546"/>
      <c r="Q1" s="546"/>
      <c r="R1" s="546"/>
      <c r="S1" s="546"/>
      <c r="T1" s="546"/>
      <c r="U1" s="546"/>
      <c r="V1" s="546"/>
      <c r="W1" s="546"/>
      <c r="X1" s="546"/>
      <c r="Y1" s="546"/>
      <c r="Z1" s="260"/>
      <c r="AA1" s="261"/>
      <c r="AB1" s="258"/>
    </row>
    <row r="2" spans="1:64" ht="19.5">
      <c r="A2" s="28"/>
      <c r="B2" s="29"/>
      <c r="C2" s="29"/>
      <c r="F2" s="598" t="s">
        <v>175</v>
      </c>
      <c r="G2" s="598"/>
      <c r="H2" s="598"/>
      <c r="I2" s="598"/>
      <c r="J2" s="599"/>
      <c r="K2" s="60"/>
      <c r="L2" s="536" t="s">
        <v>141</v>
      </c>
      <c r="M2" s="536"/>
      <c r="N2" s="549">
        <f>Summary!D6</f>
        <v>0</v>
      </c>
      <c r="O2" s="550"/>
      <c r="P2" s="550"/>
      <c r="Q2" s="550"/>
      <c r="R2" s="550"/>
      <c r="S2" s="550"/>
      <c r="T2" s="550"/>
      <c r="U2" s="550"/>
      <c r="V2" s="550"/>
      <c r="W2" s="550"/>
      <c r="X2" s="550"/>
      <c r="Y2" s="550"/>
      <c r="Z2" s="262"/>
      <c r="AA2" s="261"/>
      <c r="AB2" s="258"/>
    </row>
    <row r="3" spans="1:64" ht="17.25" customHeight="1">
      <c r="A3" s="7"/>
      <c r="B3" s="8"/>
      <c r="C3" s="8"/>
      <c r="D3" s="116"/>
      <c r="F3" s="116"/>
      <c r="G3" s="116"/>
      <c r="H3" s="116"/>
      <c r="I3" s="116"/>
      <c r="J3" s="81"/>
      <c r="K3" s="58"/>
      <c r="L3" s="536" t="s">
        <v>143</v>
      </c>
      <c r="M3" s="536"/>
      <c r="N3" s="537">
        <f>Summary!D4</f>
        <v>0</v>
      </c>
      <c r="O3" s="538"/>
      <c r="P3" s="538"/>
      <c r="Q3" s="538"/>
      <c r="R3" s="538"/>
      <c r="S3" s="538"/>
      <c r="T3" s="538"/>
      <c r="U3" s="538"/>
      <c r="V3" s="538"/>
      <c r="W3" s="538"/>
      <c r="X3" s="538"/>
      <c r="Y3" s="539"/>
      <c r="Z3" s="262"/>
      <c r="AA3" s="62"/>
      <c r="AB3" s="63"/>
    </row>
    <row r="4" spans="1:64" ht="17.25" customHeight="1">
      <c r="A4" s="551" t="s">
        <v>453</v>
      </c>
      <c r="B4" s="551"/>
      <c r="C4" s="551"/>
      <c r="D4" s="600"/>
      <c r="E4" s="600"/>
      <c r="F4" s="552" t="s">
        <v>452</v>
      </c>
      <c r="G4" s="553"/>
      <c r="H4" s="554"/>
      <c r="I4" s="601"/>
      <c r="J4" s="555"/>
      <c r="K4" s="60"/>
      <c r="L4" s="536" t="s">
        <v>978</v>
      </c>
      <c r="M4" s="536"/>
      <c r="N4" s="556">
        <f>Summary!D7</f>
        <v>0</v>
      </c>
      <c r="O4" s="557"/>
      <c r="P4" s="557"/>
      <c r="Q4" s="557"/>
      <c r="R4" s="557"/>
      <c r="S4" s="557"/>
      <c r="T4" s="557"/>
      <c r="U4" s="557"/>
      <c r="V4" s="557"/>
      <c r="W4" s="557"/>
      <c r="X4" s="557"/>
      <c r="Y4" s="558"/>
      <c r="Z4" s="262"/>
      <c r="AA4" s="261"/>
      <c r="AB4" s="259"/>
    </row>
    <row r="5" spans="1:64" ht="17.25" customHeight="1">
      <c r="A5" s="96" t="s">
        <v>415</v>
      </c>
      <c r="B5" s="97"/>
      <c r="C5" s="97"/>
      <c r="D5" s="43" t="s">
        <v>210</v>
      </c>
      <c r="E5" s="118"/>
      <c r="F5" s="43"/>
      <c r="G5" s="117"/>
      <c r="H5" s="117"/>
      <c r="I5" s="117"/>
      <c r="J5" s="105"/>
      <c r="K5" s="60"/>
      <c r="L5" s="536" t="s">
        <v>144</v>
      </c>
      <c r="M5" s="536"/>
      <c r="N5" s="569">
        <f>Summary!D8</f>
        <v>0</v>
      </c>
      <c r="O5" s="570"/>
      <c r="P5" s="570"/>
      <c r="Q5" s="570"/>
      <c r="R5" s="570"/>
      <c r="S5" s="570"/>
      <c r="T5" s="570"/>
      <c r="U5" s="570"/>
      <c r="V5" s="570"/>
      <c r="W5" s="570"/>
      <c r="X5" s="570"/>
      <c r="Y5" s="570"/>
      <c r="Z5" s="263"/>
      <c r="AA5" s="261"/>
      <c r="AB5" s="259"/>
    </row>
    <row r="6" spans="1:64" ht="15.75" thickBot="1">
      <c r="A6" s="595" t="s">
        <v>723</v>
      </c>
      <c r="B6" s="596"/>
      <c r="C6" s="596"/>
      <c r="D6" s="596"/>
      <c r="E6" s="596"/>
      <c r="F6" s="596"/>
      <c r="G6" s="596"/>
      <c r="H6" s="596"/>
      <c r="I6" s="596"/>
      <c r="J6" s="597"/>
      <c r="L6" s="575" t="s">
        <v>654</v>
      </c>
      <c r="M6" s="575"/>
      <c r="N6" s="592" t="str">
        <f>AG18</f>
        <v/>
      </c>
      <c r="O6" s="593"/>
      <c r="P6" s="593"/>
      <c r="Q6" s="593"/>
      <c r="R6" s="593"/>
      <c r="S6" s="593"/>
      <c r="T6" s="593"/>
      <c r="U6" s="593"/>
      <c r="V6" s="593"/>
      <c r="W6" s="593"/>
      <c r="X6" s="593"/>
      <c r="Y6" s="594"/>
    </row>
    <row r="7" spans="1:64" ht="47.25" customHeight="1" thickTop="1" thickBot="1">
      <c r="A7" s="66" t="s">
        <v>146</v>
      </c>
      <c r="B7" s="67" t="s">
        <v>147</v>
      </c>
      <c r="C7" s="68" t="s">
        <v>164</v>
      </c>
      <c r="D7" s="68" t="s">
        <v>181</v>
      </c>
      <c r="E7" s="68" t="s">
        <v>204</v>
      </c>
      <c r="F7" s="67" t="s">
        <v>148</v>
      </c>
      <c r="G7" s="68" t="s">
        <v>149</v>
      </c>
      <c r="H7" s="69" t="s">
        <v>14</v>
      </c>
      <c r="I7" s="69" t="s">
        <v>165</v>
      </c>
      <c r="J7" s="571" t="s">
        <v>13</v>
      </c>
      <c r="K7" s="572"/>
      <c r="L7" s="67" t="s">
        <v>182</v>
      </c>
      <c r="M7" s="67" t="s">
        <v>166</v>
      </c>
      <c r="N7" s="67" t="s">
        <v>209</v>
      </c>
      <c r="O7" s="590" t="s">
        <v>1536</v>
      </c>
      <c r="P7" s="591"/>
      <c r="Q7" s="68" t="s">
        <v>167</v>
      </c>
      <c r="R7" s="67" t="s">
        <v>168</v>
      </c>
      <c r="S7" s="67" t="s">
        <v>189</v>
      </c>
      <c r="T7" s="67" t="s">
        <v>190</v>
      </c>
      <c r="U7" s="67" t="s">
        <v>186</v>
      </c>
      <c r="V7" s="67" t="s">
        <v>205</v>
      </c>
      <c r="W7" s="67" t="s">
        <v>169</v>
      </c>
      <c r="X7" s="67" t="s">
        <v>841</v>
      </c>
      <c r="Y7" s="270" t="s">
        <v>222</v>
      </c>
      <c r="Z7" s="76" t="s">
        <v>203</v>
      </c>
      <c r="AA7" s="231"/>
      <c r="AB7" s="231"/>
      <c r="AC7" s="33" t="s">
        <v>1072</v>
      </c>
      <c r="AD7" s="33" t="s">
        <v>1170</v>
      </c>
      <c r="AF7" s="172" t="s">
        <v>1171</v>
      </c>
      <c r="AI7" s="172" t="s">
        <v>841</v>
      </c>
      <c r="AJ7" s="33" t="s">
        <v>1129</v>
      </c>
      <c r="AM7" s="33" t="s">
        <v>1151</v>
      </c>
      <c r="AO7" s="33" t="s">
        <v>186</v>
      </c>
      <c r="AQ7" s="33" t="s">
        <v>169</v>
      </c>
      <c r="BA7" s="67" t="s">
        <v>221</v>
      </c>
      <c r="BB7" s="172" t="s">
        <v>864</v>
      </c>
      <c r="BC7" s="172" t="s">
        <v>865</v>
      </c>
      <c r="BD7" s="172" t="s">
        <v>866</v>
      </c>
      <c r="BG7" s="172" t="s">
        <v>1436</v>
      </c>
      <c r="BH7" s="33" t="s">
        <v>168</v>
      </c>
      <c r="BI7" s="33" t="s">
        <v>1439</v>
      </c>
      <c r="BJ7" s="33" t="s">
        <v>1446</v>
      </c>
      <c r="BK7" s="33" t="s">
        <v>1447</v>
      </c>
      <c r="BL7" s="33" t="s">
        <v>1448</v>
      </c>
    </row>
    <row r="8" spans="1:64" ht="30" customHeight="1" thickTop="1" thickBot="1">
      <c r="A8" s="50">
        <v>1</v>
      </c>
      <c r="B8" s="9"/>
      <c r="C8" s="23"/>
      <c r="D8" s="25"/>
      <c r="E8" s="11"/>
      <c r="F8" s="10"/>
      <c r="G8" s="10"/>
      <c r="H8" s="24"/>
      <c r="I8" s="24"/>
      <c r="J8" s="559"/>
      <c r="K8" s="560"/>
      <c r="L8" s="11"/>
      <c r="M8" s="272"/>
      <c r="N8" s="11"/>
      <c r="O8" s="588"/>
      <c r="P8" s="589"/>
      <c r="Q8" s="25"/>
      <c r="R8" s="25"/>
      <c r="S8" s="40"/>
      <c r="T8" s="25"/>
      <c r="U8" s="25"/>
      <c r="V8" s="25"/>
      <c r="W8" s="25"/>
      <c r="X8" s="11"/>
      <c r="Y8" s="26"/>
      <c r="Z8" s="174"/>
      <c r="AA8" s="229"/>
      <c r="AB8" s="230"/>
      <c r="AC8" s="33" t="e">
        <f>IF(AND(AD8="Yes",U8=""),"Enter","OK")</f>
        <v>#N/A</v>
      </c>
      <c r="AD8" s="33" t="e">
        <f>VLOOKUP(S8,Data!$QH$2:$QI$4,2,FALSE)</f>
        <v>#N/A</v>
      </c>
      <c r="AF8" s="172" t="e">
        <f>IF(AND(AD8="Yes",T8=""),"Enter","OK")</f>
        <v>#N/A</v>
      </c>
      <c r="AG8" s="172" t="str">
        <f>IF(COUNTIF($H$8:$H$57,Data!KF3),Data!KG3,"")</f>
        <v/>
      </c>
      <c r="AH8" s="172" t="str">
        <f>IF(SUM(--ISNUMBER(SEARCH({"Bay","Corner"}, M8:M17))),"Yes","No")</f>
        <v>No</v>
      </c>
      <c r="AI8" s="172" t="b">
        <f>IF(W8=Data!$KK$2,Data!$KM$1,IF(W8=Data!$KK$3,Data!$KN$1,IF(W8=Data!$KK$4,Data!$KP$1,IF(W8=Data!$KK$5,Data!$KQ$1))))</f>
        <v>0</v>
      </c>
      <c r="AJ8" s="33" t="str">
        <f>IF(D8=Data!$W$10,Data!$QJ$1,Data!$QK$1)</f>
        <v>RollerControl</v>
      </c>
      <c r="AM8" s="33" t="b">
        <f>IF(S8=Data!$PX$2,Data!$PZ$1,IF(S8=Data!$PX$3,Data!$PY$1,IF(S8=Data!$PX$4,Data!$QA$1)))</f>
        <v>0</v>
      </c>
      <c r="AO8" s="33" t="b">
        <f>IF(S8=Data!$PX$3,Data!$QB$1,IF(S8=Data!$PX$2,Data!$QC$1,IF(S8=Data!$PX$4,Data!$QD$1)))</f>
        <v>0</v>
      </c>
      <c r="AQ8" s="33" t="str">
        <f>IF(D8=Data!$W$3,Data!$QF$1,IF(D8=Data!$W$4,Data!$QF$1,IF(D8=Data!$W$5,Data!$QF$1,IF(D8=Data!$W$6,Data!$QF$1,IF(D8=Data!$W$7,Data!$QF$1,IF(D8=Data!$W$8,Data!$QF$1,IF(D8=Data!$W$9,Data!$QF$1,IF(D8=Data!$W$10,Data!$QE$1,IF(D8=Data!$W$11,Data!$QF$1,IF(D8=Data!$W$12,Data!$QF$1,IF(D8=Data!$W$13,Data!$QF$1,IF(D8=Data!$W$14,Data!$QF$1,IF(D8=Data!$W$15,Data!$QF$1,IF(D8=Data!$W$16,Data!$QF$1))))))))))))))</f>
        <v>RollerBracketType2</v>
      </c>
      <c r="BA8" s="40" t="str">
        <f>IF(AND(F8&lt;2130, OR(G8&lt;2100)),Data!$KS$1,Data!$KT$1)</f>
        <v>Small_Tube</v>
      </c>
      <c r="BB8" s="172" t="e">
        <f>MATCH(W8,Data!$LA$1:$LD$1,0)</f>
        <v>#N/A</v>
      </c>
      <c r="BC8" s="172">
        <f>MATCH('Roller Blinds'!BA8,Data!$KZ$2:$KZ$3,0)</f>
        <v>1</v>
      </c>
      <c r="BD8" s="172" t="e">
        <f>INDEX(Data!$LA$2:$LD$3,'Roller Blinds'!BC8,'Roller Blinds'!BB8)</f>
        <v>#N/A</v>
      </c>
      <c r="BG8" s="172" t="b">
        <f>IF(O8=Data!$QK$2,Data!$QL$1,IF(O8=Data!$QK$3,Data!$QM$1,IF(O8=Data!$QK$4,Data!$QN$1,IF(O8=Data!$QK$5,Data!$QO$1,IF(O8=Data!$QK$6,Data!$QP$1,IF(O8=Data!$QK$7,Data!$QQ$1,IF(O8=Data!$QK$8,Data!$QR$1,IF(O8=Data!$QK$9,Data!$QS$1, IF(O8=Data!$QK$10,Data!$QV$1, IF(O8=Data!$QK$11,Data!$QW$1))))))))))</f>
        <v>0</v>
      </c>
      <c r="BH8" s="33" t="b">
        <f>IF(O8=Data!$QK$2,Data!$QL$17,IF(O8=Data!$QK$3,Data!$QM$17,IF(O8=Data!$QK$4,Data!$QN$17,IF(O8=Data!$QK$5,Data!$QO$17,IF(O8=Data!$QK$6,Data!$QP$17,IF(O8=Data!$QK$7,Data!$QQ$17,IF(O8=Data!$QK$8,Data!$QR$17,IF(O8=Data!$QK$9,Data!$QS$17,IF(O8=Data!$QK$10,Data!$QV$17,IF(O8=Data!$QK$11,Data!$QW$17))))))))))</f>
        <v>0</v>
      </c>
      <c r="BI8" s="33" t="e">
        <f>VLOOKUP(O8,Data!$PU$13:$PV$22,2,FALSE)</f>
        <v>#N/A</v>
      </c>
      <c r="BJ8" s="33" t="e">
        <f>MATCH('Roller Blinds'!D8,Data!$AAK$2:$AAK$15)</f>
        <v>#N/A</v>
      </c>
      <c r="BK8" s="33" t="e">
        <f>MATCH(L8,Data!$AAL$1:$AAM$1)</f>
        <v>#N/A</v>
      </c>
      <c r="BL8" s="33" t="e">
        <f>INDEX(Data!$AAL$2:$AAM$15,BJ8,BK8)</f>
        <v>#N/A</v>
      </c>
    </row>
    <row r="9" spans="1:64" ht="30" customHeight="1" thickTop="1" thickBot="1">
      <c r="A9" s="51">
        <v>2</v>
      </c>
      <c r="B9" s="13"/>
      <c r="C9" s="27"/>
      <c r="D9" s="13"/>
      <c r="E9" s="15"/>
      <c r="F9" s="10"/>
      <c r="G9" s="10"/>
      <c r="H9" s="14"/>
      <c r="I9" s="14"/>
      <c r="J9" s="563"/>
      <c r="K9" s="564"/>
      <c r="L9" s="15"/>
      <c r="M9" s="15"/>
      <c r="N9" s="15"/>
      <c r="O9" s="580"/>
      <c r="P9" s="581"/>
      <c r="Q9" s="13"/>
      <c r="R9" s="13"/>
      <c r="S9" s="13"/>
      <c r="T9" s="13"/>
      <c r="U9" s="13"/>
      <c r="V9" s="13"/>
      <c r="W9" s="13"/>
      <c r="X9" s="15"/>
      <c r="Y9" s="16"/>
      <c r="Z9" s="175"/>
      <c r="AA9" s="229"/>
      <c r="AB9" s="230"/>
      <c r="AC9" s="33" t="e">
        <f t="shared" ref="AC9:AC57" si="0">IF(AND(AD9="Yes",U9=""),"Enter","OK")</f>
        <v>#N/A</v>
      </c>
      <c r="AD9" s="33" t="e">
        <f>VLOOKUP(S9,Data!$QH$2:$QI$4,2,FALSE)</f>
        <v>#N/A</v>
      </c>
      <c r="AF9" s="172" t="e">
        <f t="shared" ref="AF9:AF57" si="1">IF(AND(AD9="Yes",T9=""),"Enter","OK")</f>
        <v>#N/A</v>
      </c>
      <c r="AG9" s="172" t="str">
        <f>IF(COUNTIF($H$8:$H$57,Data!KF4),Data!KG4,"")</f>
        <v/>
      </c>
      <c r="AI9" s="172" t="b">
        <f>IF(W9=Data!$KK$2,Data!$KM$1,IF(W9=Data!$KK$3,Data!$KN$1,IF(W9=Data!$KK$4,Data!$KP$1,IF(W9=Data!$KK$5,Data!$KQ$1))))</f>
        <v>0</v>
      </c>
      <c r="AJ9" s="33" t="str">
        <f>IF(D9=Data!$W$10,Data!$QJ$1,Data!$QK$1)</f>
        <v>RollerControl</v>
      </c>
      <c r="AM9" s="33" t="b">
        <f>IF(S9=Data!$PX$2,Data!$PZ$1,IF(S9=Data!$PX$3,Data!$PY$1,IF(S9=Data!$PX$4,Data!$QA$1)))</f>
        <v>0</v>
      </c>
      <c r="AO9" s="33" t="b">
        <f>IF(S9=Data!$PX$3,Data!$QB$1,IF(S9=Data!$PX$2,Data!$QC$1,IF(S9=Data!$PX$4,Data!$QD$1)))</f>
        <v>0</v>
      </c>
      <c r="AQ9" s="33" t="str">
        <f>IF(D9=Data!$W$3,Data!$QF$1,IF(D9=Data!$W$4,Data!$QF$1,IF(D9=Data!$W$5,Data!$QF$1,IF(D9=Data!$W$6,Data!$QF$1,IF(D9=Data!$W$7,Data!$QF$1,IF(D9=Data!$W$8,Data!$QF$1,IF(D9=Data!$W$9,Data!$QF$1,IF(D9=Data!$W$10,Data!$QE$1,IF(D9=Data!$W$11,Data!$QF$1,IF(D9=Data!$W$12,Data!$QF$1,IF(D9=Data!$W$13,Data!$QF$1,IF(D9=Data!$W$14,Data!$QF$1,IF(D9=Data!$W$15,Data!$QF$1,IF(D9=Data!$W$16,Data!$QF$1))))))))))))))</f>
        <v>RollerBracketType2</v>
      </c>
      <c r="BA9" s="40" t="str">
        <f>IF(AND(F9&lt;2130, OR(G9&lt;2100)),Data!$KS$1,Data!$KT$1)</f>
        <v>Small_Tube</v>
      </c>
      <c r="BB9" s="172" t="e">
        <f>MATCH(W9,Data!$LA$1:$LD$1,0)</f>
        <v>#N/A</v>
      </c>
      <c r="BC9" s="172">
        <f>MATCH('Roller Blinds'!BA9,Data!$KZ$2:$KZ$3,0)</f>
        <v>1</v>
      </c>
      <c r="BD9" s="172" t="e">
        <f>INDEX(Data!$LA$2:$LD$3,'Roller Blinds'!BC9,'Roller Blinds'!BB9)</f>
        <v>#N/A</v>
      </c>
      <c r="BG9" s="172" t="b">
        <f>IF(O9=Data!$QK$2,Data!$QL$1,IF(O9=Data!$QK$3,Data!$QM$1,IF(O9=Data!$QK$4,Data!$QN$1,IF(O9=Data!$QK$5,Data!$QO$1,IF(O9=Data!$QK$6,Data!$QP$1,IF(O9=Data!$QK$7,Data!$QQ$1,IF(O9=Data!$QK$8,Data!$QR$1,IF(O9=Data!$QK$9,Data!$QS$1, IF(O9=Data!$QK$10,Data!$QV$1, IF(O9=Data!$QK$11,Data!$QW$1))))))))))</f>
        <v>0</v>
      </c>
      <c r="BH9" s="33" t="b">
        <f>IF(O9=Data!$QK$2,Data!$QL$17,IF(O9=Data!$QK$3,Data!$QM$17,IF(O9=Data!$QK$4,Data!$QN$17,IF(O9=Data!$QK$5,Data!$QO$17,IF(O9=Data!$QK$6,Data!$QP$17,IF(O9=Data!$QK$7,Data!$QQ$17,IF(O9=Data!$QK$8,Data!$QR$17,IF(O9=Data!$QK$9,Data!$QS$17,IF(O9=Data!$QK$10,Data!$QV$17,IF(O9=Data!$QK$11,Data!$QW$17))))))))))</f>
        <v>0</v>
      </c>
      <c r="BI9" s="33" t="e">
        <f>VLOOKUP(O9,Data!$PU$13:$PV$22,2,FALSE)</f>
        <v>#N/A</v>
      </c>
      <c r="BJ9" s="33" t="e">
        <f>MATCH('Roller Blinds'!D9,Data!$AAK$2:$AAK$15)</f>
        <v>#N/A</v>
      </c>
      <c r="BK9" s="33" t="e">
        <f>MATCH(L9,Data!$AAL$1:$AAM$1)</f>
        <v>#N/A</v>
      </c>
      <c r="BL9" s="33" t="e">
        <f>INDEX(Data!$AAL$2:$AAM$15,BJ9,BK9)</f>
        <v>#N/A</v>
      </c>
    </row>
    <row r="10" spans="1:64" ht="30" customHeight="1" thickTop="1" thickBot="1">
      <c r="A10" s="52">
        <v>3</v>
      </c>
      <c r="B10" s="17"/>
      <c r="C10" s="17"/>
      <c r="D10" s="13"/>
      <c r="E10" s="15"/>
      <c r="F10" s="10"/>
      <c r="G10" s="10"/>
      <c r="H10" s="14"/>
      <c r="I10" s="14"/>
      <c r="J10" s="563"/>
      <c r="K10" s="564"/>
      <c r="L10" s="15"/>
      <c r="M10" s="15"/>
      <c r="N10" s="15"/>
      <c r="O10" s="580"/>
      <c r="P10" s="581"/>
      <c r="Q10" s="13"/>
      <c r="R10" s="13"/>
      <c r="S10" s="13"/>
      <c r="T10" s="13"/>
      <c r="U10" s="13"/>
      <c r="V10" s="13"/>
      <c r="W10" s="13"/>
      <c r="X10" s="15"/>
      <c r="Y10" s="16"/>
      <c r="Z10" s="175"/>
      <c r="AA10" s="229"/>
      <c r="AB10" s="230"/>
      <c r="AC10" s="33" t="e">
        <f t="shared" si="0"/>
        <v>#N/A</v>
      </c>
      <c r="AD10" s="33" t="e">
        <f>VLOOKUP(S10,Data!$QH$2:$QI$4,2,FALSE)</f>
        <v>#N/A</v>
      </c>
      <c r="AF10" s="172" t="e">
        <f t="shared" si="1"/>
        <v>#N/A</v>
      </c>
      <c r="AG10" s="172" t="str">
        <f>IF(COUNTIF($H$8:$H$57,Data!KF5),Data!KG5,"")</f>
        <v/>
      </c>
      <c r="AI10" s="172" t="b">
        <f>IF(W10=Data!$KK$2,Data!$KM$1,IF(W10=Data!$KK$3,Data!$KN$1,IF(W10=Data!$KK$4,Data!$KP$1,IF(W10=Data!$KK$5,Data!$KQ$1))))</f>
        <v>0</v>
      </c>
      <c r="AJ10" s="33" t="str">
        <f>IF(D10=Data!$W$10,Data!$QJ$1,Data!$QK$1)</f>
        <v>RollerControl</v>
      </c>
      <c r="AM10" s="33" t="b">
        <f>IF(S10=Data!$PX$2,Data!$PZ$1,IF(S10=Data!$PX$3,Data!$PY$1,IF(S10=Data!$PX$4,Data!$QA$1)))</f>
        <v>0</v>
      </c>
      <c r="AO10" s="33" t="b">
        <f>IF(S10=Data!$PX$3,Data!$QB$1,IF(S10=Data!$PX$2,Data!$QC$1,IF(S10=Data!$PX$4,Data!$QD$1)))</f>
        <v>0</v>
      </c>
      <c r="AQ10" s="33" t="str">
        <f>IF(D10=Data!$W$3,Data!$QF$1,IF(D10=Data!$W$4,Data!$QF$1,IF(D10=Data!$W$5,Data!$QF$1,IF(D10=Data!$W$6,Data!$QF$1,IF(D10=Data!$W$7,Data!$QF$1,IF(D10=Data!$W$8,Data!$QF$1,IF(D10=Data!$W$9,Data!$QF$1,IF(D10=Data!$W$10,Data!$QE$1,IF(D10=Data!$W$11,Data!$QF$1,IF(D10=Data!$W$12,Data!$QF$1,IF(D10=Data!$W$13,Data!$QF$1,IF(D10=Data!$W$14,Data!$QF$1,IF(D10=Data!$W$15,Data!$QF$1,IF(D10=Data!$W$16,Data!$QF$1))))))))))))))</f>
        <v>RollerBracketType2</v>
      </c>
      <c r="BA10" s="40" t="str">
        <f>IF(AND(F10&lt;2130, OR(G10&lt;2100)),Data!$KS$1,Data!$KT$1)</f>
        <v>Small_Tube</v>
      </c>
      <c r="BB10" s="172" t="e">
        <f>MATCH(W10,Data!$LA$1:$LD$1,0)</f>
        <v>#N/A</v>
      </c>
      <c r="BC10" s="172">
        <f>MATCH('Roller Blinds'!BA10,Data!$KZ$2:$KZ$3,0)</f>
        <v>1</v>
      </c>
      <c r="BD10" s="172" t="e">
        <f>INDEX(Data!$LA$2:$LD$3,'Roller Blinds'!BC10,'Roller Blinds'!BB10)</f>
        <v>#N/A</v>
      </c>
      <c r="BG10" s="172" t="b">
        <f>IF(O10=Data!$QK$2,Data!$QL$1,IF(O10=Data!$QK$3,Data!$QM$1,IF(O10=Data!$QK$4,Data!$QN$1,IF(O10=Data!$QK$5,Data!$QO$1,IF(O10=Data!$QK$6,Data!$QP$1,IF(O10=Data!$QK$7,Data!$QQ$1,IF(O10=Data!$QK$8,Data!$QR$1,IF(O10=Data!$QK$9,Data!$QS$1, IF(O10=Data!$QK$10,Data!$QV$1, IF(O10=Data!$QK$11,Data!$QW$1))))))))))</f>
        <v>0</v>
      </c>
      <c r="BH10" s="33" t="b">
        <f>IF(O10=Data!$QK$2,Data!$QL$17,IF(O10=Data!$QK$3,Data!$QM$17,IF(O10=Data!$QK$4,Data!$QN$17,IF(O10=Data!$QK$5,Data!$QO$17,IF(O10=Data!$QK$6,Data!$QP$17,IF(O10=Data!$QK$7,Data!$QQ$17,IF(O10=Data!$QK$8,Data!$QR$17,IF(O10=Data!$QK$9,Data!$QS$17,IF(O10=Data!$QK$10,Data!$QV$17,IF(O10=Data!$QK$11,Data!$QW$17))))))))))</f>
        <v>0</v>
      </c>
      <c r="BI10" s="33" t="e">
        <f>VLOOKUP(O10,Data!$PU$13:$PV$22,2,FALSE)</f>
        <v>#N/A</v>
      </c>
      <c r="BJ10" s="33" t="e">
        <f>MATCH('Roller Blinds'!D10,Data!$AAK$2:$AAK$15)</f>
        <v>#N/A</v>
      </c>
      <c r="BK10" s="33" t="e">
        <f>MATCH(L10,Data!$AAL$1:$AAM$1)</f>
        <v>#N/A</v>
      </c>
      <c r="BL10" s="33" t="e">
        <f>INDEX(Data!$AAL$2:$AAM$15,BJ10,BK10)</f>
        <v>#N/A</v>
      </c>
    </row>
    <row r="11" spans="1:64" ht="30" customHeight="1" thickTop="1" thickBot="1">
      <c r="A11" s="52">
        <v>4</v>
      </c>
      <c r="B11" s="17"/>
      <c r="C11" s="17"/>
      <c r="D11" s="13"/>
      <c r="E11" s="15"/>
      <c r="F11" s="10"/>
      <c r="G11" s="10"/>
      <c r="H11" s="14"/>
      <c r="I11" s="14"/>
      <c r="J11" s="563"/>
      <c r="K11" s="564"/>
      <c r="L11" s="15"/>
      <c r="M11" s="15"/>
      <c r="N11" s="15"/>
      <c r="O11" s="580"/>
      <c r="P11" s="581"/>
      <c r="Q11" s="13"/>
      <c r="R11" s="13"/>
      <c r="S11" s="13"/>
      <c r="T11" s="13"/>
      <c r="U11" s="13"/>
      <c r="V11" s="13"/>
      <c r="W11" s="13"/>
      <c r="X11" s="15"/>
      <c r="Y11" s="16"/>
      <c r="Z11" s="175"/>
      <c r="AA11" s="229"/>
      <c r="AB11" s="230"/>
      <c r="AC11" s="33" t="e">
        <f t="shared" si="0"/>
        <v>#N/A</v>
      </c>
      <c r="AD11" s="33" t="e">
        <f>VLOOKUP(S11,Data!$QH$2:$QI$4,2,FALSE)</f>
        <v>#N/A</v>
      </c>
      <c r="AF11" s="172" t="e">
        <f t="shared" si="1"/>
        <v>#N/A</v>
      </c>
      <c r="AG11" s="172" t="str">
        <f>IF(COUNTIF($H$8:$H$57,Data!KF6),Data!KG6,"")</f>
        <v/>
      </c>
      <c r="AI11" s="172" t="b">
        <f>IF(W11=Data!$KK$2,Data!$KM$1,IF(W11=Data!$KK$3,Data!$KN$1,IF(W11=Data!$KK$4,Data!$KP$1,IF(W11=Data!$KK$5,Data!$KQ$1))))</f>
        <v>0</v>
      </c>
      <c r="AJ11" s="33" t="str">
        <f>IF(D11=Data!$W$10,Data!$QJ$1,Data!$QK$1)</f>
        <v>RollerControl</v>
      </c>
      <c r="AM11" s="33" t="b">
        <f>IF(S11=Data!$PX$2,Data!$PZ$1,IF(S11=Data!$PX$3,Data!$PY$1,IF(S11=Data!$PX$4,Data!$QA$1)))</f>
        <v>0</v>
      </c>
      <c r="AO11" s="33" t="b">
        <f>IF(S11=Data!$PX$3,Data!$QB$1,IF(S11=Data!$PX$2,Data!$QC$1,IF(S11=Data!$PX$4,Data!$QD$1)))</f>
        <v>0</v>
      </c>
      <c r="AQ11" s="33" t="str">
        <f>IF(D11=Data!$W$3,Data!$QF$1,IF(D11=Data!$W$4,Data!$QF$1,IF(D11=Data!$W$5,Data!$QF$1,IF(D11=Data!$W$6,Data!$QF$1,IF(D11=Data!$W$7,Data!$QF$1,IF(D11=Data!$W$8,Data!$QF$1,IF(D11=Data!$W$9,Data!$QF$1,IF(D11=Data!$W$10,Data!$QE$1,IF(D11=Data!$W$11,Data!$QF$1,IF(D11=Data!$W$12,Data!$QF$1,IF(D11=Data!$W$13,Data!$QF$1,IF(D11=Data!$W$14,Data!$QF$1,IF(D11=Data!$W$15,Data!$QF$1,IF(D11=Data!$W$16,Data!$QF$1))))))))))))))</f>
        <v>RollerBracketType2</v>
      </c>
      <c r="BA11" s="40" t="str">
        <f>IF(AND(F11&lt;2130, OR(G11&lt;2100)),Data!$KS$1,Data!$KT$1)</f>
        <v>Small_Tube</v>
      </c>
      <c r="BB11" s="172" t="e">
        <f>MATCH(W11,Data!$LA$1:$LD$1,0)</f>
        <v>#N/A</v>
      </c>
      <c r="BC11" s="172">
        <f>MATCH('Roller Blinds'!BA11,Data!$KZ$2:$KZ$3,0)</f>
        <v>1</v>
      </c>
      <c r="BD11" s="172" t="e">
        <f>INDEX(Data!$LA$2:$LD$3,'Roller Blinds'!BC11,'Roller Blinds'!BB11)</f>
        <v>#N/A</v>
      </c>
      <c r="BG11" s="172" t="b">
        <f>IF(O11=Data!$QK$2,Data!$QL$1,IF(O11=Data!$QK$3,Data!$QM$1,IF(O11=Data!$QK$4,Data!$QN$1,IF(O11=Data!$QK$5,Data!$QO$1,IF(O11=Data!$QK$6,Data!$QP$1,IF(O11=Data!$QK$7,Data!$QQ$1,IF(O11=Data!$QK$8,Data!$QR$1,IF(O11=Data!$QK$9,Data!$QS$1, IF(O11=Data!$QK$10,Data!$QV$1, IF(O11=Data!$QK$11,Data!$QW$1))))))))))</f>
        <v>0</v>
      </c>
      <c r="BH11" s="33" t="b">
        <f>IF(O11=Data!$QK$2,Data!$QL$17,IF(O11=Data!$QK$3,Data!$QM$17,IF(O11=Data!$QK$4,Data!$QN$17,IF(O11=Data!$QK$5,Data!$QO$17,IF(O11=Data!$QK$6,Data!$QP$17,IF(O11=Data!$QK$7,Data!$QQ$17,IF(O11=Data!$QK$8,Data!$QR$17,IF(O11=Data!$QK$9,Data!$QS$17,IF(O11=Data!$QK$10,Data!$QV$17,IF(O11=Data!$QK$11,Data!$QW$17))))))))))</f>
        <v>0</v>
      </c>
      <c r="BI11" s="33" t="e">
        <f>VLOOKUP(O11,Data!$PU$13:$PV$22,2,FALSE)</f>
        <v>#N/A</v>
      </c>
      <c r="BJ11" s="33" t="e">
        <f>MATCH('Roller Blinds'!D11,Data!$AAK$2:$AAK$15)</f>
        <v>#N/A</v>
      </c>
      <c r="BK11" s="33" t="e">
        <f>MATCH(L11,Data!$AAL$1:$AAM$1)</f>
        <v>#N/A</v>
      </c>
      <c r="BL11" s="33" t="e">
        <f>INDEX(Data!$AAL$2:$AAM$15,BJ11,BK11)</f>
        <v>#N/A</v>
      </c>
    </row>
    <row r="12" spans="1:64" ht="30" customHeight="1" thickTop="1" thickBot="1">
      <c r="A12" s="52">
        <v>5</v>
      </c>
      <c r="B12" s="17"/>
      <c r="C12" s="17"/>
      <c r="D12" s="13"/>
      <c r="E12" s="15"/>
      <c r="F12" s="10"/>
      <c r="G12" s="10"/>
      <c r="H12" s="14"/>
      <c r="I12" s="14"/>
      <c r="J12" s="563"/>
      <c r="K12" s="564"/>
      <c r="L12" s="15"/>
      <c r="M12" s="15"/>
      <c r="N12" s="15"/>
      <c r="O12" s="580"/>
      <c r="P12" s="581"/>
      <c r="Q12" s="13"/>
      <c r="R12" s="13"/>
      <c r="S12" s="13"/>
      <c r="T12" s="13"/>
      <c r="U12" s="13"/>
      <c r="V12" s="13"/>
      <c r="W12" s="13"/>
      <c r="X12" s="15"/>
      <c r="Y12" s="16"/>
      <c r="Z12" s="175"/>
      <c r="AA12" s="229"/>
      <c r="AB12" s="230"/>
      <c r="AC12" s="33" t="e">
        <f t="shared" si="0"/>
        <v>#N/A</v>
      </c>
      <c r="AD12" s="33" t="e">
        <f>VLOOKUP(S12,Data!$QH$2:$QI$4,2,FALSE)</f>
        <v>#N/A</v>
      </c>
      <c r="AF12" s="172" t="e">
        <f t="shared" si="1"/>
        <v>#N/A</v>
      </c>
      <c r="AG12" s="172" t="str">
        <f>IF(COUNTIF($H$8:$H$57,Data!KF7),Data!KG7,"")</f>
        <v/>
      </c>
      <c r="AI12" s="172" t="b">
        <f>IF(W12=Data!$KK$2,Data!$KM$1,IF(W12=Data!$KK$3,Data!$KN$1,IF(W12=Data!$KK$4,Data!$KP$1,IF(W12=Data!$KK$5,Data!$KQ$1))))</f>
        <v>0</v>
      </c>
      <c r="AJ12" s="33" t="str">
        <f>IF(D12=Data!$W$10,Data!$QJ$1,Data!$QK$1)</f>
        <v>RollerControl</v>
      </c>
      <c r="AM12" s="33" t="b">
        <f>IF(S12=Data!$PX$2,Data!$PZ$1,IF(S12=Data!$PX$3,Data!$PY$1,IF(S12=Data!$PX$4,Data!$QA$1)))</f>
        <v>0</v>
      </c>
      <c r="AO12" s="33" t="b">
        <f>IF(S12=Data!$PX$3,Data!$QB$1,IF(S12=Data!$PX$2,Data!$QC$1,IF(S12=Data!$PX$4,Data!$QD$1)))</f>
        <v>0</v>
      </c>
      <c r="AQ12" s="33" t="str">
        <f>IF(D12=Data!$W$3,Data!$QF$1,IF(D12=Data!$W$4,Data!$QF$1,IF(D12=Data!$W$5,Data!$QF$1,IF(D12=Data!$W$6,Data!$QF$1,IF(D12=Data!$W$7,Data!$QF$1,IF(D12=Data!$W$8,Data!$QF$1,IF(D12=Data!$W$9,Data!$QF$1,IF(D12=Data!$W$10,Data!$QE$1,IF(D12=Data!$W$11,Data!$QF$1,IF(D12=Data!$W$12,Data!$QF$1,IF(D12=Data!$W$13,Data!$QF$1,IF(D12=Data!$W$14,Data!$QF$1,IF(D12=Data!$W$15,Data!$QF$1,IF(D12=Data!$W$16,Data!$QF$1))))))))))))))</f>
        <v>RollerBracketType2</v>
      </c>
      <c r="BA12" s="40" t="str">
        <f>IF(AND(F12&lt;2130, OR(G12&lt;2100)),Data!$KS$1,Data!$KT$1)</f>
        <v>Small_Tube</v>
      </c>
      <c r="BB12" s="172" t="e">
        <f>MATCH(W12,Data!$LA$1:$LD$1,0)</f>
        <v>#N/A</v>
      </c>
      <c r="BC12" s="172">
        <f>MATCH('Roller Blinds'!BA12,Data!$KZ$2:$KZ$3,0)</f>
        <v>1</v>
      </c>
      <c r="BD12" s="172" t="e">
        <f>INDEX(Data!$LA$2:$LD$3,'Roller Blinds'!BC12,'Roller Blinds'!BB12)</f>
        <v>#N/A</v>
      </c>
      <c r="BG12" s="172" t="b">
        <f>IF(O12=Data!$QK$2,Data!$QL$1,IF(O12=Data!$QK$3,Data!$QM$1,IF(O12=Data!$QK$4,Data!$QN$1,IF(O12=Data!$QK$5,Data!$QO$1,IF(O12=Data!$QK$6,Data!$QP$1,IF(O12=Data!$QK$7,Data!$QQ$1,IF(O12=Data!$QK$8,Data!$QR$1,IF(O12=Data!$QK$9,Data!$QS$1, IF(O12=Data!$QK$10,Data!$QV$1, IF(O12=Data!$QK$11,Data!$QW$1))))))))))</f>
        <v>0</v>
      </c>
      <c r="BH12" s="33" t="b">
        <f>IF(O12=Data!$QK$2,Data!$QL$17,IF(O12=Data!$QK$3,Data!$QM$17,IF(O12=Data!$QK$4,Data!$QN$17,IF(O12=Data!$QK$5,Data!$QO$17,IF(O12=Data!$QK$6,Data!$QP$17,IF(O12=Data!$QK$7,Data!$QQ$17,IF(O12=Data!$QK$8,Data!$QR$17,IF(O12=Data!$QK$9,Data!$QS$17,IF(O12=Data!$QK$10,Data!$QV$17,IF(O12=Data!$QK$11,Data!$QW$17))))))))))</f>
        <v>0</v>
      </c>
      <c r="BI12" s="33" t="e">
        <f>VLOOKUP(O12,Data!$PU$13:$PV$22,2,FALSE)</f>
        <v>#N/A</v>
      </c>
      <c r="BJ12" s="33" t="e">
        <f>MATCH('Roller Blinds'!D12,Data!$AAK$2:$AAK$15)</f>
        <v>#N/A</v>
      </c>
      <c r="BK12" s="33" t="e">
        <f>MATCH(L12,Data!$AAL$1:$AAM$1)</f>
        <v>#N/A</v>
      </c>
      <c r="BL12" s="33" t="e">
        <f>INDEX(Data!$AAL$2:$AAM$15,BJ12,BK12)</f>
        <v>#N/A</v>
      </c>
    </row>
    <row r="13" spans="1:64" ht="30" customHeight="1" thickTop="1" thickBot="1">
      <c r="A13" s="52">
        <v>6</v>
      </c>
      <c r="B13" s="17"/>
      <c r="C13" s="17"/>
      <c r="D13" s="13"/>
      <c r="E13" s="15"/>
      <c r="F13" s="10"/>
      <c r="G13" s="10"/>
      <c r="H13" s="14"/>
      <c r="I13" s="14"/>
      <c r="J13" s="563"/>
      <c r="K13" s="564"/>
      <c r="L13" s="15"/>
      <c r="M13" s="15"/>
      <c r="N13" s="15"/>
      <c r="O13" s="580"/>
      <c r="P13" s="581"/>
      <c r="Q13" s="13"/>
      <c r="R13" s="13"/>
      <c r="S13" s="13"/>
      <c r="T13" s="13"/>
      <c r="U13" s="13"/>
      <c r="V13" s="13"/>
      <c r="W13" s="13"/>
      <c r="X13" s="15"/>
      <c r="Y13" s="16"/>
      <c r="Z13" s="175"/>
      <c r="AA13" s="229"/>
      <c r="AB13" s="230"/>
      <c r="AC13" s="33" t="e">
        <f t="shared" si="0"/>
        <v>#N/A</v>
      </c>
      <c r="AD13" s="33" t="e">
        <f>VLOOKUP(S13,Data!$QH$2:$QI$4,2,FALSE)</f>
        <v>#N/A</v>
      </c>
      <c r="AF13" s="172" t="e">
        <f t="shared" si="1"/>
        <v>#N/A</v>
      </c>
      <c r="AG13" s="172" t="str">
        <f>IF(COUNTIF($H$8:$H$57,Data!KF8),Data!KG8,"")</f>
        <v/>
      </c>
      <c r="AI13" s="172" t="b">
        <f>IF(W13=Data!$KK$2,Data!$KM$1,IF(W13=Data!$KK$3,Data!$KN$1,IF(W13=Data!$KK$4,Data!$KP$1,IF(W13=Data!$KK$5,Data!$KQ$1))))</f>
        <v>0</v>
      </c>
      <c r="AJ13" s="33" t="str">
        <f>IF(D13=Data!$W$10,Data!$QJ$1,Data!$QK$1)</f>
        <v>RollerControl</v>
      </c>
      <c r="AM13" s="33" t="b">
        <f>IF(S13=Data!$PX$2,Data!$PZ$1,IF(S13=Data!$PX$3,Data!$PY$1,IF(S13=Data!$PX$4,Data!$QA$1)))</f>
        <v>0</v>
      </c>
      <c r="AO13" s="33" t="b">
        <f>IF(S13=Data!$PX$3,Data!$QB$1,IF(S13=Data!$PX$2,Data!$QC$1,IF(S13=Data!$PX$4,Data!$QD$1)))</f>
        <v>0</v>
      </c>
      <c r="AQ13" s="33" t="str">
        <f>IF(D13=Data!$W$3,Data!$QF$1,IF(D13=Data!$W$4,Data!$QF$1,IF(D13=Data!$W$5,Data!$QF$1,IF(D13=Data!$W$6,Data!$QF$1,IF(D13=Data!$W$7,Data!$QF$1,IF(D13=Data!$W$8,Data!$QF$1,IF(D13=Data!$W$9,Data!$QF$1,IF(D13=Data!$W$10,Data!$QE$1,IF(D13=Data!$W$11,Data!$QF$1,IF(D13=Data!$W$12,Data!$QF$1,IF(D13=Data!$W$13,Data!$QF$1,IF(D13=Data!$W$14,Data!$QF$1,IF(D13=Data!$W$15,Data!$QF$1,IF(D13=Data!$W$16,Data!$QF$1))))))))))))))</f>
        <v>RollerBracketType2</v>
      </c>
      <c r="BA13" s="40" t="str">
        <f>IF(AND(F13&lt;2130, OR(G13&lt;2100)),Data!$KS$1,Data!$KT$1)</f>
        <v>Small_Tube</v>
      </c>
      <c r="BB13" s="172" t="e">
        <f>MATCH(W13,Data!$LA$1:$LD$1,0)</f>
        <v>#N/A</v>
      </c>
      <c r="BC13" s="172">
        <f>MATCH('Roller Blinds'!BA13,Data!$KZ$2:$KZ$3,0)</f>
        <v>1</v>
      </c>
      <c r="BD13" s="172" t="e">
        <f>INDEX(Data!$LA$2:$LD$3,'Roller Blinds'!BC13,'Roller Blinds'!BB13)</f>
        <v>#N/A</v>
      </c>
      <c r="BG13" s="172" t="b">
        <f>IF(O13=Data!$QK$2,Data!$QL$1,IF(O13=Data!$QK$3,Data!$QM$1,IF(O13=Data!$QK$4,Data!$QN$1,IF(O13=Data!$QK$5,Data!$QO$1,IF(O13=Data!$QK$6,Data!$QP$1,IF(O13=Data!$QK$7,Data!$QQ$1,IF(O13=Data!$QK$8,Data!$QR$1,IF(O13=Data!$QK$9,Data!$QS$1, IF(O13=Data!$QK$10,Data!$QV$1, IF(O13=Data!$QK$11,Data!$QW$1))))))))))</f>
        <v>0</v>
      </c>
      <c r="BH13" s="33" t="b">
        <f>IF(O13=Data!$QK$2,Data!$QL$17,IF(O13=Data!$QK$3,Data!$QM$17,IF(O13=Data!$QK$4,Data!$QN$17,IF(O13=Data!$QK$5,Data!$QO$17,IF(O13=Data!$QK$6,Data!$QP$17,IF(O13=Data!$QK$7,Data!$QQ$17,IF(O13=Data!$QK$8,Data!$QR$17,IF(O13=Data!$QK$9,Data!$QS$17,IF(O13=Data!$QK$10,Data!$QV$17,IF(O13=Data!$QK$11,Data!$QW$17))))))))))</f>
        <v>0</v>
      </c>
      <c r="BI13" s="33" t="e">
        <f>VLOOKUP(O13,Data!$PU$13:$PV$22,2,FALSE)</f>
        <v>#N/A</v>
      </c>
      <c r="BJ13" s="33" t="e">
        <f>MATCH('Roller Blinds'!D13,Data!$AAK$2:$AAK$15)</f>
        <v>#N/A</v>
      </c>
      <c r="BK13" s="33" t="e">
        <f>MATCH(L13,Data!$AAL$1:$AAM$1)</f>
        <v>#N/A</v>
      </c>
      <c r="BL13" s="33" t="e">
        <f>INDEX(Data!$AAL$2:$AAM$15,BJ13,BK13)</f>
        <v>#N/A</v>
      </c>
    </row>
    <row r="14" spans="1:64" ht="30" customHeight="1" thickTop="1" thickBot="1">
      <c r="A14" s="52">
        <v>7</v>
      </c>
      <c r="B14" s="17"/>
      <c r="C14" s="17"/>
      <c r="D14" s="13"/>
      <c r="E14" s="15"/>
      <c r="F14" s="10"/>
      <c r="G14" s="10"/>
      <c r="H14" s="14"/>
      <c r="I14" s="14"/>
      <c r="J14" s="563"/>
      <c r="K14" s="564"/>
      <c r="L14" s="15"/>
      <c r="M14" s="15"/>
      <c r="N14" s="15"/>
      <c r="O14" s="580"/>
      <c r="P14" s="581"/>
      <c r="Q14" s="13"/>
      <c r="R14" s="13"/>
      <c r="S14" s="13"/>
      <c r="T14" s="13"/>
      <c r="U14" s="13"/>
      <c r="V14" s="13"/>
      <c r="W14" s="13"/>
      <c r="X14" s="15"/>
      <c r="Y14" s="16"/>
      <c r="Z14" s="175"/>
      <c r="AA14" s="229"/>
      <c r="AB14" s="230"/>
      <c r="AC14" s="33" t="e">
        <f t="shared" si="0"/>
        <v>#N/A</v>
      </c>
      <c r="AD14" s="33" t="e">
        <f>VLOOKUP(S14,Data!$QH$2:$QI$4,2,FALSE)</f>
        <v>#N/A</v>
      </c>
      <c r="AF14" s="172" t="e">
        <f t="shared" si="1"/>
        <v>#N/A</v>
      </c>
      <c r="AG14" s="172" t="str">
        <f>IF(COUNTIF($H$8:$H$57,Data!KF9),Data!KG9,"")</f>
        <v/>
      </c>
      <c r="AI14" s="172" t="b">
        <f>IF(W14=Data!$KK$2,Data!$KM$1,IF(W14=Data!$KK$3,Data!$KN$1,IF(W14=Data!$KK$4,Data!$KP$1,IF(W14=Data!$KK$5,Data!$KQ$1))))</f>
        <v>0</v>
      </c>
      <c r="AJ14" s="33" t="str">
        <f>IF(D14=Data!$W$10,Data!$QJ$1,Data!$QK$1)</f>
        <v>RollerControl</v>
      </c>
      <c r="AM14" s="33" t="b">
        <f>IF(S14=Data!$PX$2,Data!$PZ$1,IF(S14=Data!$PX$3,Data!$PY$1,IF(S14=Data!$PX$4,Data!$QA$1)))</f>
        <v>0</v>
      </c>
      <c r="AO14" s="33" t="b">
        <f>IF(S14=Data!$PX$3,Data!$QB$1,IF(S14=Data!$PX$2,Data!$QC$1,IF(S14=Data!$PX$4,Data!$QD$1)))</f>
        <v>0</v>
      </c>
      <c r="AQ14" s="33" t="str">
        <f>IF(D14=Data!$W$3,Data!$QF$1,IF(D14=Data!$W$4,Data!$QF$1,IF(D14=Data!$W$5,Data!$QF$1,IF(D14=Data!$W$6,Data!$QF$1,IF(D14=Data!$W$7,Data!$QF$1,IF(D14=Data!$W$8,Data!$QF$1,IF(D14=Data!$W$9,Data!$QF$1,IF(D14=Data!$W$10,Data!$QE$1,IF(D14=Data!$W$11,Data!$QF$1,IF(D14=Data!$W$12,Data!$QF$1,IF(D14=Data!$W$13,Data!$QF$1,IF(D14=Data!$W$14,Data!$QF$1,IF(D14=Data!$W$15,Data!$QF$1,IF(D14=Data!$W$16,Data!$QF$1))))))))))))))</f>
        <v>RollerBracketType2</v>
      </c>
      <c r="BA14" s="40" t="str">
        <f>IF(AND(F14&lt;2130, OR(G14&lt;2100)),Data!$KS$1,Data!$KT$1)</f>
        <v>Small_Tube</v>
      </c>
      <c r="BB14" s="172" t="e">
        <f>MATCH(W14,Data!$LA$1:$LD$1,0)</f>
        <v>#N/A</v>
      </c>
      <c r="BC14" s="172">
        <f>MATCH('Roller Blinds'!BA14,Data!$KZ$2:$KZ$3,0)</f>
        <v>1</v>
      </c>
      <c r="BD14" s="172" t="e">
        <f>INDEX(Data!$LA$2:$LD$3,'Roller Blinds'!BC14,'Roller Blinds'!BB14)</f>
        <v>#N/A</v>
      </c>
      <c r="BG14" s="172" t="b">
        <f>IF(O14=Data!$QK$2,Data!$QL$1,IF(O14=Data!$QK$3,Data!$QM$1,IF(O14=Data!$QK$4,Data!$QN$1,IF(O14=Data!$QK$5,Data!$QO$1,IF(O14=Data!$QK$6,Data!$QP$1,IF(O14=Data!$QK$7,Data!$QQ$1,IF(O14=Data!$QK$8,Data!$QR$1,IF(O14=Data!$QK$9,Data!$QS$1, IF(O14=Data!$QK$10,Data!$QV$1, IF(O14=Data!$QK$11,Data!$QW$1))))))))))</f>
        <v>0</v>
      </c>
      <c r="BH14" s="33" t="b">
        <f>IF(O14=Data!$QK$2,Data!$QL$17,IF(O14=Data!$QK$3,Data!$QM$17,IF(O14=Data!$QK$4,Data!$QN$17,IF(O14=Data!$QK$5,Data!$QO$17,IF(O14=Data!$QK$6,Data!$QP$17,IF(O14=Data!$QK$7,Data!$QQ$17,IF(O14=Data!$QK$8,Data!$QR$17,IF(O14=Data!$QK$9,Data!$QS$17,IF(O14=Data!$QK$10,Data!$QV$17,IF(O14=Data!$QK$11,Data!$QW$17))))))))))</f>
        <v>0</v>
      </c>
      <c r="BI14" s="33" t="e">
        <f>VLOOKUP(O14,Data!$PU$13:$PV$22,2,FALSE)</f>
        <v>#N/A</v>
      </c>
      <c r="BJ14" s="33" t="e">
        <f>MATCH('Roller Blinds'!D14,Data!$AAK$2:$AAK$15)</f>
        <v>#N/A</v>
      </c>
      <c r="BK14" s="33" t="e">
        <f>MATCH(L14,Data!$AAL$1:$AAM$1)</f>
        <v>#N/A</v>
      </c>
      <c r="BL14" s="33" t="e">
        <f>INDEX(Data!$AAL$2:$AAM$15,BJ14,BK14)</f>
        <v>#N/A</v>
      </c>
    </row>
    <row r="15" spans="1:64" ht="30" customHeight="1" thickTop="1" thickBot="1">
      <c r="A15" s="52">
        <v>8</v>
      </c>
      <c r="B15" s="17"/>
      <c r="C15" s="17"/>
      <c r="D15" s="19"/>
      <c r="E15" s="15"/>
      <c r="F15" s="10"/>
      <c r="G15" s="10"/>
      <c r="H15" s="14"/>
      <c r="I15" s="14"/>
      <c r="J15" s="563"/>
      <c r="K15" s="564"/>
      <c r="L15" s="15"/>
      <c r="M15" s="15"/>
      <c r="N15" s="15"/>
      <c r="O15" s="580"/>
      <c r="P15" s="581"/>
      <c r="Q15" s="13"/>
      <c r="R15" s="13"/>
      <c r="S15" s="13"/>
      <c r="T15" s="13"/>
      <c r="U15" s="13"/>
      <c r="V15" s="13"/>
      <c r="W15" s="13"/>
      <c r="X15" s="15"/>
      <c r="Y15" s="16"/>
      <c r="Z15" s="175"/>
      <c r="AA15" s="229"/>
      <c r="AB15" s="230"/>
      <c r="AC15" s="33" t="e">
        <f t="shared" si="0"/>
        <v>#N/A</v>
      </c>
      <c r="AD15" s="33" t="e">
        <f>VLOOKUP(S15,Data!$QH$2:$QI$4,2,FALSE)</f>
        <v>#N/A</v>
      </c>
      <c r="AF15" s="172" t="e">
        <f t="shared" si="1"/>
        <v>#N/A</v>
      </c>
      <c r="AG15" s="172" t="str">
        <f>IF(COUNTIF(AG8:AG14,Data!KG6),Data!KH6,"")</f>
        <v/>
      </c>
      <c r="AI15" s="172" t="b">
        <f>IF(W15=Data!$KK$2,Data!$KM$1,IF(W15=Data!$KK$3,Data!$KN$1,IF(W15=Data!$KK$4,Data!$KP$1,IF(W15=Data!$KK$5,Data!$KQ$1))))</f>
        <v>0</v>
      </c>
      <c r="AJ15" s="33" t="str">
        <f>IF(D15=Data!$W$10,Data!$QJ$1,Data!$QK$1)</f>
        <v>RollerControl</v>
      </c>
      <c r="AM15" s="33" t="b">
        <f>IF(S15=Data!$PX$2,Data!$PZ$1,IF(S15=Data!$PX$3,Data!$PY$1,IF(S15=Data!$PX$4,Data!$QA$1)))</f>
        <v>0</v>
      </c>
      <c r="AO15" s="33" t="b">
        <f>IF(S15=Data!$PX$3,Data!$QB$1,IF(S15=Data!$PX$2,Data!$QC$1,IF(S15=Data!$PX$4,Data!$QD$1)))</f>
        <v>0</v>
      </c>
      <c r="AQ15" s="33" t="str">
        <f>IF(D15=Data!$W$3,Data!$QF$1,IF(D15=Data!$W$4,Data!$QF$1,IF(D15=Data!$W$5,Data!$QF$1,IF(D15=Data!$W$6,Data!$QF$1,IF(D15=Data!$W$7,Data!$QF$1,IF(D15=Data!$W$8,Data!$QF$1,IF(D15=Data!$W$9,Data!$QF$1,IF(D15=Data!$W$10,Data!$QE$1,IF(D15=Data!$W$11,Data!$QF$1,IF(D15=Data!$W$12,Data!$QF$1,IF(D15=Data!$W$13,Data!$QF$1,IF(D15=Data!$W$14,Data!$QF$1,IF(D15=Data!$W$15,Data!$QF$1,IF(D15=Data!$W$16,Data!$QF$1))))))))))))))</f>
        <v>RollerBracketType2</v>
      </c>
      <c r="BA15" s="40" t="str">
        <f>IF(AND(F15&lt;2130, OR(G15&lt;2100)),Data!$KS$1,Data!$KT$1)</f>
        <v>Small_Tube</v>
      </c>
      <c r="BB15" s="172" t="e">
        <f>MATCH(W15,Data!$LA$1:$LD$1,0)</f>
        <v>#N/A</v>
      </c>
      <c r="BC15" s="172">
        <f>MATCH('Roller Blinds'!BA15,Data!$KZ$2:$KZ$3,0)</f>
        <v>1</v>
      </c>
      <c r="BD15" s="172" t="e">
        <f>INDEX(Data!$LA$2:$LD$3,'Roller Blinds'!BC15,'Roller Blinds'!BB15)</f>
        <v>#N/A</v>
      </c>
      <c r="BG15" s="172" t="b">
        <f>IF(O15=Data!$QK$2,Data!$QL$1,IF(O15=Data!$QK$3,Data!$QM$1,IF(O15=Data!$QK$4,Data!$QN$1,IF(O15=Data!$QK$5,Data!$QO$1,IF(O15=Data!$QK$6,Data!$QP$1,IF(O15=Data!$QK$7,Data!$QQ$1,IF(O15=Data!$QK$8,Data!$QR$1,IF(O15=Data!$QK$9,Data!$QS$1, IF(O15=Data!$QK$10,Data!$QV$1, IF(O15=Data!$QK$11,Data!$QW$1))))))))))</f>
        <v>0</v>
      </c>
      <c r="BH15" s="33" t="b">
        <f>IF(O15=Data!$QK$2,Data!$QL$17,IF(O15=Data!$QK$3,Data!$QM$17,IF(O15=Data!$QK$4,Data!$QN$17,IF(O15=Data!$QK$5,Data!$QO$17,IF(O15=Data!$QK$6,Data!$QP$17,IF(O15=Data!$QK$7,Data!$QQ$17,IF(O15=Data!$QK$8,Data!$QR$17,IF(O15=Data!$QK$9,Data!$QS$17,IF(O15=Data!$QK$10,Data!$QV$17,IF(O15=Data!$QK$11,Data!$QW$17))))))))))</f>
        <v>0</v>
      </c>
      <c r="BI15" s="33" t="e">
        <f>VLOOKUP(O15,Data!$PU$13:$PV$22,2,FALSE)</f>
        <v>#N/A</v>
      </c>
      <c r="BJ15" s="33" t="e">
        <f>MATCH('Roller Blinds'!D15,Data!$AAK$2:$AAK$15)</f>
        <v>#N/A</v>
      </c>
      <c r="BK15" s="33" t="e">
        <f>MATCH(L15,Data!$AAL$1:$AAM$1)</f>
        <v>#N/A</v>
      </c>
      <c r="BL15" s="33" t="e">
        <f>INDEX(Data!$AAL$2:$AAM$15,BJ15,BK15)</f>
        <v>#N/A</v>
      </c>
    </row>
    <row r="16" spans="1:64" ht="30" customHeight="1" thickTop="1" thickBot="1">
      <c r="A16" s="52">
        <v>9</v>
      </c>
      <c r="B16" s="17"/>
      <c r="C16" s="17"/>
      <c r="D16" s="13"/>
      <c r="E16" s="15"/>
      <c r="F16" s="10"/>
      <c r="G16" s="10"/>
      <c r="H16" s="14"/>
      <c r="I16" s="14"/>
      <c r="J16" s="563"/>
      <c r="K16" s="564"/>
      <c r="L16" s="15"/>
      <c r="M16" s="15"/>
      <c r="N16" s="15"/>
      <c r="O16" s="580"/>
      <c r="P16" s="581"/>
      <c r="Q16" s="13"/>
      <c r="R16" s="13"/>
      <c r="S16" s="13"/>
      <c r="T16" s="13"/>
      <c r="U16" s="13"/>
      <c r="V16" s="13"/>
      <c r="W16" s="13"/>
      <c r="X16" s="15"/>
      <c r="Y16" s="16"/>
      <c r="Z16" s="175"/>
      <c r="AA16" s="229"/>
      <c r="AB16" s="230"/>
      <c r="AC16" s="33" t="e">
        <f t="shared" si="0"/>
        <v>#N/A</v>
      </c>
      <c r="AD16" s="33" t="e">
        <f>VLOOKUP(S16,Data!$QH$2:$QI$4,2,FALSE)</f>
        <v>#N/A</v>
      </c>
      <c r="AF16" s="172" t="e">
        <f t="shared" si="1"/>
        <v>#N/A</v>
      </c>
      <c r="AG16" s="172" t="str">
        <f>IF(COUNTIF(AG8:AG14,Data!KG7),Data!KH7,"")</f>
        <v/>
      </c>
      <c r="AI16" s="172" t="b">
        <f>IF(W16=Data!$KK$2,Data!$KM$1,IF(W16=Data!$KK$3,Data!$KN$1,IF(W16=Data!$KK$4,Data!$KP$1,IF(W16=Data!$KK$5,Data!$KQ$1))))</f>
        <v>0</v>
      </c>
      <c r="AJ16" s="33" t="str">
        <f>IF(D16=Data!$W$10,Data!$QJ$1,Data!$QK$1)</f>
        <v>RollerControl</v>
      </c>
      <c r="AM16" s="33" t="b">
        <f>IF(S16=Data!$PX$2,Data!$PZ$1,IF(S16=Data!$PX$3,Data!$PY$1,IF(S16=Data!$PX$4,Data!$QA$1)))</f>
        <v>0</v>
      </c>
      <c r="AO16" s="33" t="b">
        <f>IF(S16=Data!$PX$3,Data!$QB$1,IF(S16=Data!$PX$2,Data!$QC$1,IF(S16=Data!$PX$4,Data!$QD$1)))</f>
        <v>0</v>
      </c>
      <c r="AQ16" s="33" t="str">
        <f>IF(D16=Data!$W$3,Data!$QF$1,IF(D16=Data!$W$4,Data!$QF$1,IF(D16=Data!$W$5,Data!$QF$1,IF(D16=Data!$W$6,Data!$QF$1,IF(D16=Data!$W$7,Data!$QF$1,IF(D16=Data!$W$8,Data!$QF$1,IF(D16=Data!$W$9,Data!$QF$1,IF(D16=Data!$W$10,Data!$QE$1,IF(D16=Data!$W$11,Data!$QF$1,IF(D16=Data!$W$12,Data!$QF$1,IF(D16=Data!$W$13,Data!$QF$1,IF(D16=Data!$W$14,Data!$QF$1,IF(D16=Data!$W$15,Data!$QF$1,IF(D16=Data!$W$16,Data!$QF$1))))))))))))))</f>
        <v>RollerBracketType2</v>
      </c>
      <c r="BA16" s="40" t="str">
        <f>IF(AND(F16&lt;2130, OR(G16&lt;2100)),Data!$KS$1,Data!$KT$1)</f>
        <v>Small_Tube</v>
      </c>
      <c r="BB16" s="172" t="e">
        <f>MATCH(W16,Data!$LA$1:$LD$1,0)</f>
        <v>#N/A</v>
      </c>
      <c r="BC16" s="172">
        <f>MATCH('Roller Blinds'!BA16,Data!$KZ$2:$KZ$3,0)</f>
        <v>1</v>
      </c>
      <c r="BD16" s="172" t="e">
        <f>INDEX(Data!$LA$2:$LD$3,'Roller Blinds'!BC16,'Roller Blinds'!BB16)</f>
        <v>#N/A</v>
      </c>
      <c r="BG16" s="172" t="b">
        <f>IF(O16=Data!$QK$2,Data!$QL$1,IF(O16=Data!$QK$3,Data!$QM$1,IF(O16=Data!$QK$4,Data!$QN$1,IF(O16=Data!$QK$5,Data!$QO$1,IF(O16=Data!$QK$6,Data!$QP$1,IF(O16=Data!$QK$7,Data!$QQ$1,IF(O16=Data!$QK$8,Data!$QR$1,IF(O16=Data!$QK$9,Data!$QS$1, IF(O16=Data!$QK$10,Data!$QV$1, IF(O16=Data!$QK$11,Data!$QW$1))))))))))</f>
        <v>0</v>
      </c>
      <c r="BH16" s="33" t="b">
        <f>IF(O16=Data!$QK$2,Data!$QL$17,IF(O16=Data!$QK$3,Data!$QM$17,IF(O16=Data!$QK$4,Data!$QN$17,IF(O16=Data!$QK$5,Data!$QO$17,IF(O16=Data!$QK$6,Data!$QP$17,IF(O16=Data!$QK$7,Data!$QQ$17,IF(O16=Data!$QK$8,Data!$QR$17,IF(O16=Data!$QK$9,Data!$QS$17,IF(O16=Data!$QK$10,Data!$QV$17,IF(O16=Data!$QK$11,Data!$QW$17))))))))))</f>
        <v>0</v>
      </c>
      <c r="BI16" s="33" t="e">
        <f>VLOOKUP(O16,Data!$PU$13:$PV$22,2,FALSE)</f>
        <v>#N/A</v>
      </c>
      <c r="BJ16" s="33" t="e">
        <f>MATCH('Roller Blinds'!D16,Data!$AAK$2:$AAK$15)</f>
        <v>#N/A</v>
      </c>
      <c r="BK16" s="33" t="e">
        <f>MATCH(L16,Data!$AAL$1:$AAM$1)</f>
        <v>#N/A</v>
      </c>
      <c r="BL16" s="33" t="e">
        <f>INDEX(Data!$AAL$2:$AAM$15,BJ16,BK16)</f>
        <v>#N/A</v>
      </c>
    </row>
    <row r="17" spans="1:64" ht="30" customHeight="1" thickTop="1" thickBot="1">
      <c r="A17" s="52">
        <v>10</v>
      </c>
      <c r="B17" s="17"/>
      <c r="C17" s="17"/>
      <c r="D17" s="19"/>
      <c r="E17" s="15"/>
      <c r="F17" s="10"/>
      <c r="G17" s="10"/>
      <c r="H17" s="14"/>
      <c r="I17" s="14"/>
      <c r="J17" s="563"/>
      <c r="K17" s="564"/>
      <c r="L17" s="15"/>
      <c r="M17" s="15"/>
      <c r="N17" s="15"/>
      <c r="O17" s="580"/>
      <c r="P17" s="581"/>
      <c r="Q17" s="13"/>
      <c r="R17" s="13"/>
      <c r="S17" s="13"/>
      <c r="T17" s="13"/>
      <c r="U17" s="13"/>
      <c r="V17" s="13"/>
      <c r="W17" s="13"/>
      <c r="X17" s="15"/>
      <c r="Y17" s="16"/>
      <c r="Z17" s="175"/>
      <c r="AA17" s="229"/>
      <c r="AB17" s="230"/>
      <c r="AC17" s="33" t="e">
        <f t="shared" si="0"/>
        <v>#N/A</v>
      </c>
      <c r="AD17" s="33" t="e">
        <f>VLOOKUP(S17,Data!$QH$2:$QI$4,2,FALSE)</f>
        <v>#N/A</v>
      </c>
      <c r="AF17" s="172" t="e">
        <f t="shared" si="1"/>
        <v>#N/A</v>
      </c>
      <c r="AG17" s="172" t="str">
        <f>AG15&amp;" &amp; "&amp;AG16&amp;""</f>
        <v xml:space="preserve"> &amp; </v>
      </c>
      <c r="AI17" s="172" t="b">
        <f>IF(W17=Data!$KK$2,Data!$KM$1,IF(W17=Data!$KK$3,Data!$KN$1,IF(W17=Data!$KK$4,Data!$KP$1,IF(W17=Data!$KK$5,Data!$KQ$1))))</f>
        <v>0</v>
      </c>
      <c r="AJ17" s="33" t="str">
        <f>IF(D17=Data!$W$10,Data!$QJ$1,Data!$QK$1)</f>
        <v>RollerControl</v>
      </c>
      <c r="AM17" s="33" t="b">
        <f>IF(S17=Data!$PX$2,Data!$PZ$1,IF(S17=Data!$PX$3,Data!$PY$1,IF(S17=Data!$PX$4,Data!$QA$1)))</f>
        <v>0</v>
      </c>
      <c r="AO17" s="33" t="b">
        <f>IF(S17=Data!$PX$3,Data!$QB$1,IF(S17=Data!$PX$2,Data!$QC$1,IF(S17=Data!$PX$4,Data!$QD$1)))</f>
        <v>0</v>
      </c>
      <c r="AQ17" s="33" t="str">
        <f>IF(D17=Data!$W$3,Data!$QF$1,IF(D17=Data!$W$4,Data!$QF$1,IF(D17=Data!$W$5,Data!$QF$1,IF(D17=Data!$W$6,Data!$QF$1,IF(D17=Data!$W$7,Data!$QF$1,IF(D17=Data!$W$8,Data!$QF$1,IF(D17=Data!$W$9,Data!$QF$1,IF(D17=Data!$W$10,Data!$QE$1,IF(D17=Data!$W$11,Data!$QF$1,IF(D17=Data!$W$12,Data!$QF$1,IF(D17=Data!$W$13,Data!$QF$1,IF(D17=Data!$W$14,Data!$QF$1,IF(D17=Data!$W$15,Data!$QF$1,IF(D17=Data!$W$16,Data!$QF$1))))))))))))))</f>
        <v>RollerBracketType2</v>
      </c>
      <c r="BA17" s="40" t="str">
        <f>IF(AND(F17&lt;2130, OR(G17&lt;2100)),Data!$KS$1,Data!$KT$1)</f>
        <v>Small_Tube</v>
      </c>
      <c r="BB17" s="172" t="e">
        <f>MATCH(W17,Data!$LA$1:$LD$1,0)</f>
        <v>#N/A</v>
      </c>
      <c r="BC17" s="172">
        <f>MATCH('Roller Blinds'!BA17,Data!$KZ$2:$KZ$3,0)</f>
        <v>1</v>
      </c>
      <c r="BD17" s="172" t="e">
        <f>INDEX(Data!$LA$2:$LD$3,'Roller Blinds'!BC17,'Roller Blinds'!BB17)</f>
        <v>#N/A</v>
      </c>
      <c r="BG17" s="172" t="b">
        <f>IF(O17=Data!$QK$2,Data!$QL$1,IF(O17=Data!$QK$3,Data!$QM$1,IF(O17=Data!$QK$4,Data!$QN$1,IF(O17=Data!$QK$5,Data!$QO$1,IF(O17=Data!$QK$6,Data!$QP$1,IF(O17=Data!$QK$7,Data!$QQ$1,IF(O17=Data!$QK$8,Data!$QR$1,IF(O17=Data!$QK$9,Data!$QS$1, IF(O17=Data!$QK$10,Data!$QV$1, IF(O17=Data!$QK$11,Data!$QW$1))))))))))</f>
        <v>0</v>
      </c>
      <c r="BH17" s="33" t="b">
        <f>IF(O17=Data!$QK$2,Data!$QL$17,IF(O17=Data!$QK$3,Data!$QM$17,IF(O17=Data!$QK$4,Data!$QN$17,IF(O17=Data!$QK$5,Data!$QO$17,IF(O17=Data!$QK$6,Data!$QP$17,IF(O17=Data!$QK$7,Data!$QQ$17,IF(O17=Data!$QK$8,Data!$QR$17,IF(O17=Data!$QK$9,Data!$QS$17,IF(O17=Data!$QK$10,Data!$QV$17,IF(O17=Data!$QK$11,Data!$QW$17))))))))))</f>
        <v>0</v>
      </c>
      <c r="BI17" s="33" t="e">
        <f>VLOOKUP(O17,Data!$PU$13:$PV$22,2,FALSE)</f>
        <v>#N/A</v>
      </c>
      <c r="BJ17" s="33" t="e">
        <f>MATCH('Roller Blinds'!D17,Data!$AAK$2:$AAK$15)</f>
        <v>#N/A</v>
      </c>
      <c r="BK17" s="33" t="e">
        <f>MATCH(L17,Data!$AAL$1:$AAM$1)</f>
        <v>#N/A</v>
      </c>
      <c r="BL17" s="33" t="e">
        <f>INDEX(Data!$AAL$2:$AAM$15,BJ17,BK17)</f>
        <v>#N/A</v>
      </c>
    </row>
    <row r="18" spans="1:64" ht="30" customHeight="1" thickTop="1" thickBot="1">
      <c r="A18" s="52">
        <v>11</v>
      </c>
      <c r="B18" s="17"/>
      <c r="C18" s="17"/>
      <c r="D18" s="13"/>
      <c r="E18" s="15"/>
      <c r="F18" s="10"/>
      <c r="G18" s="10"/>
      <c r="H18" s="14"/>
      <c r="I18" s="14"/>
      <c r="J18" s="563"/>
      <c r="K18" s="564"/>
      <c r="L18" s="15"/>
      <c r="M18" s="15"/>
      <c r="N18" s="15"/>
      <c r="O18" s="580"/>
      <c r="P18" s="581"/>
      <c r="Q18" s="13"/>
      <c r="R18" s="13"/>
      <c r="S18" s="13"/>
      <c r="T18" s="13"/>
      <c r="U18" s="13"/>
      <c r="V18" s="13"/>
      <c r="W18" s="13"/>
      <c r="X18" s="15"/>
      <c r="Y18" s="16"/>
      <c r="Z18" s="175"/>
      <c r="AA18" s="229"/>
      <c r="AB18" s="230"/>
      <c r="AC18" s="33" t="e">
        <f t="shared" si="0"/>
        <v>#N/A</v>
      </c>
      <c r="AD18" s="33" t="e">
        <f>VLOOKUP(S18,Data!$QH$2:$QI$4,2,FALSE)</f>
        <v>#N/A</v>
      </c>
      <c r="AF18" s="172" t="e">
        <f t="shared" si="1"/>
        <v>#N/A</v>
      </c>
      <c r="AG18" s="172" t="str">
        <f>IF(AG17="Corner &amp; Bay","Corner &amp; Bay Window Diagram Must Be Supplied",IF(AG15="Corner","Corner Window Diagram Must Be Supplied",IF(AG16="Bay","Bay Window Diagram Must Be Supplied","")))</f>
        <v/>
      </c>
      <c r="AI18" s="172" t="b">
        <f>IF(W18=Data!$KK$2,Data!$KM$1,IF(W18=Data!$KK$3,Data!$KN$1,IF(W18=Data!$KK$4,Data!$KP$1,IF(W18=Data!$KK$5,Data!$KQ$1))))</f>
        <v>0</v>
      </c>
      <c r="AJ18" s="33" t="str">
        <f>IF(D18=Data!$W$10,Data!$QJ$1,Data!$QK$1)</f>
        <v>RollerControl</v>
      </c>
      <c r="AM18" s="33" t="b">
        <f>IF(S18=Data!$PX$2,Data!$PZ$1,IF(S18=Data!$PX$3,Data!$PY$1,IF(S18=Data!$PX$4,Data!$QA$1)))</f>
        <v>0</v>
      </c>
      <c r="AO18" s="33" t="b">
        <f>IF(S18=Data!$PX$3,Data!$QB$1,IF(S18=Data!$PX$2,Data!$QC$1,IF(S18=Data!$PX$4,Data!$QD$1)))</f>
        <v>0</v>
      </c>
      <c r="AQ18" s="33" t="str">
        <f>IF(D18=Data!$W$3,Data!$QF$1,IF(D18=Data!$W$4,Data!$QF$1,IF(D18=Data!$W$5,Data!$QF$1,IF(D18=Data!$W$6,Data!$QF$1,IF(D18=Data!$W$7,Data!$QF$1,IF(D18=Data!$W$8,Data!$QF$1,IF(D18=Data!$W$9,Data!$QF$1,IF(D18=Data!$W$10,Data!$QE$1,IF(D18=Data!$W$11,Data!$QF$1,IF(D18=Data!$W$12,Data!$QF$1,IF(D18=Data!$W$13,Data!$QF$1,IF(D18=Data!$W$14,Data!$QF$1,IF(D18=Data!$W$15,Data!$QF$1,IF(D18=Data!$W$16,Data!$QF$1))))))))))))))</f>
        <v>RollerBracketType2</v>
      </c>
      <c r="BA18" s="40" t="str">
        <f>IF(AND(F18&lt;2130, OR(G18&lt;2100)),Data!$KS$1,Data!$KT$1)</f>
        <v>Small_Tube</v>
      </c>
      <c r="BB18" s="172" t="e">
        <f>MATCH(W18,Data!$LA$1:$LD$1,0)</f>
        <v>#N/A</v>
      </c>
      <c r="BC18" s="172">
        <f>MATCH('Roller Blinds'!BA18,Data!$KZ$2:$KZ$3,0)</f>
        <v>1</v>
      </c>
      <c r="BD18" s="172" t="e">
        <f>INDEX(Data!$LA$2:$LD$3,'Roller Blinds'!BC18,'Roller Blinds'!BB18)</f>
        <v>#N/A</v>
      </c>
      <c r="BG18" s="172" t="b">
        <f>IF(O18=Data!$QK$2,Data!$QL$1,IF(O18=Data!$QK$3,Data!$QM$1,IF(O18=Data!$QK$4,Data!$QN$1,IF(O18=Data!$QK$5,Data!$QO$1,IF(O18=Data!$QK$6,Data!$QP$1,IF(O18=Data!$QK$7,Data!$QQ$1,IF(O18=Data!$QK$8,Data!$QR$1,IF(O18=Data!$QK$9,Data!$QS$1, IF(O18=Data!$QK$10,Data!$QV$1, IF(O18=Data!$QK$11,Data!$QW$1))))))))))</f>
        <v>0</v>
      </c>
      <c r="BH18" s="33" t="b">
        <f>IF(O18=Data!$QK$2,Data!$QL$17,IF(O18=Data!$QK$3,Data!$QM$17,IF(O18=Data!$QK$4,Data!$QN$17,IF(O18=Data!$QK$5,Data!$QO$17,IF(O18=Data!$QK$6,Data!$QP$17,IF(O18=Data!$QK$7,Data!$QQ$17,IF(O18=Data!$QK$8,Data!$QR$17,IF(O18=Data!$QK$9,Data!$QS$17,IF(O18=Data!$QK$10,Data!$QV$17,IF(O18=Data!$QK$11,Data!$QW$17))))))))))</f>
        <v>0</v>
      </c>
      <c r="BI18" s="33" t="e">
        <f>VLOOKUP(O18,Data!$PU$13:$PV$22,2,FALSE)</f>
        <v>#N/A</v>
      </c>
      <c r="BJ18" s="33" t="e">
        <f>MATCH('Roller Blinds'!D18,Data!$AAK$2:$AAK$15)</f>
        <v>#N/A</v>
      </c>
      <c r="BK18" s="33" t="e">
        <f>MATCH(L18,Data!$AAL$1:$AAM$1)</f>
        <v>#N/A</v>
      </c>
      <c r="BL18" s="33" t="e">
        <f>INDEX(Data!$AAL$2:$AAM$15,BJ18,BK18)</f>
        <v>#N/A</v>
      </c>
    </row>
    <row r="19" spans="1:64" ht="30" customHeight="1" thickTop="1" thickBot="1">
      <c r="A19" s="52">
        <v>12</v>
      </c>
      <c r="B19" s="17"/>
      <c r="C19" s="17"/>
      <c r="D19" s="13"/>
      <c r="E19" s="15"/>
      <c r="F19" s="10"/>
      <c r="G19" s="10"/>
      <c r="H19" s="14"/>
      <c r="I19" s="14"/>
      <c r="J19" s="563"/>
      <c r="K19" s="564"/>
      <c r="L19" s="15"/>
      <c r="M19" s="15"/>
      <c r="N19" s="15"/>
      <c r="O19" s="580"/>
      <c r="P19" s="581"/>
      <c r="Q19" s="13"/>
      <c r="R19" s="13"/>
      <c r="S19" s="13"/>
      <c r="T19" s="13"/>
      <c r="U19" s="13"/>
      <c r="V19" s="13"/>
      <c r="W19" s="13"/>
      <c r="X19" s="15"/>
      <c r="Y19" s="16"/>
      <c r="Z19" s="175"/>
      <c r="AA19" s="229"/>
      <c r="AB19" s="230"/>
      <c r="AC19" s="33" t="e">
        <f t="shared" si="0"/>
        <v>#N/A</v>
      </c>
      <c r="AD19" s="33" t="e">
        <f>VLOOKUP(S19,Data!$QH$2:$QI$4,2,FALSE)</f>
        <v>#N/A</v>
      </c>
      <c r="AF19" s="172" t="e">
        <f t="shared" si="1"/>
        <v>#N/A</v>
      </c>
      <c r="AI19" s="172" t="b">
        <f>IF(W19=Data!$KK$2,Data!$KM$1,IF(W19=Data!$KK$3,Data!$KN$1,IF(W19=Data!$KK$4,Data!$KP$1,IF(W19=Data!$KK$5,Data!$KQ$1))))</f>
        <v>0</v>
      </c>
      <c r="AJ19" s="33" t="str">
        <f>IF(D19=Data!$W$10,Data!$QJ$1,Data!$QK$1)</f>
        <v>RollerControl</v>
      </c>
      <c r="AM19" s="33" t="b">
        <f>IF(S19=Data!$PX$2,Data!$PZ$1,IF(S19=Data!$PX$3,Data!$PY$1,IF(S19=Data!$PX$4,Data!$QA$1)))</f>
        <v>0</v>
      </c>
      <c r="AO19" s="33" t="b">
        <f>IF(S19=Data!$PX$3,Data!$QB$1,IF(S19=Data!$PX$2,Data!$QC$1,IF(S19=Data!$PX$4,Data!$QD$1)))</f>
        <v>0</v>
      </c>
      <c r="AQ19" s="33" t="str">
        <f>IF(D19=Data!$W$3,Data!$QF$1,IF(D19=Data!$W$4,Data!$QF$1,IF(D19=Data!$W$5,Data!$QF$1,IF(D19=Data!$W$6,Data!$QF$1,IF(D19=Data!$W$7,Data!$QF$1,IF(D19=Data!$W$8,Data!$QF$1,IF(D19=Data!$W$9,Data!$QF$1,IF(D19=Data!$W$10,Data!$QE$1,IF(D19=Data!$W$11,Data!$QF$1,IF(D19=Data!$W$12,Data!$QF$1,IF(D19=Data!$W$13,Data!$QF$1,IF(D19=Data!$W$14,Data!$QF$1,IF(D19=Data!$W$15,Data!$QF$1,IF(D19=Data!$W$16,Data!$QF$1))))))))))))))</f>
        <v>RollerBracketType2</v>
      </c>
      <c r="BA19" s="40" t="str">
        <f>IF(AND(F19&lt;2130, OR(G19&lt;2100)),Data!$KS$1,Data!$KT$1)</f>
        <v>Small_Tube</v>
      </c>
      <c r="BB19" s="172" t="e">
        <f>MATCH(W19,Data!$LA$1:$LD$1,0)</f>
        <v>#N/A</v>
      </c>
      <c r="BC19" s="172">
        <f>MATCH('Roller Blinds'!BA19,Data!$KZ$2:$KZ$3,0)</f>
        <v>1</v>
      </c>
      <c r="BD19" s="172" t="e">
        <f>INDEX(Data!$LA$2:$LD$3,'Roller Blinds'!BC19,'Roller Blinds'!BB19)</f>
        <v>#N/A</v>
      </c>
      <c r="BG19" s="172" t="b">
        <f>IF(O19=Data!$QK$2,Data!$QL$1,IF(O19=Data!$QK$3,Data!$QM$1,IF(O19=Data!$QK$4,Data!$QN$1,IF(O19=Data!$QK$5,Data!$QO$1,IF(O19=Data!$QK$6,Data!$QP$1,IF(O19=Data!$QK$7,Data!$QQ$1,IF(O19=Data!$QK$8,Data!$QR$1,IF(O19=Data!$QK$9,Data!$QS$1, IF(O19=Data!$QK$10,Data!$QV$1, IF(O19=Data!$QK$11,Data!$QW$1))))))))))</f>
        <v>0</v>
      </c>
      <c r="BH19" s="33" t="b">
        <f>IF(O19=Data!$QK$2,Data!$QL$17,IF(O19=Data!$QK$3,Data!$QM$17,IF(O19=Data!$QK$4,Data!$QN$17,IF(O19=Data!$QK$5,Data!$QO$17,IF(O19=Data!$QK$6,Data!$QP$17,IF(O19=Data!$QK$7,Data!$QQ$17,IF(O19=Data!$QK$8,Data!$QR$17,IF(O19=Data!$QK$9,Data!$QS$17,IF(O19=Data!$QK$10,Data!$QV$17,IF(O19=Data!$QK$11,Data!$QW$17))))))))))</f>
        <v>0</v>
      </c>
      <c r="BI19" s="33" t="e">
        <f>VLOOKUP(O19,Data!$PU$13:$PV$22,2,FALSE)</f>
        <v>#N/A</v>
      </c>
      <c r="BJ19" s="33" t="e">
        <f>MATCH('Roller Blinds'!D19,Data!$AAK$2:$AAK$15)</f>
        <v>#N/A</v>
      </c>
      <c r="BK19" s="33" t="e">
        <f>MATCH(L19,Data!$AAL$1:$AAM$1)</f>
        <v>#N/A</v>
      </c>
      <c r="BL19" s="33" t="e">
        <f>INDEX(Data!$AAL$2:$AAM$15,BJ19,BK19)</f>
        <v>#N/A</v>
      </c>
    </row>
    <row r="20" spans="1:64" ht="30" customHeight="1" thickTop="1" thickBot="1">
      <c r="A20" s="52">
        <v>13</v>
      </c>
      <c r="B20" s="17"/>
      <c r="C20" s="17"/>
      <c r="D20" s="13"/>
      <c r="E20" s="15"/>
      <c r="F20" s="10"/>
      <c r="G20" s="10"/>
      <c r="H20" s="14"/>
      <c r="I20" s="14"/>
      <c r="J20" s="563"/>
      <c r="K20" s="564"/>
      <c r="L20" s="15"/>
      <c r="M20" s="15"/>
      <c r="N20" s="15"/>
      <c r="O20" s="580"/>
      <c r="P20" s="581"/>
      <c r="Q20" s="13"/>
      <c r="R20" s="13"/>
      <c r="S20" s="13"/>
      <c r="T20" s="13"/>
      <c r="U20" s="13"/>
      <c r="V20" s="13"/>
      <c r="W20" s="13"/>
      <c r="X20" s="15"/>
      <c r="Y20" s="16"/>
      <c r="Z20" s="175"/>
      <c r="AA20" s="229"/>
      <c r="AB20" s="230"/>
      <c r="AC20" s="33" t="e">
        <f t="shared" si="0"/>
        <v>#N/A</v>
      </c>
      <c r="AD20" s="33" t="e">
        <f>VLOOKUP(S20,Data!$QH$2:$QI$4,2,FALSE)</f>
        <v>#N/A</v>
      </c>
      <c r="AF20" s="172" t="e">
        <f t="shared" si="1"/>
        <v>#N/A</v>
      </c>
      <c r="AI20" s="172" t="b">
        <f>IF(W20=Data!$KK$2,Data!$KM$1,IF(W20=Data!$KK$3,Data!$KN$1,IF(W20=Data!$KK$4,Data!$KP$1,IF(W20=Data!$KK$5,Data!$KQ$1))))</f>
        <v>0</v>
      </c>
      <c r="AJ20" s="33" t="str">
        <f>IF(D20=Data!$W$10,Data!$QJ$1,Data!$QK$1)</f>
        <v>RollerControl</v>
      </c>
      <c r="AM20" s="33" t="b">
        <f>IF(S20=Data!$PX$2,Data!$PZ$1,IF(S20=Data!$PX$3,Data!$PY$1,IF(S20=Data!$PX$4,Data!$QA$1)))</f>
        <v>0</v>
      </c>
      <c r="AO20" s="33" t="b">
        <f>IF(S20=Data!$PX$3,Data!$QB$1,IF(S20=Data!$PX$2,Data!$QC$1,IF(S20=Data!$PX$4,Data!$QD$1)))</f>
        <v>0</v>
      </c>
      <c r="AQ20" s="33" t="str">
        <f>IF(D20=Data!$W$3,Data!$QF$1,IF(D20=Data!$W$4,Data!$QF$1,IF(D20=Data!$W$5,Data!$QF$1,IF(D20=Data!$W$6,Data!$QF$1,IF(D20=Data!$W$7,Data!$QF$1,IF(D20=Data!$W$8,Data!$QF$1,IF(D20=Data!$W$9,Data!$QF$1,IF(D20=Data!$W$10,Data!$QE$1,IF(D20=Data!$W$11,Data!$QF$1,IF(D20=Data!$W$12,Data!$QF$1,IF(D20=Data!$W$13,Data!$QF$1,IF(D20=Data!$W$14,Data!$QF$1,IF(D20=Data!$W$15,Data!$QF$1,IF(D20=Data!$W$16,Data!$QF$1))))))))))))))</f>
        <v>RollerBracketType2</v>
      </c>
      <c r="BA20" s="40" t="str">
        <f>IF(AND(F20&lt;2130, OR(G20&lt;2100)),Data!$KS$1,Data!$KT$1)</f>
        <v>Small_Tube</v>
      </c>
      <c r="BB20" s="172" t="e">
        <f>MATCH(W20,Data!$LA$1:$LD$1,0)</f>
        <v>#N/A</v>
      </c>
      <c r="BC20" s="172">
        <f>MATCH('Roller Blinds'!BA20,Data!$KZ$2:$KZ$3,0)</f>
        <v>1</v>
      </c>
      <c r="BD20" s="172" t="e">
        <f>INDEX(Data!$LA$2:$LD$3,'Roller Blinds'!BC20,'Roller Blinds'!BB20)</f>
        <v>#N/A</v>
      </c>
      <c r="BG20" s="172" t="b">
        <f>IF(O20=Data!$QK$2,Data!$QL$1,IF(O20=Data!$QK$3,Data!$QM$1,IF(O20=Data!$QK$4,Data!$QN$1,IF(O20=Data!$QK$5,Data!$QO$1,IF(O20=Data!$QK$6,Data!$QP$1,IF(O20=Data!$QK$7,Data!$QQ$1,IF(O20=Data!$QK$8,Data!$QR$1,IF(O20=Data!$QK$9,Data!$QS$1, IF(O20=Data!$QK$10,Data!$QV$1, IF(O20=Data!$QK$11,Data!$QW$1))))))))))</f>
        <v>0</v>
      </c>
      <c r="BH20" s="33" t="b">
        <f>IF(O20=Data!$QK$2,Data!$QL$17,IF(O20=Data!$QK$3,Data!$QM$17,IF(O20=Data!$QK$4,Data!$QN$17,IF(O20=Data!$QK$5,Data!$QO$17,IF(O20=Data!$QK$6,Data!$QP$17,IF(O20=Data!$QK$7,Data!$QQ$17,IF(O20=Data!$QK$8,Data!$QR$17,IF(O20=Data!$QK$9,Data!$QS$17,IF(O20=Data!$QK$10,Data!$QV$17,IF(O20=Data!$QK$11,Data!$QW$17))))))))))</f>
        <v>0</v>
      </c>
      <c r="BI20" s="33" t="e">
        <f>VLOOKUP(O20,Data!$PU$13:$PV$22,2,FALSE)</f>
        <v>#N/A</v>
      </c>
      <c r="BJ20" s="33" t="e">
        <f>MATCH('Roller Blinds'!D20,Data!$AAK$2:$AAK$15)</f>
        <v>#N/A</v>
      </c>
      <c r="BK20" s="33" t="e">
        <f>MATCH(L20,Data!$AAL$1:$AAM$1)</f>
        <v>#N/A</v>
      </c>
      <c r="BL20" s="33" t="e">
        <f>INDEX(Data!$AAL$2:$AAM$15,BJ20,BK20)</f>
        <v>#N/A</v>
      </c>
    </row>
    <row r="21" spans="1:64" ht="30" customHeight="1" thickTop="1" thickBot="1">
      <c r="A21" s="52">
        <v>14</v>
      </c>
      <c r="B21" s="17"/>
      <c r="C21" s="17"/>
      <c r="D21" s="13"/>
      <c r="E21" s="15"/>
      <c r="F21" s="10"/>
      <c r="G21" s="10"/>
      <c r="H21" s="14"/>
      <c r="I21" s="14"/>
      <c r="J21" s="563"/>
      <c r="K21" s="564"/>
      <c r="L21" s="15"/>
      <c r="M21" s="15"/>
      <c r="N21" s="15"/>
      <c r="O21" s="580"/>
      <c r="P21" s="581"/>
      <c r="Q21" s="13"/>
      <c r="R21" s="13"/>
      <c r="S21" s="13"/>
      <c r="T21" s="13"/>
      <c r="U21" s="13"/>
      <c r="V21" s="13"/>
      <c r="W21" s="13"/>
      <c r="X21" s="15"/>
      <c r="Y21" s="16"/>
      <c r="Z21" s="175"/>
      <c r="AA21" s="229"/>
      <c r="AB21" s="230"/>
      <c r="AC21" s="33" t="e">
        <f t="shared" si="0"/>
        <v>#N/A</v>
      </c>
      <c r="AD21" s="33" t="e">
        <f>VLOOKUP(S21,Data!$QH$2:$QI$4,2,FALSE)</f>
        <v>#N/A</v>
      </c>
      <c r="AF21" s="172" t="e">
        <f t="shared" si="1"/>
        <v>#N/A</v>
      </c>
      <c r="AI21" s="172" t="b">
        <f>IF(W21=Data!$KK$2,Data!$KM$1,IF(W21=Data!$KK$3,Data!$KN$1,IF(W21=Data!$KK$4,Data!$KP$1,IF(W21=Data!$KK$5,Data!$KQ$1))))</f>
        <v>0</v>
      </c>
      <c r="AJ21" s="33" t="str">
        <f>IF(D21=Data!$W$10,Data!$QJ$1,Data!$QK$1)</f>
        <v>RollerControl</v>
      </c>
      <c r="AM21" s="33" t="b">
        <f>IF(S21=Data!$PX$2,Data!$PZ$1,IF(S21=Data!$PX$3,Data!$PY$1,IF(S21=Data!$PX$4,Data!$QA$1)))</f>
        <v>0</v>
      </c>
      <c r="AO21" s="33" t="b">
        <f>IF(S21=Data!$PX$3,Data!$QB$1,IF(S21=Data!$PX$2,Data!$QC$1,IF(S21=Data!$PX$4,Data!$QD$1)))</f>
        <v>0</v>
      </c>
      <c r="AQ21" s="33" t="str">
        <f>IF(D21=Data!$W$3,Data!$QF$1,IF(D21=Data!$W$4,Data!$QF$1,IF(D21=Data!$W$5,Data!$QF$1,IF(D21=Data!$W$6,Data!$QF$1,IF(D21=Data!$W$7,Data!$QF$1,IF(D21=Data!$W$8,Data!$QF$1,IF(D21=Data!$W$9,Data!$QF$1,IF(D21=Data!$W$10,Data!$QE$1,IF(D21=Data!$W$11,Data!$QF$1,IF(D21=Data!$W$12,Data!$QF$1,IF(D21=Data!$W$13,Data!$QF$1,IF(D21=Data!$W$14,Data!$QF$1,IF(D21=Data!$W$15,Data!$QF$1,IF(D21=Data!$W$16,Data!$QF$1))))))))))))))</f>
        <v>RollerBracketType2</v>
      </c>
      <c r="BA21" s="40" t="str">
        <f>IF(AND(F21&lt;2130, OR(G21&lt;2100)),Data!$KS$1,Data!$KT$1)</f>
        <v>Small_Tube</v>
      </c>
      <c r="BB21" s="172" t="e">
        <f>MATCH(W21,Data!$LA$1:$LD$1,0)</f>
        <v>#N/A</v>
      </c>
      <c r="BC21" s="172">
        <f>MATCH('Roller Blinds'!BA21,Data!$KZ$2:$KZ$3,0)</f>
        <v>1</v>
      </c>
      <c r="BD21" s="172" t="e">
        <f>INDEX(Data!$LA$2:$LD$3,'Roller Blinds'!BC21,'Roller Blinds'!BB21)</f>
        <v>#N/A</v>
      </c>
      <c r="BG21" s="172" t="b">
        <f>IF(O21=Data!$QK$2,Data!$QL$1,IF(O21=Data!$QK$3,Data!$QM$1,IF(O21=Data!$QK$4,Data!$QN$1,IF(O21=Data!$QK$5,Data!$QO$1,IF(O21=Data!$QK$6,Data!$QP$1,IF(O21=Data!$QK$7,Data!$QQ$1,IF(O21=Data!$QK$8,Data!$QR$1,IF(O21=Data!$QK$9,Data!$QS$1, IF(O21=Data!$QK$10,Data!$QV$1, IF(O21=Data!$QK$11,Data!$QW$1))))))))))</f>
        <v>0</v>
      </c>
      <c r="BH21" s="33" t="b">
        <f>IF(O21=Data!$QK$2,Data!$QL$17,IF(O21=Data!$QK$3,Data!$QM$17,IF(O21=Data!$QK$4,Data!$QN$17,IF(O21=Data!$QK$5,Data!$QO$17,IF(O21=Data!$QK$6,Data!$QP$17,IF(O21=Data!$QK$7,Data!$QQ$17,IF(O21=Data!$QK$8,Data!$QR$17,IF(O21=Data!$QK$9,Data!$QS$17,IF(O21=Data!$QK$10,Data!$QV$17,IF(O21=Data!$QK$11,Data!$QW$17))))))))))</f>
        <v>0</v>
      </c>
      <c r="BI21" s="33" t="e">
        <f>VLOOKUP(O21,Data!$PU$13:$PV$22,2,FALSE)</f>
        <v>#N/A</v>
      </c>
      <c r="BJ21" s="33" t="e">
        <f>MATCH('Roller Blinds'!D21,Data!$AAK$2:$AAK$15)</f>
        <v>#N/A</v>
      </c>
      <c r="BK21" s="33" t="e">
        <f>MATCH(L21,Data!$AAL$1:$AAM$1)</f>
        <v>#N/A</v>
      </c>
      <c r="BL21" s="33" t="e">
        <f>INDEX(Data!$AAL$2:$AAM$15,BJ21,BK21)</f>
        <v>#N/A</v>
      </c>
    </row>
    <row r="22" spans="1:64" ht="30" customHeight="1" thickTop="1" thickBot="1">
      <c r="A22" s="52">
        <v>15</v>
      </c>
      <c r="B22" s="17"/>
      <c r="C22" s="17"/>
      <c r="D22" s="13"/>
      <c r="E22" s="15"/>
      <c r="F22" s="10"/>
      <c r="G22" s="10"/>
      <c r="H22" s="14"/>
      <c r="I22" s="14"/>
      <c r="J22" s="563"/>
      <c r="K22" s="564"/>
      <c r="L22" s="15"/>
      <c r="M22" s="15"/>
      <c r="N22" s="15"/>
      <c r="O22" s="580"/>
      <c r="P22" s="581"/>
      <c r="Q22" s="13"/>
      <c r="R22" s="13"/>
      <c r="S22" s="13"/>
      <c r="T22" s="13"/>
      <c r="U22" s="13"/>
      <c r="V22" s="13"/>
      <c r="W22" s="13"/>
      <c r="X22" s="15"/>
      <c r="Y22" s="16"/>
      <c r="Z22" s="175"/>
      <c r="AA22" s="229"/>
      <c r="AB22" s="230"/>
      <c r="AC22" s="33" t="e">
        <f t="shared" si="0"/>
        <v>#N/A</v>
      </c>
      <c r="AD22" s="33" t="e">
        <f>VLOOKUP(S22,Data!$QH$2:$QI$4,2,FALSE)</f>
        <v>#N/A</v>
      </c>
      <c r="AF22" s="172" t="e">
        <f t="shared" si="1"/>
        <v>#N/A</v>
      </c>
      <c r="AI22" s="172" t="b">
        <f>IF(W22=Data!$KK$2,Data!$KM$1,IF(W22=Data!$KK$3,Data!$KN$1,IF(W22=Data!$KK$4,Data!$KP$1,IF(W22=Data!$KK$5,Data!$KQ$1))))</f>
        <v>0</v>
      </c>
      <c r="AJ22" s="33" t="str">
        <f>IF(D22=Data!$W$10,Data!$QJ$1,Data!$QK$1)</f>
        <v>RollerControl</v>
      </c>
      <c r="AM22" s="33" t="b">
        <f>IF(S22=Data!$PX$2,Data!$PZ$1,IF(S22=Data!$PX$3,Data!$PY$1,IF(S22=Data!$PX$4,Data!$QA$1)))</f>
        <v>0</v>
      </c>
      <c r="AO22" s="33" t="b">
        <f>IF(S22=Data!$PX$3,Data!$QB$1,IF(S22=Data!$PX$2,Data!$QC$1,IF(S22=Data!$PX$4,Data!$QD$1)))</f>
        <v>0</v>
      </c>
      <c r="AQ22" s="33" t="str">
        <f>IF(D22=Data!$W$3,Data!$QF$1,IF(D22=Data!$W$4,Data!$QF$1,IF(D22=Data!$W$5,Data!$QF$1,IF(D22=Data!$W$6,Data!$QF$1,IF(D22=Data!$W$7,Data!$QF$1,IF(D22=Data!$W$8,Data!$QF$1,IF(D22=Data!$W$9,Data!$QF$1,IF(D22=Data!$W$10,Data!$QE$1,IF(D22=Data!$W$11,Data!$QF$1,IF(D22=Data!$W$12,Data!$QF$1,IF(D22=Data!$W$13,Data!$QF$1,IF(D22=Data!$W$14,Data!$QF$1,IF(D22=Data!$W$15,Data!$QF$1,IF(D22=Data!$W$16,Data!$QF$1))))))))))))))</f>
        <v>RollerBracketType2</v>
      </c>
      <c r="BA22" s="40" t="str">
        <f>IF(AND(F22&lt;2130, OR(G22&lt;2100)),Data!$KS$1,Data!$KT$1)</f>
        <v>Small_Tube</v>
      </c>
      <c r="BB22" s="172" t="e">
        <f>MATCH(W22,Data!$LA$1:$LD$1,0)</f>
        <v>#N/A</v>
      </c>
      <c r="BC22" s="172">
        <f>MATCH('Roller Blinds'!BA22,Data!$KZ$2:$KZ$3,0)</f>
        <v>1</v>
      </c>
      <c r="BD22" s="172" t="e">
        <f>INDEX(Data!$LA$2:$LD$3,'Roller Blinds'!BC22,'Roller Blinds'!BB22)</f>
        <v>#N/A</v>
      </c>
      <c r="BG22" s="172" t="b">
        <f>IF(O22=Data!$QK$2,Data!$QL$1,IF(O22=Data!$QK$3,Data!$QM$1,IF(O22=Data!$QK$4,Data!$QN$1,IF(O22=Data!$QK$5,Data!$QO$1,IF(O22=Data!$QK$6,Data!$QP$1,IF(O22=Data!$QK$7,Data!$QQ$1,IF(O22=Data!$QK$8,Data!$QR$1,IF(O22=Data!$QK$9,Data!$QS$1, IF(O22=Data!$QK$10,Data!$QV$1, IF(O22=Data!$QK$11,Data!$QW$1))))))))))</f>
        <v>0</v>
      </c>
      <c r="BH22" s="33" t="b">
        <f>IF(O22=Data!$QK$2,Data!$QL$17,IF(O22=Data!$QK$3,Data!$QM$17,IF(O22=Data!$QK$4,Data!$QN$17,IF(O22=Data!$QK$5,Data!$QO$17,IF(O22=Data!$QK$6,Data!$QP$17,IF(O22=Data!$QK$7,Data!$QQ$17,IF(O22=Data!$QK$8,Data!$QR$17,IF(O22=Data!$QK$9,Data!$QS$17,IF(O22=Data!$QK$10,Data!$QV$17,IF(O22=Data!$QK$11,Data!$QW$17))))))))))</f>
        <v>0</v>
      </c>
      <c r="BI22" s="33" t="e">
        <f>VLOOKUP(O22,Data!$PU$13:$PV$22,2,FALSE)</f>
        <v>#N/A</v>
      </c>
      <c r="BJ22" s="33" t="e">
        <f>MATCH('Roller Blinds'!D22,Data!$AAK$2:$AAK$15)</f>
        <v>#N/A</v>
      </c>
      <c r="BK22" s="33" t="e">
        <f>MATCH(L22,Data!$AAL$1:$AAM$1)</f>
        <v>#N/A</v>
      </c>
      <c r="BL22" s="33" t="e">
        <f>INDEX(Data!$AAL$2:$AAM$15,BJ22,BK22)</f>
        <v>#N/A</v>
      </c>
    </row>
    <row r="23" spans="1:64" ht="30" customHeight="1" thickTop="1" thickBot="1">
      <c r="A23" s="52">
        <v>16</v>
      </c>
      <c r="B23" s="17"/>
      <c r="C23" s="17"/>
      <c r="D23" s="13"/>
      <c r="E23" s="15"/>
      <c r="F23" s="10"/>
      <c r="G23" s="10"/>
      <c r="H23" s="14"/>
      <c r="I23" s="14"/>
      <c r="J23" s="563"/>
      <c r="K23" s="564"/>
      <c r="L23" s="15"/>
      <c r="M23" s="15"/>
      <c r="N23" s="15"/>
      <c r="O23" s="580"/>
      <c r="P23" s="581"/>
      <c r="Q23" s="13"/>
      <c r="R23" s="13"/>
      <c r="S23" s="13"/>
      <c r="T23" s="13"/>
      <c r="U23" s="13"/>
      <c r="V23" s="13"/>
      <c r="W23" s="13"/>
      <c r="X23" s="15"/>
      <c r="Y23" s="16"/>
      <c r="Z23" s="175"/>
      <c r="AA23" s="229"/>
      <c r="AB23" s="230"/>
      <c r="AC23" s="33" t="e">
        <f t="shared" si="0"/>
        <v>#N/A</v>
      </c>
      <c r="AD23" s="33" t="e">
        <f>VLOOKUP(S23,Data!$QH$2:$QI$4,2,FALSE)</f>
        <v>#N/A</v>
      </c>
      <c r="AF23" s="172" t="e">
        <f t="shared" si="1"/>
        <v>#N/A</v>
      </c>
      <c r="AI23" s="172" t="b">
        <f>IF(W23=Data!$KK$2,Data!$KM$1,IF(W23=Data!$KK$3,Data!$KN$1,IF(W23=Data!$KK$4,Data!$KP$1,IF(W23=Data!$KK$5,Data!$KQ$1))))</f>
        <v>0</v>
      </c>
      <c r="AJ23" s="33" t="str">
        <f>IF(D23=Data!$W$10,Data!$QJ$1,Data!$QK$1)</f>
        <v>RollerControl</v>
      </c>
      <c r="AM23" s="33" t="b">
        <f>IF(S23=Data!$PX$2,Data!$PZ$1,IF(S23=Data!$PX$3,Data!$PY$1,IF(S23=Data!$PX$4,Data!$QA$1)))</f>
        <v>0</v>
      </c>
      <c r="AO23" s="33" t="b">
        <f>IF(S23=Data!$PX$3,Data!$QB$1,IF(S23=Data!$PX$2,Data!$QC$1,IF(S23=Data!$PX$4,Data!$QD$1)))</f>
        <v>0</v>
      </c>
      <c r="AQ23" s="33" t="str">
        <f>IF(D23=Data!$W$3,Data!$QF$1,IF(D23=Data!$W$4,Data!$QF$1,IF(D23=Data!$W$5,Data!$QF$1,IF(D23=Data!$W$6,Data!$QF$1,IF(D23=Data!$W$7,Data!$QF$1,IF(D23=Data!$W$8,Data!$QF$1,IF(D23=Data!$W$9,Data!$QF$1,IF(D23=Data!$W$10,Data!$QE$1,IF(D23=Data!$W$11,Data!$QF$1,IF(D23=Data!$W$12,Data!$QF$1,IF(D23=Data!$W$13,Data!$QF$1,IF(D23=Data!$W$14,Data!$QF$1,IF(D23=Data!$W$15,Data!$QF$1,IF(D23=Data!$W$16,Data!$QF$1))))))))))))))</f>
        <v>RollerBracketType2</v>
      </c>
      <c r="BA23" s="40" t="str">
        <f>IF(AND(F23&lt;2130, OR(G23&lt;2100)),Data!$KS$1,Data!$KT$1)</f>
        <v>Small_Tube</v>
      </c>
      <c r="BB23" s="172" t="e">
        <f>MATCH(W23,Data!$LA$1:$LD$1,0)</f>
        <v>#N/A</v>
      </c>
      <c r="BC23" s="172">
        <f>MATCH('Roller Blinds'!BA23,Data!$KZ$2:$KZ$3,0)</f>
        <v>1</v>
      </c>
      <c r="BD23" s="172" t="e">
        <f>INDEX(Data!$LA$2:$LD$3,'Roller Blinds'!BC23,'Roller Blinds'!BB23)</f>
        <v>#N/A</v>
      </c>
      <c r="BG23" s="172" t="b">
        <f>IF(O23=Data!$QK$2,Data!$QL$1,IF(O23=Data!$QK$3,Data!$QM$1,IF(O23=Data!$QK$4,Data!$QN$1,IF(O23=Data!$QK$5,Data!$QO$1,IF(O23=Data!$QK$6,Data!$QP$1,IF(O23=Data!$QK$7,Data!$QQ$1,IF(O23=Data!$QK$8,Data!$QR$1,IF(O23=Data!$QK$9,Data!$QS$1, IF(O23=Data!$QK$10,Data!$QV$1, IF(O23=Data!$QK$11,Data!$QW$1))))))))))</f>
        <v>0</v>
      </c>
      <c r="BH23" s="33" t="b">
        <f>IF(O23=Data!$QK$2,Data!$QL$17,IF(O23=Data!$QK$3,Data!$QM$17,IF(O23=Data!$QK$4,Data!$QN$17,IF(O23=Data!$QK$5,Data!$QO$17,IF(O23=Data!$QK$6,Data!$QP$17,IF(O23=Data!$QK$7,Data!$QQ$17,IF(O23=Data!$QK$8,Data!$QR$17,IF(O23=Data!$QK$9,Data!$QS$17,IF(O23=Data!$QK$10,Data!$QV$17,IF(O23=Data!$QK$11,Data!$QW$17))))))))))</f>
        <v>0</v>
      </c>
      <c r="BI23" s="33" t="e">
        <f>VLOOKUP(O23,Data!$PU$13:$PV$22,2,FALSE)</f>
        <v>#N/A</v>
      </c>
      <c r="BJ23" s="33" t="e">
        <f>MATCH('Roller Blinds'!D23,Data!$AAK$2:$AAK$15)</f>
        <v>#N/A</v>
      </c>
      <c r="BK23" s="33" t="e">
        <f>MATCH(L23,Data!$AAL$1:$AAM$1)</f>
        <v>#N/A</v>
      </c>
      <c r="BL23" s="33" t="e">
        <f>INDEX(Data!$AAL$2:$AAM$15,BJ23,BK23)</f>
        <v>#N/A</v>
      </c>
    </row>
    <row r="24" spans="1:64" ht="30" customHeight="1" thickTop="1" thickBot="1">
      <c r="A24" s="52">
        <v>17</v>
      </c>
      <c r="B24" s="17"/>
      <c r="C24" s="17"/>
      <c r="D24" s="19"/>
      <c r="E24" s="15"/>
      <c r="F24" s="10"/>
      <c r="G24" s="10"/>
      <c r="H24" s="14"/>
      <c r="I24" s="14"/>
      <c r="J24" s="563"/>
      <c r="K24" s="564"/>
      <c r="L24" s="15"/>
      <c r="M24" s="15"/>
      <c r="N24" s="15"/>
      <c r="O24" s="580"/>
      <c r="P24" s="581"/>
      <c r="Q24" s="13"/>
      <c r="R24" s="13"/>
      <c r="S24" s="13"/>
      <c r="T24" s="13"/>
      <c r="U24" s="13"/>
      <c r="V24" s="13"/>
      <c r="W24" s="13"/>
      <c r="X24" s="15"/>
      <c r="Y24" s="16"/>
      <c r="Z24" s="175"/>
      <c r="AA24" s="229"/>
      <c r="AB24" s="230"/>
      <c r="AC24" s="33" t="e">
        <f t="shared" si="0"/>
        <v>#N/A</v>
      </c>
      <c r="AD24" s="33" t="e">
        <f>VLOOKUP(S24,Data!$QH$2:$QI$4,2,FALSE)</f>
        <v>#N/A</v>
      </c>
      <c r="AF24" s="172" t="e">
        <f t="shared" si="1"/>
        <v>#N/A</v>
      </c>
      <c r="AI24" s="172" t="b">
        <f>IF(W24=Data!$KK$2,Data!$KM$1,IF(W24=Data!$KK$3,Data!$KN$1,IF(W24=Data!$KK$4,Data!$KP$1,IF(W24=Data!$KK$5,Data!$KQ$1))))</f>
        <v>0</v>
      </c>
      <c r="AJ24" s="33" t="str">
        <f>IF(D24=Data!$W$10,Data!$QJ$1,Data!$QK$1)</f>
        <v>RollerControl</v>
      </c>
      <c r="AM24" s="33" t="b">
        <f>IF(S24=Data!$PX$2,Data!$PZ$1,IF(S24=Data!$PX$3,Data!$PY$1,IF(S24=Data!$PX$4,Data!$QA$1)))</f>
        <v>0</v>
      </c>
      <c r="AO24" s="33" t="b">
        <f>IF(S24=Data!$PX$3,Data!$QB$1,IF(S24=Data!$PX$2,Data!$QC$1,IF(S24=Data!$PX$4,Data!$QD$1)))</f>
        <v>0</v>
      </c>
      <c r="AQ24" s="33" t="str">
        <f>IF(D24=Data!$W$3,Data!$QF$1,IF(D24=Data!$W$4,Data!$QF$1,IF(D24=Data!$W$5,Data!$QF$1,IF(D24=Data!$W$6,Data!$QF$1,IF(D24=Data!$W$7,Data!$QF$1,IF(D24=Data!$W$8,Data!$QF$1,IF(D24=Data!$W$9,Data!$QF$1,IF(D24=Data!$W$10,Data!$QE$1,IF(D24=Data!$W$11,Data!$QF$1,IF(D24=Data!$W$12,Data!$QF$1,IF(D24=Data!$W$13,Data!$QF$1,IF(D24=Data!$W$14,Data!$QF$1,IF(D24=Data!$W$15,Data!$QF$1,IF(D24=Data!$W$16,Data!$QF$1))))))))))))))</f>
        <v>RollerBracketType2</v>
      </c>
      <c r="BA24" s="40" t="str">
        <f>IF(AND(F24&lt;2130, OR(G24&lt;2100)),Data!$KS$1,Data!$KT$1)</f>
        <v>Small_Tube</v>
      </c>
      <c r="BB24" s="172" t="e">
        <f>MATCH(W24,Data!$LA$1:$LD$1,0)</f>
        <v>#N/A</v>
      </c>
      <c r="BC24" s="172">
        <f>MATCH('Roller Blinds'!BA24,Data!$KZ$2:$KZ$3,0)</f>
        <v>1</v>
      </c>
      <c r="BD24" s="172" t="e">
        <f>INDEX(Data!$LA$2:$LD$3,'Roller Blinds'!BC24,'Roller Blinds'!BB24)</f>
        <v>#N/A</v>
      </c>
      <c r="BG24" s="172" t="b">
        <f>IF(O24=Data!$QK$2,Data!$QL$1,IF(O24=Data!$QK$3,Data!$QM$1,IF(O24=Data!$QK$4,Data!$QN$1,IF(O24=Data!$QK$5,Data!$QO$1,IF(O24=Data!$QK$6,Data!$QP$1,IF(O24=Data!$QK$7,Data!$QQ$1,IF(O24=Data!$QK$8,Data!$QR$1,IF(O24=Data!$QK$9,Data!$QS$1, IF(O24=Data!$QK$10,Data!$QV$1, IF(O24=Data!$QK$11,Data!$QW$1))))))))))</f>
        <v>0</v>
      </c>
      <c r="BH24" s="33" t="b">
        <f>IF(O24=Data!$QK$2,Data!$QL$17,IF(O24=Data!$QK$3,Data!$QM$17,IF(O24=Data!$QK$4,Data!$QN$17,IF(O24=Data!$QK$5,Data!$QO$17,IF(O24=Data!$QK$6,Data!$QP$17,IF(O24=Data!$QK$7,Data!$QQ$17,IF(O24=Data!$QK$8,Data!$QR$17,IF(O24=Data!$QK$9,Data!$QS$17,IF(O24=Data!$QK$10,Data!$QV$17,IF(O24=Data!$QK$11,Data!$QW$17))))))))))</f>
        <v>0</v>
      </c>
      <c r="BI24" s="33" t="e">
        <f>VLOOKUP(O24,Data!$PU$13:$PV$22,2,FALSE)</f>
        <v>#N/A</v>
      </c>
      <c r="BJ24" s="33" t="e">
        <f>MATCH('Roller Blinds'!D24,Data!$AAK$2:$AAK$15)</f>
        <v>#N/A</v>
      </c>
      <c r="BK24" s="33" t="e">
        <f>MATCH(L24,Data!$AAL$1:$AAM$1)</f>
        <v>#N/A</v>
      </c>
      <c r="BL24" s="33" t="e">
        <f>INDEX(Data!$AAL$2:$AAM$15,BJ24,BK24)</f>
        <v>#N/A</v>
      </c>
    </row>
    <row r="25" spans="1:64" ht="30" customHeight="1" thickTop="1" thickBot="1">
      <c r="A25" s="52">
        <v>18</v>
      </c>
      <c r="B25" s="17"/>
      <c r="C25" s="17"/>
      <c r="D25" s="19"/>
      <c r="E25" s="15"/>
      <c r="F25" s="10"/>
      <c r="G25" s="10"/>
      <c r="H25" s="14"/>
      <c r="I25" s="14"/>
      <c r="J25" s="563"/>
      <c r="K25" s="564"/>
      <c r="L25" s="15"/>
      <c r="M25" s="15"/>
      <c r="N25" s="15"/>
      <c r="O25" s="580"/>
      <c r="P25" s="581"/>
      <c r="Q25" s="13"/>
      <c r="R25" s="13"/>
      <c r="S25" s="13"/>
      <c r="T25" s="13"/>
      <c r="U25" s="13"/>
      <c r="V25" s="13"/>
      <c r="W25" s="13"/>
      <c r="X25" s="15"/>
      <c r="Y25" s="16"/>
      <c r="Z25" s="175"/>
      <c r="AA25" s="229"/>
      <c r="AB25" s="230"/>
      <c r="AC25" s="33" t="e">
        <f t="shared" si="0"/>
        <v>#N/A</v>
      </c>
      <c r="AD25" s="33" t="e">
        <f>VLOOKUP(S25,Data!$QH$2:$QI$4,2,FALSE)</f>
        <v>#N/A</v>
      </c>
      <c r="AF25" s="172" t="e">
        <f t="shared" si="1"/>
        <v>#N/A</v>
      </c>
      <c r="AI25" s="172" t="b">
        <f>IF(W25=Data!$KK$2,Data!$KM$1,IF(W25=Data!$KK$3,Data!$KN$1,IF(W25=Data!$KK$4,Data!$KP$1,IF(W25=Data!$KK$5,Data!$KQ$1))))</f>
        <v>0</v>
      </c>
      <c r="AJ25" s="33" t="str">
        <f>IF(D25=Data!$W$10,Data!$QJ$1,Data!$QK$1)</f>
        <v>RollerControl</v>
      </c>
      <c r="AM25" s="33" t="b">
        <f>IF(S25=Data!$PX$2,Data!$PZ$1,IF(S25=Data!$PX$3,Data!$PY$1,IF(S25=Data!$PX$4,Data!$QA$1)))</f>
        <v>0</v>
      </c>
      <c r="AO25" s="33" t="b">
        <f>IF(S25=Data!$PX$3,Data!$QB$1,IF(S25=Data!$PX$2,Data!$QC$1,IF(S25=Data!$PX$4,Data!$QD$1)))</f>
        <v>0</v>
      </c>
      <c r="AQ25" s="33" t="str">
        <f>IF(D25=Data!$W$3,Data!$QF$1,IF(D25=Data!$W$4,Data!$QF$1,IF(D25=Data!$W$5,Data!$QF$1,IF(D25=Data!$W$6,Data!$QF$1,IF(D25=Data!$W$7,Data!$QF$1,IF(D25=Data!$W$8,Data!$QF$1,IF(D25=Data!$W$9,Data!$QF$1,IF(D25=Data!$W$10,Data!$QE$1,IF(D25=Data!$W$11,Data!$QF$1,IF(D25=Data!$W$12,Data!$QF$1,IF(D25=Data!$W$13,Data!$QF$1,IF(D25=Data!$W$14,Data!$QF$1,IF(D25=Data!$W$15,Data!$QF$1,IF(D25=Data!$W$16,Data!$QF$1))))))))))))))</f>
        <v>RollerBracketType2</v>
      </c>
      <c r="BA25" s="40" t="str">
        <f>IF(AND(F25&lt;2130, OR(G25&lt;2100)),Data!$KS$1,Data!$KT$1)</f>
        <v>Small_Tube</v>
      </c>
      <c r="BB25" s="172" t="e">
        <f>MATCH(W25,Data!$LA$1:$LD$1,0)</f>
        <v>#N/A</v>
      </c>
      <c r="BC25" s="172">
        <f>MATCH('Roller Blinds'!BA25,Data!$KZ$2:$KZ$3,0)</f>
        <v>1</v>
      </c>
      <c r="BD25" s="172" t="e">
        <f>INDEX(Data!$LA$2:$LD$3,'Roller Blinds'!BC25,'Roller Blinds'!BB25)</f>
        <v>#N/A</v>
      </c>
      <c r="BG25" s="172" t="b">
        <f>IF(O25=Data!$QK$2,Data!$QL$1,IF(O25=Data!$QK$3,Data!$QM$1,IF(O25=Data!$QK$4,Data!$QN$1,IF(O25=Data!$QK$5,Data!$QO$1,IF(O25=Data!$QK$6,Data!$QP$1,IF(O25=Data!$QK$7,Data!$QQ$1,IF(O25=Data!$QK$8,Data!$QR$1,IF(O25=Data!$QK$9,Data!$QS$1, IF(O25=Data!$QK$10,Data!$QV$1, IF(O25=Data!$QK$11,Data!$QW$1))))))))))</f>
        <v>0</v>
      </c>
      <c r="BH25" s="33" t="b">
        <f>IF(O25=Data!$QK$2,Data!$QL$17,IF(O25=Data!$QK$3,Data!$QM$17,IF(O25=Data!$QK$4,Data!$QN$17,IF(O25=Data!$QK$5,Data!$QO$17,IF(O25=Data!$QK$6,Data!$QP$17,IF(O25=Data!$QK$7,Data!$QQ$17,IF(O25=Data!$QK$8,Data!$QR$17,IF(O25=Data!$QK$9,Data!$QS$17,IF(O25=Data!$QK$10,Data!$QV$17,IF(O25=Data!$QK$11,Data!$QW$17))))))))))</f>
        <v>0</v>
      </c>
      <c r="BI25" s="33" t="e">
        <f>VLOOKUP(O25,Data!$PU$13:$PV$22,2,FALSE)</f>
        <v>#N/A</v>
      </c>
      <c r="BJ25" s="33" t="e">
        <f>MATCH('Roller Blinds'!D25,Data!$AAK$2:$AAK$15)</f>
        <v>#N/A</v>
      </c>
      <c r="BK25" s="33" t="e">
        <f>MATCH(L25,Data!$AAL$1:$AAM$1)</f>
        <v>#N/A</v>
      </c>
      <c r="BL25" s="33" t="e">
        <f>INDEX(Data!$AAL$2:$AAM$15,BJ25,BK25)</f>
        <v>#N/A</v>
      </c>
    </row>
    <row r="26" spans="1:64" ht="30" customHeight="1" thickTop="1" thickBot="1">
      <c r="A26" s="52">
        <v>19</v>
      </c>
      <c r="B26" s="17"/>
      <c r="C26" s="17"/>
      <c r="D26" s="19"/>
      <c r="E26" s="15"/>
      <c r="F26" s="10"/>
      <c r="G26" s="10"/>
      <c r="H26" s="14"/>
      <c r="I26" s="14"/>
      <c r="J26" s="563"/>
      <c r="K26" s="564"/>
      <c r="L26" s="15"/>
      <c r="M26" s="15"/>
      <c r="N26" s="15"/>
      <c r="O26" s="580"/>
      <c r="P26" s="581"/>
      <c r="Q26" s="13"/>
      <c r="R26" s="13"/>
      <c r="S26" s="13"/>
      <c r="T26" s="13"/>
      <c r="U26" s="13"/>
      <c r="V26" s="13"/>
      <c r="W26" s="13"/>
      <c r="X26" s="15"/>
      <c r="Y26" s="16"/>
      <c r="Z26" s="175"/>
      <c r="AA26" s="229"/>
      <c r="AB26" s="230"/>
      <c r="AC26" s="33" t="e">
        <f t="shared" si="0"/>
        <v>#N/A</v>
      </c>
      <c r="AD26" s="33" t="e">
        <f>VLOOKUP(S26,Data!$QH$2:$QI$4,2,FALSE)</f>
        <v>#N/A</v>
      </c>
      <c r="AF26" s="172" t="e">
        <f t="shared" si="1"/>
        <v>#N/A</v>
      </c>
      <c r="AI26" s="172" t="b">
        <f>IF(W26=Data!$KK$2,Data!$KM$1,IF(W26=Data!$KK$3,Data!$KN$1,IF(W26=Data!$KK$4,Data!$KP$1,IF(W26=Data!$KK$5,Data!$KQ$1))))</f>
        <v>0</v>
      </c>
      <c r="AJ26" s="33" t="str">
        <f>IF(D26=Data!$W$10,Data!$QJ$1,Data!$QK$1)</f>
        <v>RollerControl</v>
      </c>
      <c r="AM26" s="33" t="b">
        <f>IF(S26=Data!$PX$2,Data!$PZ$1,IF(S26=Data!$PX$3,Data!$PY$1,IF(S26=Data!$PX$4,Data!$QA$1)))</f>
        <v>0</v>
      </c>
      <c r="AO26" s="33" t="b">
        <f>IF(S26=Data!$PX$3,Data!$QB$1,IF(S26=Data!$PX$2,Data!$QC$1,IF(S26=Data!$PX$4,Data!$QD$1)))</f>
        <v>0</v>
      </c>
      <c r="AQ26" s="33" t="str">
        <f>IF(D26=Data!$W$3,Data!$QF$1,IF(D26=Data!$W$4,Data!$QF$1,IF(D26=Data!$W$5,Data!$QF$1,IF(D26=Data!$W$6,Data!$QF$1,IF(D26=Data!$W$7,Data!$QF$1,IF(D26=Data!$W$8,Data!$QF$1,IF(D26=Data!$W$9,Data!$QF$1,IF(D26=Data!$W$10,Data!$QE$1,IF(D26=Data!$W$11,Data!$QF$1,IF(D26=Data!$W$12,Data!$QF$1,IF(D26=Data!$W$13,Data!$QF$1,IF(D26=Data!$W$14,Data!$QF$1,IF(D26=Data!$W$15,Data!$QF$1,IF(D26=Data!$W$16,Data!$QF$1))))))))))))))</f>
        <v>RollerBracketType2</v>
      </c>
      <c r="BA26" s="40" t="str">
        <f>IF(AND(F26&lt;2130, OR(G26&lt;2100)),Data!$KS$1,Data!$KT$1)</f>
        <v>Small_Tube</v>
      </c>
      <c r="BB26" s="172" t="e">
        <f>MATCH(W26,Data!$LA$1:$LD$1,0)</f>
        <v>#N/A</v>
      </c>
      <c r="BC26" s="172">
        <f>MATCH('Roller Blinds'!BA26,Data!$KZ$2:$KZ$3,0)</f>
        <v>1</v>
      </c>
      <c r="BD26" s="172" t="e">
        <f>INDEX(Data!$LA$2:$LD$3,'Roller Blinds'!BC26,'Roller Blinds'!BB26)</f>
        <v>#N/A</v>
      </c>
      <c r="BG26" s="172" t="b">
        <f>IF(O26=Data!$QK$2,Data!$QL$1,IF(O26=Data!$QK$3,Data!$QM$1,IF(O26=Data!$QK$4,Data!$QN$1,IF(O26=Data!$QK$5,Data!$QO$1,IF(O26=Data!$QK$6,Data!$QP$1,IF(O26=Data!$QK$7,Data!$QQ$1,IF(O26=Data!$QK$8,Data!$QR$1,IF(O26=Data!$QK$9,Data!$QS$1, IF(O26=Data!$QK$10,Data!$QV$1, IF(O26=Data!$QK$11,Data!$QW$1))))))))))</f>
        <v>0</v>
      </c>
      <c r="BH26" s="33" t="b">
        <f>IF(O26=Data!$QK$2,Data!$QL$17,IF(O26=Data!$QK$3,Data!$QM$17,IF(O26=Data!$QK$4,Data!$QN$17,IF(O26=Data!$QK$5,Data!$QO$17,IF(O26=Data!$QK$6,Data!$QP$17,IF(O26=Data!$QK$7,Data!$QQ$17,IF(O26=Data!$QK$8,Data!$QR$17,IF(O26=Data!$QK$9,Data!$QS$17,IF(O26=Data!$QK$10,Data!$QV$17,IF(O26=Data!$QK$11,Data!$QW$17))))))))))</f>
        <v>0</v>
      </c>
      <c r="BI26" s="33" t="e">
        <f>VLOOKUP(O26,Data!$PU$13:$PV$22,2,FALSE)</f>
        <v>#N/A</v>
      </c>
      <c r="BJ26" s="33" t="e">
        <f>MATCH('Roller Blinds'!D26,Data!$AAK$2:$AAK$15)</f>
        <v>#N/A</v>
      </c>
      <c r="BK26" s="33" t="e">
        <f>MATCH(L26,Data!$AAL$1:$AAM$1)</f>
        <v>#N/A</v>
      </c>
      <c r="BL26" s="33" t="e">
        <f>INDEX(Data!$AAL$2:$AAM$15,BJ26,BK26)</f>
        <v>#N/A</v>
      </c>
    </row>
    <row r="27" spans="1:64" ht="30" customHeight="1" thickTop="1" thickBot="1">
      <c r="A27" s="52">
        <v>20</v>
      </c>
      <c r="B27" s="13"/>
      <c r="C27" s="13"/>
      <c r="D27" s="13"/>
      <c r="E27" s="15"/>
      <c r="F27" s="10"/>
      <c r="G27" s="10"/>
      <c r="H27" s="14"/>
      <c r="I27" s="14"/>
      <c r="J27" s="563"/>
      <c r="K27" s="564"/>
      <c r="L27" s="15"/>
      <c r="M27" s="15"/>
      <c r="N27" s="15"/>
      <c r="O27" s="580"/>
      <c r="P27" s="581"/>
      <c r="Q27" s="13"/>
      <c r="R27" s="13"/>
      <c r="S27" s="13"/>
      <c r="T27" s="13"/>
      <c r="U27" s="13"/>
      <c r="V27" s="13"/>
      <c r="W27" s="13"/>
      <c r="X27" s="15"/>
      <c r="Y27" s="16"/>
      <c r="Z27" s="175"/>
      <c r="AA27" s="229"/>
      <c r="AB27" s="230"/>
      <c r="AC27" s="33" t="e">
        <f t="shared" si="0"/>
        <v>#N/A</v>
      </c>
      <c r="AD27" s="33" t="e">
        <f>VLOOKUP(S27,Data!$QH$2:$QI$4,2,FALSE)</f>
        <v>#N/A</v>
      </c>
      <c r="AF27" s="172" t="e">
        <f t="shared" si="1"/>
        <v>#N/A</v>
      </c>
      <c r="AI27" s="172" t="b">
        <f>IF(W27=Data!$KK$2,Data!$KM$1,IF(W27=Data!$KK$3,Data!$KN$1,IF(W27=Data!$KK$4,Data!$KP$1,IF(W27=Data!$KK$5,Data!$KQ$1))))</f>
        <v>0</v>
      </c>
      <c r="AJ27" s="33" t="str">
        <f>IF(D27=Data!$W$10,Data!$QJ$1,Data!$QK$1)</f>
        <v>RollerControl</v>
      </c>
      <c r="AM27" s="33" t="b">
        <f>IF(S27=Data!$PX$2,Data!$PZ$1,IF(S27=Data!$PX$3,Data!$PY$1,IF(S27=Data!$PX$4,Data!$QA$1)))</f>
        <v>0</v>
      </c>
      <c r="AO27" s="33" t="b">
        <f>IF(S27=Data!$PX$3,Data!$QB$1,IF(S27=Data!$PX$2,Data!$QC$1,IF(S27=Data!$PX$4,Data!$QD$1)))</f>
        <v>0</v>
      </c>
      <c r="AQ27" s="33" t="str">
        <f>IF(D27=Data!$W$3,Data!$QF$1,IF(D27=Data!$W$4,Data!$QF$1,IF(D27=Data!$W$5,Data!$QF$1,IF(D27=Data!$W$6,Data!$QF$1,IF(D27=Data!$W$7,Data!$QF$1,IF(D27=Data!$W$8,Data!$QF$1,IF(D27=Data!$W$9,Data!$QF$1,IF(D27=Data!$W$10,Data!$QE$1,IF(D27=Data!$W$11,Data!$QF$1,IF(D27=Data!$W$12,Data!$QF$1,IF(D27=Data!$W$13,Data!$QF$1,IF(D27=Data!$W$14,Data!$QF$1,IF(D27=Data!$W$15,Data!$QF$1,IF(D27=Data!$W$16,Data!$QF$1))))))))))))))</f>
        <v>RollerBracketType2</v>
      </c>
      <c r="BA27" s="40" t="str">
        <f>IF(AND(F27&lt;2130, OR(G27&lt;2100)),Data!$KS$1,Data!$KT$1)</f>
        <v>Small_Tube</v>
      </c>
      <c r="BB27" s="172" t="e">
        <f>MATCH(W27,Data!$LA$1:$LD$1,0)</f>
        <v>#N/A</v>
      </c>
      <c r="BC27" s="172">
        <f>MATCH('Roller Blinds'!BA27,Data!$KZ$2:$KZ$3,0)</f>
        <v>1</v>
      </c>
      <c r="BD27" s="172" t="e">
        <f>INDEX(Data!$LA$2:$LD$3,'Roller Blinds'!BC27,'Roller Blinds'!BB27)</f>
        <v>#N/A</v>
      </c>
      <c r="BG27" s="172" t="b">
        <f>IF(O27=Data!$QK$2,Data!$QL$1,IF(O27=Data!$QK$3,Data!$QM$1,IF(O27=Data!$QK$4,Data!$QN$1,IF(O27=Data!$QK$5,Data!$QO$1,IF(O27=Data!$QK$6,Data!$QP$1,IF(O27=Data!$QK$7,Data!$QQ$1,IF(O27=Data!$QK$8,Data!$QR$1,IF(O27=Data!$QK$9,Data!$QS$1, IF(O27=Data!$QK$10,Data!$QV$1, IF(O27=Data!$QK$11,Data!$QW$1))))))))))</f>
        <v>0</v>
      </c>
      <c r="BH27" s="33" t="b">
        <f>IF(O27=Data!$QK$2,Data!$QL$17,IF(O27=Data!$QK$3,Data!$QM$17,IF(O27=Data!$QK$4,Data!$QN$17,IF(O27=Data!$QK$5,Data!$QO$17,IF(O27=Data!$QK$6,Data!$QP$17,IF(O27=Data!$QK$7,Data!$QQ$17,IF(O27=Data!$QK$8,Data!$QR$17,IF(O27=Data!$QK$9,Data!$QS$17,IF(O27=Data!$QK$10,Data!$QV$17,IF(O27=Data!$QK$11,Data!$QW$17))))))))))</f>
        <v>0</v>
      </c>
      <c r="BI27" s="33" t="e">
        <f>VLOOKUP(O27,Data!$PU$13:$PV$22,2,FALSE)</f>
        <v>#N/A</v>
      </c>
      <c r="BJ27" s="33" t="e">
        <f>MATCH('Roller Blinds'!D27,Data!$AAK$2:$AAK$15)</f>
        <v>#N/A</v>
      </c>
      <c r="BK27" s="33" t="e">
        <f>MATCH(L27,Data!$AAL$1:$AAM$1)</f>
        <v>#N/A</v>
      </c>
      <c r="BL27" s="33" t="e">
        <f>INDEX(Data!$AAL$2:$AAM$15,BJ27,BK27)</f>
        <v>#N/A</v>
      </c>
    </row>
    <row r="28" spans="1:64" ht="30" customHeight="1" thickTop="1" thickBot="1">
      <c r="A28" s="52">
        <v>21</v>
      </c>
      <c r="B28" s="13"/>
      <c r="C28" s="13"/>
      <c r="D28" s="19"/>
      <c r="E28" s="15"/>
      <c r="F28" s="10"/>
      <c r="G28" s="10"/>
      <c r="H28" s="14"/>
      <c r="I28" s="14"/>
      <c r="J28" s="563"/>
      <c r="K28" s="564"/>
      <c r="L28" s="15"/>
      <c r="M28" s="15"/>
      <c r="N28" s="15"/>
      <c r="O28" s="580"/>
      <c r="P28" s="581"/>
      <c r="Q28" s="13"/>
      <c r="R28" s="13"/>
      <c r="S28" s="13"/>
      <c r="T28" s="13"/>
      <c r="U28" s="13"/>
      <c r="V28" s="13"/>
      <c r="W28" s="13"/>
      <c r="X28" s="15"/>
      <c r="Y28" s="16"/>
      <c r="Z28" s="175"/>
      <c r="AA28" s="229"/>
      <c r="AB28" s="230"/>
      <c r="AC28" s="33" t="e">
        <f t="shared" si="0"/>
        <v>#N/A</v>
      </c>
      <c r="AD28" s="33" t="e">
        <f>VLOOKUP(S28,Data!$QH$2:$QI$4,2,FALSE)</f>
        <v>#N/A</v>
      </c>
      <c r="AF28" s="172" t="e">
        <f t="shared" si="1"/>
        <v>#N/A</v>
      </c>
      <c r="AI28" s="172" t="b">
        <f>IF(W28=Data!$KK$2,Data!$KM$1,IF(W28=Data!$KK$3,Data!$KN$1,IF(W28=Data!$KK$4,Data!$KP$1,IF(W28=Data!$KK$5,Data!$KQ$1))))</f>
        <v>0</v>
      </c>
      <c r="AJ28" s="33" t="str">
        <f>IF(D28=Data!$W$10,Data!$QJ$1,Data!$QK$1)</f>
        <v>RollerControl</v>
      </c>
      <c r="AM28" s="33" t="b">
        <f>IF(S28=Data!$PX$2,Data!$PZ$1,IF(S28=Data!$PX$3,Data!$PY$1,IF(S28=Data!$PX$4,Data!$QA$1)))</f>
        <v>0</v>
      </c>
      <c r="AO28" s="33" t="b">
        <f>IF(S28=Data!$PX$3,Data!$QB$1,IF(S28=Data!$PX$2,Data!$QC$1,IF(S28=Data!$PX$4,Data!$QD$1)))</f>
        <v>0</v>
      </c>
      <c r="AQ28" s="33" t="str">
        <f>IF(D28=Data!$W$3,Data!$QF$1,IF(D28=Data!$W$4,Data!$QF$1,IF(D28=Data!$W$5,Data!$QF$1,IF(D28=Data!$W$6,Data!$QF$1,IF(D28=Data!$W$7,Data!$QF$1,IF(D28=Data!$W$8,Data!$QF$1,IF(D28=Data!$W$9,Data!$QF$1,IF(D28=Data!$W$10,Data!$QE$1,IF(D28=Data!$W$11,Data!$QF$1,IF(D28=Data!$W$12,Data!$QF$1,IF(D28=Data!$W$13,Data!$QF$1,IF(D28=Data!$W$14,Data!$QF$1,IF(D28=Data!$W$15,Data!$QF$1,IF(D28=Data!$W$16,Data!$QF$1))))))))))))))</f>
        <v>RollerBracketType2</v>
      </c>
      <c r="BA28" s="40" t="str">
        <f>IF(AND(F28&lt;2130, OR(G28&lt;2100)),Data!$KS$1,Data!$KT$1)</f>
        <v>Small_Tube</v>
      </c>
      <c r="BB28" s="172" t="e">
        <f>MATCH(W28,Data!$LA$1:$LD$1,0)</f>
        <v>#N/A</v>
      </c>
      <c r="BC28" s="172">
        <f>MATCH('Roller Blinds'!BA28,Data!$KZ$2:$KZ$3,0)</f>
        <v>1</v>
      </c>
      <c r="BD28" s="172" t="e">
        <f>INDEX(Data!$LA$2:$LD$3,'Roller Blinds'!BC28,'Roller Blinds'!BB28)</f>
        <v>#N/A</v>
      </c>
      <c r="BG28" s="172" t="b">
        <f>IF(O28=Data!$QK$2,Data!$QL$1,IF(O28=Data!$QK$3,Data!$QM$1,IF(O28=Data!$QK$4,Data!$QN$1,IF(O28=Data!$QK$5,Data!$QO$1,IF(O28=Data!$QK$6,Data!$QP$1,IF(O28=Data!$QK$7,Data!$QQ$1,IF(O28=Data!$QK$8,Data!$QR$1,IF(O28=Data!$QK$9,Data!$QS$1, IF(O28=Data!$QK$10,Data!$QV$1, IF(O28=Data!$QK$11,Data!$QW$1))))))))))</f>
        <v>0</v>
      </c>
      <c r="BH28" s="33" t="b">
        <f>IF(O28=Data!$QK$2,Data!$QL$17,IF(O28=Data!$QK$3,Data!$QM$17,IF(O28=Data!$QK$4,Data!$QN$17,IF(O28=Data!$QK$5,Data!$QO$17,IF(O28=Data!$QK$6,Data!$QP$17,IF(O28=Data!$QK$7,Data!$QQ$17,IF(O28=Data!$QK$8,Data!$QR$17,IF(O28=Data!$QK$9,Data!$QS$17,IF(O28=Data!$QK$10,Data!$QV$17,IF(O28=Data!$QK$11,Data!$QW$17))))))))))</f>
        <v>0</v>
      </c>
      <c r="BI28" s="33" t="e">
        <f>VLOOKUP(O28,Data!$PU$13:$PV$22,2,FALSE)</f>
        <v>#N/A</v>
      </c>
      <c r="BJ28" s="33" t="e">
        <f>MATCH('Roller Blinds'!D28,Data!$AAK$2:$AAK$15)</f>
        <v>#N/A</v>
      </c>
      <c r="BK28" s="33" t="e">
        <f>MATCH(L28,Data!$AAL$1:$AAM$1)</f>
        <v>#N/A</v>
      </c>
      <c r="BL28" s="33" t="e">
        <f>INDEX(Data!$AAL$2:$AAM$15,BJ28,BK28)</f>
        <v>#N/A</v>
      </c>
    </row>
    <row r="29" spans="1:64" ht="30" customHeight="1" thickTop="1" thickBot="1">
      <c r="A29" s="52">
        <v>22</v>
      </c>
      <c r="B29" s="13"/>
      <c r="C29" s="13"/>
      <c r="D29" s="19"/>
      <c r="E29" s="15"/>
      <c r="F29" s="10"/>
      <c r="G29" s="10"/>
      <c r="H29" s="14"/>
      <c r="I29" s="14"/>
      <c r="J29" s="563"/>
      <c r="K29" s="564"/>
      <c r="L29" s="15"/>
      <c r="M29" s="15"/>
      <c r="N29" s="15"/>
      <c r="O29" s="580"/>
      <c r="P29" s="581"/>
      <c r="Q29" s="13"/>
      <c r="R29" s="13"/>
      <c r="S29" s="13"/>
      <c r="T29" s="13"/>
      <c r="U29" s="13"/>
      <c r="V29" s="13"/>
      <c r="W29" s="13"/>
      <c r="X29" s="15"/>
      <c r="Y29" s="16"/>
      <c r="Z29" s="175"/>
      <c r="AA29" s="229"/>
      <c r="AB29" s="230"/>
      <c r="AC29" s="33" t="e">
        <f t="shared" si="0"/>
        <v>#N/A</v>
      </c>
      <c r="AD29" s="33" t="e">
        <f>VLOOKUP(S29,Data!$QH$2:$QI$4,2,FALSE)</f>
        <v>#N/A</v>
      </c>
      <c r="AF29" s="172" t="e">
        <f t="shared" si="1"/>
        <v>#N/A</v>
      </c>
      <c r="AI29" s="172" t="b">
        <f>IF(W29=Data!$KK$2,Data!$KM$1,IF(W29=Data!$KK$3,Data!$KN$1,IF(W29=Data!$KK$4,Data!$KP$1,IF(W29=Data!$KK$5,Data!$KQ$1))))</f>
        <v>0</v>
      </c>
      <c r="AJ29" s="33" t="str">
        <f>IF(D29=Data!$W$10,Data!$QJ$1,Data!$QK$1)</f>
        <v>RollerControl</v>
      </c>
      <c r="AM29" s="33" t="b">
        <f>IF(S29=Data!$PX$2,Data!$PZ$1,IF(S29=Data!$PX$3,Data!$PY$1,IF(S29=Data!$PX$4,Data!$QA$1)))</f>
        <v>0</v>
      </c>
      <c r="AO29" s="33" t="b">
        <f>IF(S29=Data!$PX$3,Data!$QB$1,IF(S29=Data!$PX$2,Data!$QC$1,IF(S29=Data!$PX$4,Data!$QD$1)))</f>
        <v>0</v>
      </c>
      <c r="AQ29" s="33" t="str">
        <f>IF(D29=Data!$W$3,Data!$QF$1,IF(D29=Data!$W$4,Data!$QF$1,IF(D29=Data!$W$5,Data!$QF$1,IF(D29=Data!$W$6,Data!$QF$1,IF(D29=Data!$W$7,Data!$QF$1,IF(D29=Data!$W$8,Data!$QF$1,IF(D29=Data!$W$9,Data!$QF$1,IF(D29=Data!$W$10,Data!$QE$1,IF(D29=Data!$W$11,Data!$QF$1,IF(D29=Data!$W$12,Data!$QF$1,IF(D29=Data!$W$13,Data!$QF$1,IF(D29=Data!$W$14,Data!$QF$1,IF(D29=Data!$W$15,Data!$QF$1,IF(D29=Data!$W$16,Data!$QF$1))))))))))))))</f>
        <v>RollerBracketType2</v>
      </c>
      <c r="BA29" s="40" t="str">
        <f>IF(AND(F29&lt;2130, OR(G29&lt;2100)),Data!$KS$1,Data!$KT$1)</f>
        <v>Small_Tube</v>
      </c>
      <c r="BB29" s="172" t="e">
        <f>MATCH(W29,Data!$LA$1:$LD$1,0)</f>
        <v>#N/A</v>
      </c>
      <c r="BC29" s="172">
        <f>MATCH('Roller Blinds'!BA29,Data!$KZ$2:$KZ$3,0)</f>
        <v>1</v>
      </c>
      <c r="BD29" s="172" t="e">
        <f>INDEX(Data!$LA$2:$LD$3,'Roller Blinds'!BC29,'Roller Blinds'!BB29)</f>
        <v>#N/A</v>
      </c>
      <c r="BG29" s="172" t="b">
        <f>IF(O29=Data!$QK$2,Data!$QL$1,IF(O29=Data!$QK$3,Data!$QM$1,IF(O29=Data!$QK$4,Data!$QN$1,IF(O29=Data!$QK$5,Data!$QO$1,IF(O29=Data!$QK$6,Data!$QP$1,IF(O29=Data!$QK$7,Data!$QQ$1,IF(O29=Data!$QK$8,Data!$QR$1,IF(O29=Data!$QK$9,Data!$QS$1, IF(O29=Data!$QK$10,Data!$QV$1, IF(O29=Data!$QK$11,Data!$QW$1))))))))))</f>
        <v>0</v>
      </c>
      <c r="BH29" s="33" t="b">
        <f>IF(O29=Data!$QK$2,Data!$QL$17,IF(O29=Data!$QK$3,Data!$QM$17,IF(O29=Data!$QK$4,Data!$QN$17,IF(O29=Data!$QK$5,Data!$QO$17,IF(O29=Data!$QK$6,Data!$QP$17,IF(O29=Data!$QK$7,Data!$QQ$17,IF(O29=Data!$QK$8,Data!$QR$17,IF(O29=Data!$QK$9,Data!$QS$17,IF(O29=Data!$QK$10,Data!$QV$17,IF(O29=Data!$QK$11,Data!$QW$17))))))))))</f>
        <v>0</v>
      </c>
      <c r="BI29" s="33" t="e">
        <f>VLOOKUP(O29,Data!$PU$13:$PV$22,2,FALSE)</f>
        <v>#N/A</v>
      </c>
      <c r="BJ29" s="33" t="e">
        <f>MATCH('Roller Blinds'!D29,Data!$AAK$2:$AAK$15)</f>
        <v>#N/A</v>
      </c>
      <c r="BK29" s="33" t="e">
        <f>MATCH(L29,Data!$AAL$1:$AAM$1)</f>
        <v>#N/A</v>
      </c>
      <c r="BL29" s="33" t="e">
        <f>INDEX(Data!$AAL$2:$AAM$15,BJ29,BK29)</f>
        <v>#N/A</v>
      </c>
    </row>
    <row r="30" spans="1:64" ht="30" customHeight="1" thickTop="1" thickBot="1">
      <c r="A30" s="52">
        <v>23</v>
      </c>
      <c r="B30" s="13"/>
      <c r="C30" s="13"/>
      <c r="D30" s="13"/>
      <c r="E30" s="15"/>
      <c r="F30" s="10"/>
      <c r="G30" s="10"/>
      <c r="H30" s="14"/>
      <c r="I30" s="14"/>
      <c r="J30" s="563"/>
      <c r="K30" s="564"/>
      <c r="L30" s="15"/>
      <c r="M30" s="15"/>
      <c r="N30" s="15"/>
      <c r="O30" s="580"/>
      <c r="P30" s="581"/>
      <c r="Q30" s="13"/>
      <c r="R30" s="13"/>
      <c r="S30" s="13"/>
      <c r="T30" s="13"/>
      <c r="U30" s="13"/>
      <c r="V30" s="13"/>
      <c r="W30" s="13"/>
      <c r="X30" s="15"/>
      <c r="Y30" s="16"/>
      <c r="Z30" s="175"/>
      <c r="AA30" s="229"/>
      <c r="AB30" s="230"/>
      <c r="AC30" s="33" t="e">
        <f t="shared" si="0"/>
        <v>#N/A</v>
      </c>
      <c r="AD30" s="33" t="e">
        <f>VLOOKUP(S30,Data!$QH$2:$QI$4,2,FALSE)</f>
        <v>#N/A</v>
      </c>
      <c r="AF30" s="172" t="e">
        <f t="shared" si="1"/>
        <v>#N/A</v>
      </c>
      <c r="AI30" s="172" t="b">
        <f>IF(W30=Data!$KK$2,Data!$KM$1,IF(W30=Data!$KK$3,Data!$KN$1,IF(W30=Data!$KK$4,Data!$KP$1,IF(W30=Data!$KK$5,Data!$KQ$1))))</f>
        <v>0</v>
      </c>
      <c r="AJ30" s="33" t="str">
        <f>IF(D30=Data!$W$10,Data!$QJ$1,Data!$QK$1)</f>
        <v>RollerControl</v>
      </c>
      <c r="AM30" s="33" t="b">
        <f>IF(S30=Data!$PX$2,Data!$PZ$1,IF(S30=Data!$PX$3,Data!$PY$1,IF(S30=Data!$PX$4,Data!$QA$1)))</f>
        <v>0</v>
      </c>
      <c r="AO30" s="33" t="b">
        <f>IF(S30=Data!$PX$3,Data!$QB$1,IF(S30=Data!$PX$2,Data!$QC$1,IF(S30=Data!$PX$4,Data!$QD$1)))</f>
        <v>0</v>
      </c>
      <c r="AQ30" s="33" t="str">
        <f>IF(D30=Data!$W$3,Data!$QF$1,IF(D30=Data!$W$4,Data!$QF$1,IF(D30=Data!$W$5,Data!$QF$1,IF(D30=Data!$W$6,Data!$QF$1,IF(D30=Data!$W$7,Data!$QF$1,IF(D30=Data!$W$8,Data!$QF$1,IF(D30=Data!$W$9,Data!$QF$1,IF(D30=Data!$W$10,Data!$QE$1,IF(D30=Data!$W$11,Data!$QF$1,IF(D30=Data!$W$12,Data!$QF$1,IF(D30=Data!$W$13,Data!$QF$1,IF(D30=Data!$W$14,Data!$QF$1,IF(D30=Data!$W$15,Data!$QF$1,IF(D30=Data!$W$16,Data!$QF$1))))))))))))))</f>
        <v>RollerBracketType2</v>
      </c>
      <c r="BA30" s="40" t="str">
        <f>IF(AND(F30&lt;2130, OR(G30&lt;2100)),Data!$KS$1,Data!$KT$1)</f>
        <v>Small_Tube</v>
      </c>
      <c r="BB30" s="172" t="e">
        <f>MATCH(W30,Data!$LA$1:$LD$1,0)</f>
        <v>#N/A</v>
      </c>
      <c r="BC30" s="172">
        <f>MATCH('Roller Blinds'!BA30,Data!$KZ$2:$KZ$3,0)</f>
        <v>1</v>
      </c>
      <c r="BD30" s="172" t="e">
        <f>INDEX(Data!$LA$2:$LD$3,'Roller Blinds'!BC30,'Roller Blinds'!BB30)</f>
        <v>#N/A</v>
      </c>
      <c r="BG30" s="172" t="b">
        <f>IF(O30=Data!$QK$2,Data!$QL$1,IF(O30=Data!$QK$3,Data!$QM$1,IF(O30=Data!$QK$4,Data!$QN$1,IF(O30=Data!$QK$5,Data!$QO$1,IF(O30=Data!$QK$6,Data!$QP$1,IF(O30=Data!$QK$7,Data!$QQ$1,IF(O30=Data!$QK$8,Data!$QR$1,IF(O30=Data!$QK$9,Data!$QS$1, IF(O30=Data!$QK$10,Data!$QV$1, IF(O30=Data!$QK$11,Data!$QW$1))))))))))</f>
        <v>0</v>
      </c>
      <c r="BH30" s="33" t="b">
        <f>IF(O30=Data!$QK$2,Data!$QL$17,IF(O30=Data!$QK$3,Data!$QM$17,IF(O30=Data!$QK$4,Data!$QN$17,IF(O30=Data!$QK$5,Data!$QO$17,IF(O30=Data!$QK$6,Data!$QP$17,IF(O30=Data!$QK$7,Data!$QQ$17,IF(O30=Data!$QK$8,Data!$QR$17,IF(O30=Data!$QK$9,Data!$QS$17,IF(O30=Data!$QK$10,Data!$QV$17,IF(O30=Data!$QK$11,Data!$QW$17))))))))))</f>
        <v>0</v>
      </c>
      <c r="BI30" s="33" t="e">
        <f>VLOOKUP(O30,Data!$PU$13:$PV$22,2,FALSE)</f>
        <v>#N/A</v>
      </c>
      <c r="BJ30" s="33" t="e">
        <f>MATCH('Roller Blinds'!D30,Data!$AAK$2:$AAK$15)</f>
        <v>#N/A</v>
      </c>
      <c r="BK30" s="33" t="e">
        <f>MATCH(L30,Data!$AAL$1:$AAM$1)</f>
        <v>#N/A</v>
      </c>
      <c r="BL30" s="33" t="e">
        <f>INDEX(Data!$AAL$2:$AAM$15,BJ30,BK30)</f>
        <v>#N/A</v>
      </c>
    </row>
    <row r="31" spans="1:64" ht="30" customHeight="1" thickTop="1" thickBot="1">
      <c r="A31" s="52">
        <v>24</v>
      </c>
      <c r="B31" s="13"/>
      <c r="C31" s="13"/>
      <c r="D31" s="19"/>
      <c r="E31" s="15"/>
      <c r="F31" s="10"/>
      <c r="G31" s="10"/>
      <c r="H31" s="14"/>
      <c r="I31" s="10"/>
      <c r="J31" s="586"/>
      <c r="K31" s="587"/>
      <c r="L31" s="18"/>
      <c r="M31" s="15"/>
      <c r="N31" s="18"/>
      <c r="O31" s="580"/>
      <c r="P31" s="581"/>
      <c r="Q31" s="13"/>
      <c r="R31" s="13"/>
      <c r="S31" s="13"/>
      <c r="T31" s="13"/>
      <c r="U31" s="13"/>
      <c r="V31" s="13"/>
      <c r="W31" s="13"/>
      <c r="X31" s="15"/>
      <c r="Y31" s="16"/>
      <c r="Z31" s="175"/>
      <c r="AA31" s="229"/>
      <c r="AB31" s="230"/>
      <c r="AC31" s="33" t="e">
        <f t="shared" si="0"/>
        <v>#N/A</v>
      </c>
      <c r="AD31" s="33" t="e">
        <f>VLOOKUP(S31,Data!$QH$2:$QI$4,2,FALSE)</f>
        <v>#N/A</v>
      </c>
      <c r="AF31" s="172" t="e">
        <f t="shared" si="1"/>
        <v>#N/A</v>
      </c>
      <c r="AI31" s="172" t="b">
        <f>IF(W31=Data!$KK$2,Data!$KM$1,IF(W31=Data!$KK$3,Data!$KN$1,IF(W31=Data!$KK$4,Data!$KP$1,IF(W31=Data!$KK$5,Data!$KQ$1))))</f>
        <v>0</v>
      </c>
      <c r="AJ31" s="33" t="str">
        <f>IF(D31=Data!$W$10,Data!$QJ$1,Data!$QK$1)</f>
        <v>RollerControl</v>
      </c>
      <c r="AM31" s="33" t="b">
        <f>IF(S31=Data!$PX$2,Data!$PZ$1,IF(S31=Data!$PX$3,Data!$PY$1,IF(S31=Data!$PX$4,Data!$QA$1)))</f>
        <v>0</v>
      </c>
      <c r="AO31" s="33" t="b">
        <f>IF(S31=Data!$PX$3,Data!$QB$1,IF(S31=Data!$PX$2,Data!$QC$1,IF(S31=Data!$PX$4,Data!$QD$1)))</f>
        <v>0</v>
      </c>
      <c r="AQ31" s="33" t="str">
        <f>IF(D31=Data!$W$3,Data!$QF$1,IF(D31=Data!$W$4,Data!$QF$1,IF(D31=Data!$W$5,Data!$QF$1,IF(D31=Data!$W$6,Data!$QF$1,IF(D31=Data!$W$7,Data!$QF$1,IF(D31=Data!$W$8,Data!$QF$1,IF(D31=Data!$W$9,Data!$QF$1,IF(D31=Data!$W$10,Data!$QE$1,IF(D31=Data!$W$11,Data!$QF$1,IF(D31=Data!$W$12,Data!$QF$1,IF(D31=Data!$W$13,Data!$QF$1,IF(D31=Data!$W$14,Data!$QF$1,IF(D31=Data!$W$15,Data!$QF$1,IF(D31=Data!$W$16,Data!$QF$1))))))))))))))</f>
        <v>RollerBracketType2</v>
      </c>
      <c r="BA31" s="40" t="str">
        <f>IF(AND(F31&lt;2130, OR(G31&lt;2100)),Data!$KS$1,Data!$KT$1)</f>
        <v>Small_Tube</v>
      </c>
      <c r="BB31" s="172" t="e">
        <f>MATCH(W31,Data!$LA$1:$LD$1,0)</f>
        <v>#N/A</v>
      </c>
      <c r="BC31" s="172">
        <f>MATCH('Roller Blinds'!BA31,Data!$KZ$2:$KZ$3,0)</f>
        <v>1</v>
      </c>
      <c r="BD31" s="172" t="e">
        <f>INDEX(Data!$LA$2:$LD$3,'Roller Blinds'!BC31,'Roller Blinds'!BB31)</f>
        <v>#N/A</v>
      </c>
      <c r="BG31" s="172" t="b">
        <f>IF(O31=Data!$QK$2,Data!$QL$1,IF(O31=Data!$QK$3,Data!$QM$1,IF(O31=Data!$QK$4,Data!$QN$1,IF(O31=Data!$QK$5,Data!$QO$1,IF(O31=Data!$QK$6,Data!$QP$1,IF(O31=Data!$QK$7,Data!$QQ$1,IF(O31=Data!$QK$8,Data!$QR$1,IF(O31=Data!$QK$9,Data!$QS$1, IF(O31=Data!$QK$10,Data!$QV$1, IF(O31=Data!$QK$11,Data!$QW$1))))))))))</f>
        <v>0</v>
      </c>
      <c r="BH31" s="33" t="b">
        <f>IF(O31=Data!$QK$2,Data!$QL$17,IF(O31=Data!$QK$3,Data!$QM$17,IF(O31=Data!$QK$4,Data!$QN$17,IF(O31=Data!$QK$5,Data!$QO$17,IF(O31=Data!$QK$6,Data!$QP$17,IF(O31=Data!$QK$7,Data!$QQ$17,IF(O31=Data!$QK$8,Data!$QR$17,IF(O31=Data!$QK$9,Data!$QS$17,IF(O31=Data!$QK$10,Data!$QV$17,IF(O31=Data!$QK$11,Data!$QW$17))))))))))</f>
        <v>0</v>
      </c>
      <c r="BI31" s="33" t="e">
        <f>VLOOKUP(O31,Data!$PU$13:$PV$22,2,FALSE)</f>
        <v>#N/A</v>
      </c>
      <c r="BJ31" s="33" t="e">
        <f>MATCH('Roller Blinds'!D31,Data!$AAK$2:$AAK$15)</f>
        <v>#N/A</v>
      </c>
      <c r="BK31" s="33" t="e">
        <f>MATCH(L31,Data!$AAL$1:$AAM$1)</f>
        <v>#N/A</v>
      </c>
      <c r="BL31" s="33" t="e">
        <f>INDEX(Data!$AAL$2:$AAM$15,BJ31,BK31)</f>
        <v>#N/A</v>
      </c>
    </row>
    <row r="32" spans="1:64" ht="30" customHeight="1" thickTop="1" thickBot="1">
      <c r="A32" s="52">
        <v>25</v>
      </c>
      <c r="B32" s="13"/>
      <c r="C32" s="13"/>
      <c r="D32" s="19"/>
      <c r="E32" s="15"/>
      <c r="F32" s="10"/>
      <c r="G32" s="10"/>
      <c r="H32" s="14"/>
      <c r="I32" s="14"/>
      <c r="J32" s="563"/>
      <c r="K32" s="564"/>
      <c r="L32" s="15"/>
      <c r="M32" s="15"/>
      <c r="N32" s="15"/>
      <c r="O32" s="580"/>
      <c r="P32" s="581"/>
      <c r="Q32" s="13"/>
      <c r="R32" s="13"/>
      <c r="S32" s="13"/>
      <c r="T32" s="13"/>
      <c r="U32" s="13"/>
      <c r="V32" s="13"/>
      <c r="W32" s="13"/>
      <c r="X32" s="15"/>
      <c r="Y32" s="16"/>
      <c r="Z32" s="175"/>
      <c r="AA32" s="229"/>
      <c r="AB32" s="230"/>
      <c r="AC32" s="33" t="e">
        <f t="shared" si="0"/>
        <v>#N/A</v>
      </c>
      <c r="AD32" s="33" t="e">
        <f>VLOOKUP(S32,Data!$QH$2:$QI$4,2,FALSE)</f>
        <v>#N/A</v>
      </c>
      <c r="AF32" s="172" t="e">
        <f t="shared" si="1"/>
        <v>#N/A</v>
      </c>
      <c r="AI32" s="172" t="b">
        <f>IF(W32=Data!$KK$2,Data!$KM$1,IF(W32=Data!$KK$3,Data!$KN$1,IF(W32=Data!$KK$4,Data!$KP$1,IF(W32=Data!$KK$5,Data!$KQ$1))))</f>
        <v>0</v>
      </c>
      <c r="AJ32" s="33" t="str">
        <f>IF(D32=Data!$W$10,Data!$QJ$1,Data!$QK$1)</f>
        <v>RollerControl</v>
      </c>
      <c r="AM32" s="33" t="b">
        <f>IF(S32=Data!$PX$2,Data!$PZ$1,IF(S32=Data!$PX$3,Data!$PY$1,IF(S32=Data!$PX$4,Data!$QA$1)))</f>
        <v>0</v>
      </c>
      <c r="AO32" s="33" t="b">
        <f>IF(S32=Data!$PX$3,Data!$QB$1,IF(S32=Data!$PX$2,Data!$QC$1,IF(S32=Data!$PX$4,Data!$QD$1)))</f>
        <v>0</v>
      </c>
      <c r="AQ32" s="33" t="str">
        <f>IF(D32=Data!$W$3,Data!$QF$1,IF(D32=Data!$W$4,Data!$QF$1,IF(D32=Data!$W$5,Data!$QF$1,IF(D32=Data!$W$6,Data!$QF$1,IF(D32=Data!$W$7,Data!$QF$1,IF(D32=Data!$W$8,Data!$QF$1,IF(D32=Data!$W$9,Data!$QF$1,IF(D32=Data!$W$10,Data!$QE$1,IF(D32=Data!$W$11,Data!$QF$1,IF(D32=Data!$W$12,Data!$QF$1,IF(D32=Data!$W$13,Data!$QF$1,IF(D32=Data!$W$14,Data!$QF$1,IF(D32=Data!$W$15,Data!$QF$1,IF(D32=Data!$W$16,Data!$QF$1))))))))))))))</f>
        <v>RollerBracketType2</v>
      </c>
      <c r="BA32" s="40" t="str">
        <f>IF(AND(F32&lt;2130, OR(G32&lt;2100)),Data!$KS$1,Data!$KT$1)</f>
        <v>Small_Tube</v>
      </c>
      <c r="BB32" s="172" t="e">
        <f>MATCH(W32,Data!$LA$1:$LD$1,0)</f>
        <v>#N/A</v>
      </c>
      <c r="BC32" s="172">
        <f>MATCH('Roller Blinds'!BA32,Data!$KZ$2:$KZ$3,0)</f>
        <v>1</v>
      </c>
      <c r="BD32" s="172" t="e">
        <f>INDEX(Data!$LA$2:$LD$3,'Roller Blinds'!BC32,'Roller Blinds'!BB32)</f>
        <v>#N/A</v>
      </c>
      <c r="BG32" s="172" t="b">
        <f>IF(O32=Data!$QK$2,Data!$QL$1,IF(O32=Data!$QK$3,Data!$QM$1,IF(O32=Data!$QK$4,Data!$QN$1,IF(O32=Data!$QK$5,Data!$QO$1,IF(O32=Data!$QK$6,Data!$QP$1,IF(O32=Data!$QK$7,Data!$QQ$1,IF(O32=Data!$QK$8,Data!$QR$1,IF(O32=Data!$QK$9,Data!$QS$1, IF(O32=Data!$QK$10,Data!$QV$1, IF(O32=Data!$QK$11,Data!$QW$1))))))))))</f>
        <v>0</v>
      </c>
      <c r="BH32" s="33" t="b">
        <f>IF(O32=Data!$QK$2,Data!$QL$17,IF(O32=Data!$QK$3,Data!$QM$17,IF(O32=Data!$QK$4,Data!$QN$17,IF(O32=Data!$QK$5,Data!$QO$17,IF(O32=Data!$QK$6,Data!$QP$17,IF(O32=Data!$QK$7,Data!$QQ$17,IF(O32=Data!$QK$8,Data!$QR$17,IF(O32=Data!$QK$9,Data!$QS$17,IF(O32=Data!$QK$10,Data!$QV$17,IF(O32=Data!$QK$11,Data!$QW$17))))))))))</f>
        <v>0</v>
      </c>
      <c r="BI32" s="33" t="e">
        <f>VLOOKUP(O32,Data!$PU$13:$PV$22,2,FALSE)</f>
        <v>#N/A</v>
      </c>
      <c r="BJ32" s="33" t="e">
        <f>MATCH('Roller Blinds'!D32,Data!$AAK$2:$AAK$15)</f>
        <v>#N/A</v>
      </c>
      <c r="BK32" s="33" t="e">
        <f>MATCH(L32,Data!$AAL$1:$AAM$1)</f>
        <v>#N/A</v>
      </c>
      <c r="BL32" s="33" t="e">
        <f>INDEX(Data!$AAL$2:$AAM$15,BJ32,BK32)</f>
        <v>#N/A</v>
      </c>
    </row>
    <row r="33" spans="1:64" ht="30" customHeight="1" thickTop="1" thickBot="1">
      <c r="A33" s="52">
        <v>26</v>
      </c>
      <c r="B33" s="13"/>
      <c r="C33" s="13"/>
      <c r="D33" s="19"/>
      <c r="E33" s="15"/>
      <c r="F33" s="10"/>
      <c r="G33" s="10"/>
      <c r="H33" s="14"/>
      <c r="I33" s="14"/>
      <c r="J33" s="563"/>
      <c r="K33" s="564"/>
      <c r="L33" s="15"/>
      <c r="M33" s="15"/>
      <c r="N33" s="15"/>
      <c r="O33" s="580"/>
      <c r="P33" s="581"/>
      <c r="Q33" s="13"/>
      <c r="R33" s="13"/>
      <c r="S33" s="13"/>
      <c r="T33" s="13"/>
      <c r="U33" s="13"/>
      <c r="V33" s="13"/>
      <c r="W33" s="13"/>
      <c r="X33" s="15"/>
      <c r="Y33" s="16"/>
      <c r="Z33" s="175"/>
      <c r="AA33" s="229"/>
      <c r="AB33" s="230"/>
      <c r="AC33" s="33" t="e">
        <f t="shared" si="0"/>
        <v>#N/A</v>
      </c>
      <c r="AD33" s="33" t="e">
        <f>VLOOKUP(S33,Data!$QH$2:$QI$4,2,FALSE)</f>
        <v>#N/A</v>
      </c>
      <c r="AF33" s="172" t="e">
        <f t="shared" si="1"/>
        <v>#N/A</v>
      </c>
      <c r="AI33" s="172" t="b">
        <f>IF(W33=Data!$KK$2,Data!$KM$1,IF(W33=Data!$KK$3,Data!$KN$1,IF(W33=Data!$KK$4,Data!$KP$1,IF(W33=Data!$KK$5,Data!$KQ$1))))</f>
        <v>0</v>
      </c>
      <c r="AJ33" s="33" t="str">
        <f>IF(D33=Data!$W$10,Data!$QJ$1,Data!$QK$1)</f>
        <v>RollerControl</v>
      </c>
      <c r="AM33" s="33" t="b">
        <f>IF(S33=Data!$PX$2,Data!$PZ$1,IF(S33=Data!$PX$3,Data!$PY$1,IF(S33=Data!$PX$4,Data!$QA$1)))</f>
        <v>0</v>
      </c>
      <c r="AO33" s="33" t="b">
        <f>IF(S33=Data!$PX$3,Data!$QB$1,IF(S33=Data!$PX$2,Data!$QC$1,IF(S33=Data!$PX$4,Data!$QD$1)))</f>
        <v>0</v>
      </c>
      <c r="AQ33" s="33" t="str">
        <f>IF(D33=Data!$W$3,Data!$QF$1,IF(D33=Data!$W$4,Data!$QF$1,IF(D33=Data!$W$5,Data!$QF$1,IF(D33=Data!$W$6,Data!$QF$1,IF(D33=Data!$W$7,Data!$QF$1,IF(D33=Data!$W$8,Data!$QF$1,IF(D33=Data!$W$9,Data!$QF$1,IF(D33=Data!$W$10,Data!$QE$1,IF(D33=Data!$W$11,Data!$QF$1,IF(D33=Data!$W$12,Data!$QF$1,IF(D33=Data!$W$13,Data!$QF$1,IF(D33=Data!$W$14,Data!$QF$1,IF(D33=Data!$W$15,Data!$QF$1,IF(D33=Data!$W$16,Data!$QF$1))))))))))))))</f>
        <v>RollerBracketType2</v>
      </c>
      <c r="BA33" s="40" t="str">
        <f>IF(AND(F33&lt;2130, OR(G33&lt;2100)),Data!$KS$1,Data!$KT$1)</f>
        <v>Small_Tube</v>
      </c>
      <c r="BB33" s="172" t="e">
        <f>MATCH(W33,Data!$LA$1:$LD$1,0)</f>
        <v>#N/A</v>
      </c>
      <c r="BC33" s="172">
        <f>MATCH('Roller Blinds'!BA33,Data!$KZ$2:$KZ$3,0)</f>
        <v>1</v>
      </c>
      <c r="BD33" s="172" t="e">
        <f>INDEX(Data!$LA$2:$LD$3,'Roller Blinds'!BC33,'Roller Blinds'!BB33)</f>
        <v>#N/A</v>
      </c>
      <c r="BG33" s="172" t="b">
        <f>IF(O33=Data!$QK$2,Data!$QL$1,IF(O33=Data!$QK$3,Data!$QM$1,IF(O33=Data!$QK$4,Data!$QN$1,IF(O33=Data!$QK$5,Data!$QO$1,IF(O33=Data!$QK$6,Data!$QP$1,IF(O33=Data!$QK$7,Data!$QQ$1,IF(O33=Data!$QK$8,Data!$QR$1,IF(O33=Data!$QK$9,Data!$QS$1, IF(O33=Data!$QK$10,Data!$QV$1, IF(O33=Data!$QK$11,Data!$QW$1))))))))))</f>
        <v>0</v>
      </c>
      <c r="BH33" s="33" t="b">
        <f>IF(O33=Data!$QK$2,Data!$QL$17,IF(O33=Data!$QK$3,Data!$QM$17,IF(O33=Data!$QK$4,Data!$QN$17,IF(O33=Data!$QK$5,Data!$QO$17,IF(O33=Data!$QK$6,Data!$QP$17,IF(O33=Data!$QK$7,Data!$QQ$17,IF(O33=Data!$QK$8,Data!$QR$17,IF(O33=Data!$QK$9,Data!$QS$17,IF(O33=Data!$QK$10,Data!$QV$17,IF(O33=Data!$QK$11,Data!$QW$17))))))))))</f>
        <v>0</v>
      </c>
      <c r="BI33" s="33" t="e">
        <f>VLOOKUP(O33,Data!$PU$13:$PV$22,2,FALSE)</f>
        <v>#N/A</v>
      </c>
      <c r="BJ33" s="33" t="e">
        <f>MATCH('Roller Blinds'!D33,Data!$AAK$2:$AAK$15)</f>
        <v>#N/A</v>
      </c>
      <c r="BK33" s="33" t="e">
        <f>MATCH(L33,Data!$AAL$1:$AAM$1)</f>
        <v>#N/A</v>
      </c>
      <c r="BL33" s="33" t="e">
        <f>INDEX(Data!$AAL$2:$AAM$15,BJ33,BK33)</f>
        <v>#N/A</v>
      </c>
    </row>
    <row r="34" spans="1:64" ht="30" customHeight="1" thickTop="1" thickBot="1">
      <c r="A34" s="52">
        <v>27</v>
      </c>
      <c r="B34" s="13"/>
      <c r="C34" s="13"/>
      <c r="D34" s="19"/>
      <c r="E34" s="15"/>
      <c r="F34" s="10"/>
      <c r="G34" s="10"/>
      <c r="H34" s="14"/>
      <c r="I34" s="14"/>
      <c r="J34" s="563"/>
      <c r="K34" s="564"/>
      <c r="L34" s="15"/>
      <c r="M34" s="15"/>
      <c r="N34" s="15"/>
      <c r="O34" s="580"/>
      <c r="P34" s="581"/>
      <c r="Q34" s="13"/>
      <c r="R34" s="13"/>
      <c r="S34" s="13"/>
      <c r="T34" s="13"/>
      <c r="U34" s="13"/>
      <c r="V34" s="13"/>
      <c r="W34" s="13"/>
      <c r="X34" s="15"/>
      <c r="Y34" s="16"/>
      <c r="Z34" s="175"/>
      <c r="AA34" s="229"/>
      <c r="AB34" s="230"/>
      <c r="AC34" s="33" t="e">
        <f t="shared" si="0"/>
        <v>#N/A</v>
      </c>
      <c r="AD34" s="33" t="e">
        <f>VLOOKUP(S34,Data!$QH$2:$QI$4,2,FALSE)</f>
        <v>#N/A</v>
      </c>
      <c r="AF34" s="172" t="e">
        <f t="shared" si="1"/>
        <v>#N/A</v>
      </c>
      <c r="AI34" s="172" t="b">
        <f>IF(W34=Data!$KK$2,Data!$KM$1,IF(W34=Data!$KK$3,Data!$KN$1,IF(W34=Data!$KK$4,Data!$KP$1,IF(W34=Data!$KK$5,Data!$KQ$1))))</f>
        <v>0</v>
      </c>
      <c r="AJ34" s="33" t="str">
        <f>IF(D34=Data!$W$10,Data!$QJ$1,Data!$QK$1)</f>
        <v>RollerControl</v>
      </c>
      <c r="AM34" s="33" t="b">
        <f>IF(S34=Data!$PX$2,Data!$PZ$1,IF(S34=Data!$PX$3,Data!$PY$1,IF(S34=Data!$PX$4,Data!$QA$1)))</f>
        <v>0</v>
      </c>
      <c r="AO34" s="33" t="b">
        <f>IF(S34=Data!$PX$3,Data!$QB$1,IF(S34=Data!$PX$2,Data!$QC$1,IF(S34=Data!$PX$4,Data!$QD$1)))</f>
        <v>0</v>
      </c>
      <c r="AQ34" s="33" t="str">
        <f>IF(D34=Data!$W$3,Data!$QF$1,IF(D34=Data!$W$4,Data!$QF$1,IF(D34=Data!$W$5,Data!$QF$1,IF(D34=Data!$W$6,Data!$QF$1,IF(D34=Data!$W$7,Data!$QF$1,IF(D34=Data!$W$8,Data!$QF$1,IF(D34=Data!$W$9,Data!$QF$1,IF(D34=Data!$W$10,Data!$QE$1,IF(D34=Data!$W$11,Data!$QF$1,IF(D34=Data!$W$12,Data!$QF$1,IF(D34=Data!$W$13,Data!$QF$1,IF(D34=Data!$W$14,Data!$QF$1,IF(D34=Data!$W$15,Data!$QF$1,IF(D34=Data!$W$16,Data!$QF$1))))))))))))))</f>
        <v>RollerBracketType2</v>
      </c>
      <c r="BA34" s="40" t="str">
        <f>IF(AND(F34&lt;2130, OR(G34&lt;2100)),Data!$KS$1,Data!$KT$1)</f>
        <v>Small_Tube</v>
      </c>
      <c r="BB34" s="172" t="e">
        <f>MATCH(W34,Data!$LA$1:$LD$1,0)</f>
        <v>#N/A</v>
      </c>
      <c r="BC34" s="172">
        <f>MATCH('Roller Blinds'!BA34,Data!$KZ$2:$KZ$3,0)</f>
        <v>1</v>
      </c>
      <c r="BD34" s="172" t="e">
        <f>INDEX(Data!$LA$2:$LD$3,'Roller Blinds'!BC34,'Roller Blinds'!BB34)</f>
        <v>#N/A</v>
      </c>
      <c r="BG34" s="172" t="b">
        <f>IF(O34=Data!$QK$2,Data!$QL$1,IF(O34=Data!$QK$3,Data!$QM$1,IF(O34=Data!$QK$4,Data!$QN$1,IF(O34=Data!$QK$5,Data!$QO$1,IF(O34=Data!$QK$6,Data!$QP$1,IF(O34=Data!$QK$7,Data!$QQ$1,IF(O34=Data!$QK$8,Data!$QR$1,IF(O34=Data!$QK$9,Data!$QS$1, IF(O34=Data!$QK$10,Data!$QV$1, IF(O34=Data!$QK$11,Data!$QW$1))))))))))</f>
        <v>0</v>
      </c>
      <c r="BH34" s="33" t="b">
        <f>IF(O34=Data!$QK$2,Data!$QL$17,IF(O34=Data!$QK$3,Data!$QM$17,IF(O34=Data!$QK$4,Data!$QN$17,IF(O34=Data!$QK$5,Data!$QO$17,IF(O34=Data!$QK$6,Data!$QP$17,IF(O34=Data!$QK$7,Data!$QQ$17,IF(O34=Data!$QK$8,Data!$QR$17,IF(O34=Data!$QK$9,Data!$QS$17,IF(O34=Data!$QK$10,Data!$QV$17,IF(O34=Data!$QK$11,Data!$QW$17))))))))))</f>
        <v>0</v>
      </c>
      <c r="BI34" s="33" t="e">
        <f>VLOOKUP(O34,Data!$PU$13:$PV$22,2,FALSE)</f>
        <v>#N/A</v>
      </c>
      <c r="BJ34" s="33" t="e">
        <f>MATCH('Roller Blinds'!D34,Data!$AAK$2:$AAK$15)</f>
        <v>#N/A</v>
      </c>
      <c r="BK34" s="33" t="e">
        <f>MATCH(L34,Data!$AAL$1:$AAM$1)</f>
        <v>#N/A</v>
      </c>
      <c r="BL34" s="33" t="e">
        <f>INDEX(Data!$AAL$2:$AAM$15,BJ34,BK34)</f>
        <v>#N/A</v>
      </c>
    </row>
    <row r="35" spans="1:64" ht="30" customHeight="1" thickTop="1" thickBot="1">
      <c r="A35" s="52">
        <v>28</v>
      </c>
      <c r="B35" s="13"/>
      <c r="C35" s="13"/>
      <c r="D35" s="19"/>
      <c r="E35" s="15"/>
      <c r="F35" s="10"/>
      <c r="G35" s="10"/>
      <c r="H35" s="14"/>
      <c r="I35" s="14"/>
      <c r="J35" s="563"/>
      <c r="K35" s="564"/>
      <c r="L35" s="15"/>
      <c r="M35" s="15"/>
      <c r="N35" s="15"/>
      <c r="O35" s="580"/>
      <c r="P35" s="581"/>
      <c r="Q35" s="13"/>
      <c r="R35" s="13"/>
      <c r="S35" s="13"/>
      <c r="T35" s="13"/>
      <c r="U35" s="13"/>
      <c r="V35" s="13"/>
      <c r="W35" s="13"/>
      <c r="X35" s="15"/>
      <c r="Y35" s="16"/>
      <c r="Z35" s="175"/>
      <c r="AA35" s="229"/>
      <c r="AB35" s="230"/>
      <c r="AC35" s="33" t="e">
        <f t="shared" si="0"/>
        <v>#N/A</v>
      </c>
      <c r="AD35" s="33" t="e">
        <f>VLOOKUP(S35,Data!$QH$2:$QI$4,2,FALSE)</f>
        <v>#N/A</v>
      </c>
      <c r="AF35" s="172" t="e">
        <f t="shared" si="1"/>
        <v>#N/A</v>
      </c>
      <c r="AI35" s="172" t="b">
        <f>IF(W35=Data!$KK$2,Data!$KM$1,IF(W35=Data!$KK$3,Data!$KN$1,IF(W35=Data!$KK$4,Data!$KP$1,IF(W35=Data!$KK$5,Data!$KQ$1))))</f>
        <v>0</v>
      </c>
      <c r="AJ35" s="33" t="str">
        <f>IF(D35=Data!$W$10,Data!$QJ$1,Data!$QK$1)</f>
        <v>RollerControl</v>
      </c>
      <c r="AM35" s="33" t="b">
        <f>IF(S35=Data!$PX$2,Data!$PZ$1,IF(S35=Data!$PX$3,Data!$PY$1,IF(S35=Data!$PX$4,Data!$QA$1)))</f>
        <v>0</v>
      </c>
      <c r="AO35" s="33" t="b">
        <f>IF(S35=Data!$PX$3,Data!$QB$1,IF(S35=Data!$PX$2,Data!$QC$1,IF(S35=Data!$PX$4,Data!$QD$1)))</f>
        <v>0</v>
      </c>
      <c r="AQ35" s="33" t="str">
        <f>IF(D35=Data!$W$3,Data!$QF$1,IF(D35=Data!$W$4,Data!$QF$1,IF(D35=Data!$W$5,Data!$QF$1,IF(D35=Data!$W$6,Data!$QF$1,IF(D35=Data!$W$7,Data!$QF$1,IF(D35=Data!$W$8,Data!$QF$1,IF(D35=Data!$W$9,Data!$QF$1,IF(D35=Data!$W$10,Data!$QE$1,IF(D35=Data!$W$11,Data!$QF$1,IF(D35=Data!$W$12,Data!$QF$1,IF(D35=Data!$W$13,Data!$QF$1,IF(D35=Data!$W$14,Data!$QF$1,IF(D35=Data!$W$15,Data!$QF$1,IF(D35=Data!$W$16,Data!$QF$1))))))))))))))</f>
        <v>RollerBracketType2</v>
      </c>
      <c r="BA35" s="40" t="str">
        <f>IF(AND(F35&lt;2130, OR(G35&lt;2100)),Data!$KS$1,Data!$KT$1)</f>
        <v>Small_Tube</v>
      </c>
      <c r="BB35" s="172" t="e">
        <f>MATCH(W35,Data!$LA$1:$LD$1,0)</f>
        <v>#N/A</v>
      </c>
      <c r="BC35" s="172">
        <f>MATCH('Roller Blinds'!BA35,Data!$KZ$2:$KZ$3,0)</f>
        <v>1</v>
      </c>
      <c r="BD35" s="172" t="e">
        <f>INDEX(Data!$LA$2:$LD$3,'Roller Blinds'!BC35,'Roller Blinds'!BB35)</f>
        <v>#N/A</v>
      </c>
      <c r="BG35" s="172" t="b">
        <f>IF(O35=Data!$QK$2,Data!$QL$1,IF(O35=Data!$QK$3,Data!$QM$1,IF(O35=Data!$QK$4,Data!$QN$1,IF(O35=Data!$QK$5,Data!$QO$1,IF(O35=Data!$QK$6,Data!$QP$1,IF(O35=Data!$QK$7,Data!$QQ$1,IF(O35=Data!$QK$8,Data!$QR$1,IF(O35=Data!$QK$9,Data!$QS$1, IF(O35=Data!$QK$10,Data!$QV$1, IF(O35=Data!$QK$11,Data!$QW$1))))))))))</f>
        <v>0</v>
      </c>
      <c r="BH35" s="33" t="b">
        <f>IF(O35=Data!$QK$2,Data!$QL$17,IF(O35=Data!$QK$3,Data!$QM$17,IF(O35=Data!$QK$4,Data!$QN$17,IF(O35=Data!$QK$5,Data!$QO$17,IF(O35=Data!$QK$6,Data!$QP$17,IF(O35=Data!$QK$7,Data!$QQ$17,IF(O35=Data!$QK$8,Data!$QR$17,IF(O35=Data!$QK$9,Data!$QS$17,IF(O35=Data!$QK$10,Data!$QV$17,IF(O35=Data!$QK$11,Data!$QW$17))))))))))</f>
        <v>0</v>
      </c>
      <c r="BI35" s="33" t="e">
        <f>VLOOKUP(O35,Data!$PU$13:$PV$22,2,FALSE)</f>
        <v>#N/A</v>
      </c>
      <c r="BJ35" s="33" t="e">
        <f>MATCH('Roller Blinds'!D35,Data!$AAK$2:$AAK$15)</f>
        <v>#N/A</v>
      </c>
      <c r="BK35" s="33" t="e">
        <f>MATCH(L35,Data!$AAL$1:$AAM$1)</f>
        <v>#N/A</v>
      </c>
      <c r="BL35" s="33" t="e">
        <f>INDEX(Data!$AAL$2:$AAM$15,BJ35,BK35)</f>
        <v>#N/A</v>
      </c>
    </row>
    <row r="36" spans="1:64" ht="30" customHeight="1" thickTop="1" thickBot="1">
      <c r="A36" s="52">
        <v>29</v>
      </c>
      <c r="B36" s="13"/>
      <c r="C36" s="13"/>
      <c r="D36" s="19"/>
      <c r="E36" s="15"/>
      <c r="F36" s="10"/>
      <c r="G36" s="10"/>
      <c r="H36" s="14"/>
      <c r="I36" s="14"/>
      <c r="J36" s="563"/>
      <c r="K36" s="564"/>
      <c r="L36" s="15"/>
      <c r="M36" s="15"/>
      <c r="N36" s="15"/>
      <c r="O36" s="580"/>
      <c r="P36" s="581"/>
      <c r="Q36" s="13"/>
      <c r="R36" s="13"/>
      <c r="S36" s="13"/>
      <c r="T36" s="13"/>
      <c r="U36" s="13"/>
      <c r="V36" s="13"/>
      <c r="W36" s="13"/>
      <c r="X36" s="15"/>
      <c r="Y36" s="16"/>
      <c r="Z36" s="175"/>
      <c r="AA36" s="229"/>
      <c r="AB36" s="230"/>
      <c r="AC36" s="33" t="e">
        <f t="shared" si="0"/>
        <v>#N/A</v>
      </c>
      <c r="AD36" s="33" t="e">
        <f>VLOOKUP(S36,Data!$QH$2:$QI$4,2,FALSE)</f>
        <v>#N/A</v>
      </c>
      <c r="AF36" s="172" t="e">
        <f t="shared" si="1"/>
        <v>#N/A</v>
      </c>
      <c r="AI36" s="172" t="b">
        <f>IF(W36=Data!$KK$2,Data!$KM$1,IF(W36=Data!$KK$3,Data!$KN$1,IF(W36=Data!$KK$4,Data!$KP$1,IF(W36=Data!$KK$5,Data!$KQ$1))))</f>
        <v>0</v>
      </c>
      <c r="AJ36" s="33" t="str">
        <f>IF(D36=Data!$W$10,Data!$QJ$1,Data!$QK$1)</f>
        <v>RollerControl</v>
      </c>
      <c r="AM36" s="33" t="b">
        <f>IF(S36=Data!$PX$2,Data!$PZ$1,IF(S36=Data!$PX$3,Data!$PY$1,IF(S36=Data!$PX$4,Data!$QA$1)))</f>
        <v>0</v>
      </c>
      <c r="AO36" s="33" t="b">
        <f>IF(S36=Data!$PX$3,Data!$QB$1,IF(S36=Data!$PX$2,Data!$QC$1,IF(S36=Data!$PX$4,Data!$QD$1)))</f>
        <v>0</v>
      </c>
      <c r="AQ36" s="33" t="str">
        <f>IF(D36=Data!$W$3,Data!$QF$1,IF(D36=Data!$W$4,Data!$QF$1,IF(D36=Data!$W$5,Data!$QF$1,IF(D36=Data!$W$6,Data!$QF$1,IF(D36=Data!$W$7,Data!$QF$1,IF(D36=Data!$W$8,Data!$QF$1,IF(D36=Data!$W$9,Data!$QF$1,IF(D36=Data!$W$10,Data!$QE$1,IF(D36=Data!$W$11,Data!$QF$1,IF(D36=Data!$W$12,Data!$QF$1,IF(D36=Data!$W$13,Data!$QF$1,IF(D36=Data!$W$14,Data!$QF$1,IF(D36=Data!$W$15,Data!$QF$1,IF(D36=Data!$W$16,Data!$QF$1))))))))))))))</f>
        <v>RollerBracketType2</v>
      </c>
      <c r="BA36" s="40" t="str">
        <f>IF(AND(F36&lt;2130, OR(G36&lt;2100)),Data!$KS$1,Data!$KT$1)</f>
        <v>Small_Tube</v>
      </c>
      <c r="BB36" s="172" t="e">
        <f>MATCH(W36,Data!$LA$1:$LD$1,0)</f>
        <v>#N/A</v>
      </c>
      <c r="BC36" s="172">
        <f>MATCH('Roller Blinds'!BA36,Data!$KZ$2:$KZ$3,0)</f>
        <v>1</v>
      </c>
      <c r="BD36" s="172" t="e">
        <f>INDEX(Data!$LA$2:$LD$3,'Roller Blinds'!BC36,'Roller Blinds'!BB36)</f>
        <v>#N/A</v>
      </c>
      <c r="BG36" s="172" t="b">
        <f>IF(O36=Data!$QK$2,Data!$QL$1,IF(O36=Data!$QK$3,Data!$QM$1,IF(O36=Data!$QK$4,Data!$QN$1,IF(O36=Data!$QK$5,Data!$QO$1,IF(O36=Data!$QK$6,Data!$QP$1,IF(O36=Data!$QK$7,Data!$QQ$1,IF(O36=Data!$QK$8,Data!$QR$1,IF(O36=Data!$QK$9,Data!$QS$1, IF(O36=Data!$QK$10,Data!$QV$1, IF(O36=Data!$QK$11,Data!$QW$1))))))))))</f>
        <v>0</v>
      </c>
      <c r="BH36" s="33" t="b">
        <f>IF(O36=Data!$QK$2,Data!$QL$17,IF(O36=Data!$QK$3,Data!$QM$17,IF(O36=Data!$QK$4,Data!$QN$17,IF(O36=Data!$QK$5,Data!$QO$17,IF(O36=Data!$QK$6,Data!$QP$17,IF(O36=Data!$QK$7,Data!$QQ$17,IF(O36=Data!$QK$8,Data!$QR$17,IF(O36=Data!$QK$9,Data!$QS$17,IF(O36=Data!$QK$10,Data!$QV$17,IF(O36=Data!$QK$11,Data!$QW$17))))))))))</f>
        <v>0</v>
      </c>
      <c r="BI36" s="33" t="e">
        <f>VLOOKUP(O36,Data!$PU$13:$PV$22,2,FALSE)</f>
        <v>#N/A</v>
      </c>
      <c r="BJ36" s="33" t="e">
        <f>MATCH('Roller Blinds'!D36,Data!$AAK$2:$AAK$15)</f>
        <v>#N/A</v>
      </c>
      <c r="BK36" s="33" t="e">
        <f>MATCH(L36,Data!$AAL$1:$AAM$1)</f>
        <v>#N/A</v>
      </c>
      <c r="BL36" s="33" t="e">
        <f>INDEX(Data!$AAL$2:$AAM$15,BJ36,BK36)</f>
        <v>#N/A</v>
      </c>
    </row>
    <row r="37" spans="1:64" ht="30" customHeight="1" thickTop="1" thickBot="1">
      <c r="A37" s="52">
        <v>30</v>
      </c>
      <c r="B37" s="13"/>
      <c r="C37" s="13"/>
      <c r="D37" s="19"/>
      <c r="E37" s="15"/>
      <c r="F37" s="10"/>
      <c r="G37" s="10"/>
      <c r="H37" s="14"/>
      <c r="I37" s="14"/>
      <c r="J37" s="563"/>
      <c r="K37" s="564"/>
      <c r="L37" s="15"/>
      <c r="M37" s="15"/>
      <c r="N37" s="15"/>
      <c r="O37" s="580"/>
      <c r="P37" s="581"/>
      <c r="Q37" s="13"/>
      <c r="R37" s="13"/>
      <c r="S37" s="13"/>
      <c r="T37" s="13"/>
      <c r="U37" s="13"/>
      <c r="V37" s="13"/>
      <c r="W37" s="13"/>
      <c r="X37" s="15"/>
      <c r="Y37" s="16"/>
      <c r="Z37" s="175"/>
      <c r="AA37" s="229"/>
      <c r="AB37" s="230"/>
      <c r="AC37" s="33" t="e">
        <f t="shared" si="0"/>
        <v>#N/A</v>
      </c>
      <c r="AD37" s="33" t="e">
        <f>VLOOKUP(S37,Data!$QH$2:$QI$4,2,FALSE)</f>
        <v>#N/A</v>
      </c>
      <c r="AF37" s="172" t="e">
        <f t="shared" si="1"/>
        <v>#N/A</v>
      </c>
      <c r="AI37" s="172" t="b">
        <f>IF(W37=Data!$KK$2,Data!$KM$1,IF(W37=Data!$KK$3,Data!$KN$1,IF(W37=Data!$KK$4,Data!$KP$1,IF(W37=Data!$KK$5,Data!$KQ$1))))</f>
        <v>0</v>
      </c>
      <c r="AJ37" s="33" t="str">
        <f>IF(D37=Data!$W$10,Data!$QJ$1,Data!$QK$1)</f>
        <v>RollerControl</v>
      </c>
      <c r="AM37" s="33" t="b">
        <f>IF(S37=Data!$PX$2,Data!$PZ$1,IF(S37=Data!$PX$3,Data!$PY$1,IF(S37=Data!$PX$4,Data!$QA$1)))</f>
        <v>0</v>
      </c>
      <c r="AO37" s="33" t="b">
        <f>IF(S37=Data!$PX$3,Data!$QB$1,IF(S37=Data!$PX$2,Data!$QC$1,IF(S37=Data!$PX$4,Data!$QD$1)))</f>
        <v>0</v>
      </c>
      <c r="AQ37" s="33" t="str">
        <f>IF(D37=Data!$W$3,Data!$QF$1,IF(D37=Data!$W$4,Data!$QF$1,IF(D37=Data!$W$5,Data!$QF$1,IF(D37=Data!$W$6,Data!$QF$1,IF(D37=Data!$W$7,Data!$QF$1,IF(D37=Data!$W$8,Data!$QF$1,IF(D37=Data!$W$9,Data!$QF$1,IF(D37=Data!$W$10,Data!$QE$1,IF(D37=Data!$W$11,Data!$QF$1,IF(D37=Data!$W$12,Data!$QF$1,IF(D37=Data!$W$13,Data!$QF$1,IF(D37=Data!$W$14,Data!$QF$1,IF(D37=Data!$W$15,Data!$QF$1,IF(D37=Data!$W$16,Data!$QF$1))))))))))))))</f>
        <v>RollerBracketType2</v>
      </c>
      <c r="BA37" s="40" t="str">
        <f>IF(AND(F37&lt;2130, OR(G37&lt;2100)),Data!$KS$1,Data!$KT$1)</f>
        <v>Small_Tube</v>
      </c>
      <c r="BB37" s="172" t="e">
        <f>MATCH(W37,Data!$LA$1:$LD$1,0)</f>
        <v>#N/A</v>
      </c>
      <c r="BC37" s="172">
        <f>MATCH('Roller Blinds'!BA37,Data!$KZ$2:$KZ$3,0)</f>
        <v>1</v>
      </c>
      <c r="BD37" s="172" t="e">
        <f>INDEX(Data!$LA$2:$LD$3,'Roller Blinds'!BC37,'Roller Blinds'!BB37)</f>
        <v>#N/A</v>
      </c>
      <c r="BG37" s="172" t="b">
        <f>IF(O37=Data!$QK$2,Data!$QL$1,IF(O37=Data!$QK$3,Data!$QM$1,IF(O37=Data!$QK$4,Data!$QN$1,IF(O37=Data!$QK$5,Data!$QO$1,IF(O37=Data!$QK$6,Data!$QP$1,IF(O37=Data!$QK$7,Data!$QQ$1,IF(O37=Data!$QK$8,Data!$QR$1,IF(O37=Data!$QK$9,Data!$QS$1, IF(O37=Data!$QK$10,Data!$QV$1, IF(O37=Data!$QK$11,Data!$QW$1))))))))))</f>
        <v>0</v>
      </c>
      <c r="BH37" s="33" t="b">
        <f>IF(O37=Data!$QK$2,Data!$QL$17,IF(O37=Data!$QK$3,Data!$QM$17,IF(O37=Data!$QK$4,Data!$QN$17,IF(O37=Data!$QK$5,Data!$QO$17,IF(O37=Data!$QK$6,Data!$QP$17,IF(O37=Data!$QK$7,Data!$QQ$17,IF(O37=Data!$QK$8,Data!$QR$17,IF(O37=Data!$QK$9,Data!$QS$17,IF(O37=Data!$QK$10,Data!$QV$17,IF(O37=Data!$QK$11,Data!$QW$17))))))))))</f>
        <v>0</v>
      </c>
      <c r="BI37" s="33" t="e">
        <f>VLOOKUP(O37,Data!$PU$13:$PV$22,2,FALSE)</f>
        <v>#N/A</v>
      </c>
      <c r="BJ37" s="33" t="e">
        <f>MATCH('Roller Blinds'!D37,Data!$AAK$2:$AAK$15)</f>
        <v>#N/A</v>
      </c>
      <c r="BK37" s="33" t="e">
        <f>MATCH(L37,Data!$AAL$1:$AAM$1)</f>
        <v>#N/A</v>
      </c>
      <c r="BL37" s="33" t="e">
        <f>INDEX(Data!$AAL$2:$AAM$15,BJ37,BK37)</f>
        <v>#N/A</v>
      </c>
    </row>
    <row r="38" spans="1:64" ht="30" customHeight="1" thickTop="1" thickBot="1">
      <c r="A38" s="52">
        <v>31</v>
      </c>
      <c r="B38" s="13"/>
      <c r="C38" s="13"/>
      <c r="D38" s="19"/>
      <c r="E38" s="15"/>
      <c r="F38" s="10"/>
      <c r="G38" s="10"/>
      <c r="H38" s="14"/>
      <c r="I38" s="14"/>
      <c r="J38" s="563"/>
      <c r="K38" s="564"/>
      <c r="L38" s="15"/>
      <c r="M38" s="15"/>
      <c r="N38" s="15"/>
      <c r="O38" s="580"/>
      <c r="P38" s="581"/>
      <c r="Q38" s="13"/>
      <c r="R38" s="13"/>
      <c r="S38" s="13"/>
      <c r="T38" s="13"/>
      <c r="U38" s="13"/>
      <c r="V38" s="13"/>
      <c r="W38" s="13"/>
      <c r="X38" s="15"/>
      <c r="Y38" s="16"/>
      <c r="Z38" s="175"/>
      <c r="AA38" s="229"/>
      <c r="AB38" s="230"/>
      <c r="AC38" s="33" t="e">
        <f t="shared" si="0"/>
        <v>#N/A</v>
      </c>
      <c r="AD38" s="33" t="e">
        <f>VLOOKUP(S38,Data!$QH$2:$QI$4,2,FALSE)</f>
        <v>#N/A</v>
      </c>
      <c r="AF38" s="172" t="e">
        <f t="shared" si="1"/>
        <v>#N/A</v>
      </c>
      <c r="AI38" s="172" t="b">
        <f>IF(W38=Data!$KK$2,Data!$KM$1,IF(W38=Data!$KK$3,Data!$KN$1,IF(W38=Data!$KK$4,Data!$KP$1,IF(W38=Data!$KK$5,Data!$KQ$1))))</f>
        <v>0</v>
      </c>
      <c r="AJ38" s="33" t="str">
        <f>IF(D38=Data!$W$10,Data!$QJ$1,Data!$QK$1)</f>
        <v>RollerControl</v>
      </c>
      <c r="AM38" s="33" t="b">
        <f>IF(S38=Data!$PX$2,Data!$PZ$1,IF(S38=Data!$PX$3,Data!$PY$1,IF(S38=Data!$PX$4,Data!$QA$1)))</f>
        <v>0</v>
      </c>
      <c r="AO38" s="33" t="b">
        <f>IF(S38=Data!$PX$3,Data!$QB$1,IF(S38=Data!$PX$2,Data!$QC$1,IF(S38=Data!$PX$4,Data!$QD$1)))</f>
        <v>0</v>
      </c>
      <c r="AQ38" s="33" t="str">
        <f>IF(D38=Data!$W$3,Data!$QF$1,IF(D38=Data!$W$4,Data!$QF$1,IF(D38=Data!$W$5,Data!$QF$1,IF(D38=Data!$W$6,Data!$QF$1,IF(D38=Data!$W$7,Data!$QF$1,IF(D38=Data!$W$8,Data!$QF$1,IF(D38=Data!$W$9,Data!$QF$1,IF(D38=Data!$W$10,Data!$QE$1,IF(D38=Data!$W$11,Data!$QF$1,IF(D38=Data!$W$12,Data!$QF$1,IF(D38=Data!$W$13,Data!$QF$1,IF(D38=Data!$W$14,Data!$QF$1,IF(D38=Data!$W$15,Data!$QF$1,IF(D38=Data!$W$16,Data!$QF$1))))))))))))))</f>
        <v>RollerBracketType2</v>
      </c>
      <c r="BA38" s="40" t="str">
        <f>IF(AND(F38&lt;2130, OR(G38&lt;2100)),Data!$KS$1,Data!$KT$1)</f>
        <v>Small_Tube</v>
      </c>
      <c r="BB38" s="172" t="e">
        <f>MATCH(W38,Data!$LA$1:$LD$1,0)</f>
        <v>#N/A</v>
      </c>
      <c r="BC38" s="172">
        <f>MATCH('Roller Blinds'!BA38,Data!$KZ$2:$KZ$3,0)</f>
        <v>1</v>
      </c>
      <c r="BD38" s="172" t="e">
        <f>INDEX(Data!$LA$2:$LD$3,'Roller Blinds'!BC38,'Roller Blinds'!BB38)</f>
        <v>#N/A</v>
      </c>
      <c r="BG38" s="172" t="b">
        <f>IF(O38=Data!$QK$2,Data!$QL$1,IF(O38=Data!$QK$3,Data!$QM$1,IF(O38=Data!$QK$4,Data!$QN$1,IF(O38=Data!$QK$5,Data!$QO$1,IF(O38=Data!$QK$6,Data!$QP$1,IF(O38=Data!$QK$7,Data!$QQ$1,IF(O38=Data!$QK$8,Data!$QR$1,IF(O38=Data!$QK$9,Data!$QS$1, IF(O38=Data!$QK$10,Data!$QV$1, IF(O38=Data!$QK$11,Data!$QW$1))))))))))</f>
        <v>0</v>
      </c>
      <c r="BH38" s="33" t="b">
        <f>IF(O38=Data!$QK$2,Data!$QL$17,IF(O38=Data!$QK$3,Data!$QM$17,IF(O38=Data!$QK$4,Data!$QN$17,IF(O38=Data!$QK$5,Data!$QO$17,IF(O38=Data!$QK$6,Data!$QP$17,IF(O38=Data!$QK$7,Data!$QQ$17,IF(O38=Data!$QK$8,Data!$QR$17,IF(O38=Data!$QK$9,Data!$QS$17,IF(O38=Data!$QK$10,Data!$QV$17,IF(O38=Data!$QK$11,Data!$QW$17))))))))))</f>
        <v>0</v>
      </c>
      <c r="BI38" s="33" t="e">
        <f>VLOOKUP(O38,Data!$PU$13:$PV$22,2,FALSE)</f>
        <v>#N/A</v>
      </c>
      <c r="BJ38" s="33" t="e">
        <f>MATCH('Roller Blinds'!D38,Data!$AAK$2:$AAK$15)</f>
        <v>#N/A</v>
      </c>
      <c r="BK38" s="33" t="e">
        <f>MATCH(L38,Data!$AAL$1:$AAM$1)</f>
        <v>#N/A</v>
      </c>
      <c r="BL38" s="33" t="e">
        <f>INDEX(Data!$AAL$2:$AAM$15,BJ38,BK38)</f>
        <v>#N/A</v>
      </c>
    </row>
    <row r="39" spans="1:64" ht="30" customHeight="1" thickTop="1" thickBot="1">
      <c r="A39" s="52">
        <v>32</v>
      </c>
      <c r="B39" s="13"/>
      <c r="C39" s="13"/>
      <c r="D39" s="19"/>
      <c r="E39" s="15"/>
      <c r="F39" s="10"/>
      <c r="G39" s="10"/>
      <c r="H39" s="14"/>
      <c r="I39" s="14"/>
      <c r="J39" s="563"/>
      <c r="K39" s="564"/>
      <c r="L39" s="15"/>
      <c r="M39" s="15"/>
      <c r="N39" s="15"/>
      <c r="O39" s="580"/>
      <c r="P39" s="581"/>
      <c r="Q39" s="13"/>
      <c r="R39" s="13"/>
      <c r="S39" s="13"/>
      <c r="T39" s="13"/>
      <c r="U39" s="13"/>
      <c r="V39" s="13"/>
      <c r="W39" s="13"/>
      <c r="X39" s="15"/>
      <c r="Y39" s="16"/>
      <c r="Z39" s="175"/>
      <c r="AA39" s="229"/>
      <c r="AB39" s="230"/>
      <c r="AC39" s="33" t="e">
        <f t="shared" si="0"/>
        <v>#N/A</v>
      </c>
      <c r="AD39" s="33" t="e">
        <f>VLOOKUP(S39,Data!$QH$2:$QI$4,2,FALSE)</f>
        <v>#N/A</v>
      </c>
      <c r="AF39" s="172" t="e">
        <f t="shared" si="1"/>
        <v>#N/A</v>
      </c>
      <c r="AI39" s="172" t="b">
        <f>IF(W39=Data!$KK$2,Data!$KM$1,IF(W39=Data!$KK$3,Data!$KN$1,IF(W39=Data!$KK$4,Data!$KP$1,IF(W39=Data!$KK$5,Data!$KQ$1))))</f>
        <v>0</v>
      </c>
      <c r="AJ39" s="33" t="str">
        <f>IF(D39=Data!$W$10,Data!$QJ$1,Data!$QK$1)</f>
        <v>RollerControl</v>
      </c>
      <c r="AM39" s="33" t="b">
        <f>IF(S39=Data!$PX$2,Data!$PZ$1,IF(S39=Data!$PX$3,Data!$PY$1,IF(S39=Data!$PX$4,Data!$QA$1)))</f>
        <v>0</v>
      </c>
      <c r="AO39" s="33" t="b">
        <f>IF(S39=Data!$PX$3,Data!$QB$1,IF(S39=Data!$PX$2,Data!$QC$1,IF(S39=Data!$PX$4,Data!$QD$1)))</f>
        <v>0</v>
      </c>
      <c r="AQ39" s="33" t="str">
        <f>IF(D39=Data!$W$3,Data!$QF$1,IF(D39=Data!$W$4,Data!$QF$1,IF(D39=Data!$W$5,Data!$QF$1,IF(D39=Data!$W$6,Data!$QF$1,IF(D39=Data!$W$7,Data!$QF$1,IF(D39=Data!$W$8,Data!$QF$1,IF(D39=Data!$W$9,Data!$QF$1,IF(D39=Data!$W$10,Data!$QE$1,IF(D39=Data!$W$11,Data!$QF$1,IF(D39=Data!$W$12,Data!$QF$1,IF(D39=Data!$W$13,Data!$QF$1,IF(D39=Data!$W$14,Data!$QF$1,IF(D39=Data!$W$15,Data!$QF$1,IF(D39=Data!$W$16,Data!$QF$1))))))))))))))</f>
        <v>RollerBracketType2</v>
      </c>
      <c r="BA39" s="40" t="str">
        <f>IF(AND(F39&lt;2130, OR(G39&lt;2100)),Data!$KS$1,Data!$KT$1)</f>
        <v>Small_Tube</v>
      </c>
      <c r="BB39" s="172" t="e">
        <f>MATCH(W39,Data!$LA$1:$LD$1,0)</f>
        <v>#N/A</v>
      </c>
      <c r="BC39" s="172">
        <f>MATCH('Roller Blinds'!BA39,Data!$KZ$2:$KZ$3,0)</f>
        <v>1</v>
      </c>
      <c r="BD39" s="172" t="e">
        <f>INDEX(Data!$LA$2:$LD$3,'Roller Blinds'!BC39,'Roller Blinds'!BB39)</f>
        <v>#N/A</v>
      </c>
      <c r="BG39" s="172" t="b">
        <f>IF(O39=Data!$QK$2,Data!$QL$1,IF(O39=Data!$QK$3,Data!$QM$1,IF(O39=Data!$QK$4,Data!$QN$1,IF(O39=Data!$QK$5,Data!$QO$1,IF(O39=Data!$QK$6,Data!$QP$1,IF(O39=Data!$QK$7,Data!$QQ$1,IF(O39=Data!$QK$8,Data!$QR$1,IF(O39=Data!$QK$9,Data!$QS$1, IF(O39=Data!$QK$10,Data!$QV$1, IF(O39=Data!$QK$11,Data!$QW$1))))))))))</f>
        <v>0</v>
      </c>
      <c r="BH39" s="33" t="b">
        <f>IF(O39=Data!$QK$2,Data!$QL$17,IF(O39=Data!$QK$3,Data!$QM$17,IF(O39=Data!$QK$4,Data!$QN$17,IF(O39=Data!$QK$5,Data!$QO$17,IF(O39=Data!$QK$6,Data!$QP$17,IF(O39=Data!$QK$7,Data!$QQ$17,IF(O39=Data!$QK$8,Data!$QR$17,IF(O39=Data!$QK$9,Data!$QS$17,IF(O39=Data!$QK$10,Data!$QV$17,IF(O39=Data!$QK$11,Data!$QW$17))))))))))</f>
        <v>0</v>
      </c>
      <c r="BI39" s="33" t="e">
        <f>VLOOKUP(O39,Data!$PU$13:$PV$22,2,FALSE)</f>
        <v>#N/A</v>
      </c>
      <c r="BJ39" s="33" t="e">
        <f>MATCH('Roller Blinds'!D39,Data!$AAK$2:$AAK$15)</f>
        <v>#N/A</v>
      </c>
      <c r="BK39" s="33" t="e">
        <f>MATCH(L39,Data!$AAL$1:$AAM$1)</f>
        <v>#N/A</v>
      </c>
      <c r="BL39" s="33" t="e">
        <f>INDEX(Data!$AAL$2:$AAM$15,BJ39,BK39)</f>
        <v>#N/A</v>
      </c>
    </row>
    <row r="40" spans="1:64" ht="30" customHeight="1" thickTop="1" thickBot="1">
      <c r="A40" s="52">
        <v>33</v>
      </c>
      <c r="B40" s="13"/>
      <c r="C40" s="13"/>
      <c r="D40" s="19"/>
      <c r="E40" s="15"/>
      <c r="F40" s="10"/>
      <c r="G40" s="10"/>
      <c r="H40" s="14"/>
      <c r="I40" s="14"/>
      <c r="J40" s="563"/>
      <c r="K40" s="564"/>
      <c r="L40" s="15"/>
      <c r="M40" s="15"/>
      <c r="N40" s="15"/>
      <c r="O40" s="580"/>
      <c r="P40" s="581"/>
      <c r="Q40" s="13"/>
      <c r="R40" s="13"/>
      <c r="S40" s="13"/>
      <c r="T40" s="13"/>
      <c r="U40" s="13"/>
      <c r="V40" s="13"/>
      <c r="W40" s="13"/>
      <c r="X40" s="15"/>
      <c r="Y40" s="16"/>
      <c r="Z40" s="175"/>
      <c r="AA40" s="229"/>
      <c r="AB40" s="230"/>
      <c r="AC40" s="33" t="e">
        <f t="shared" si="0"/>
        <v>#N/A</v>
      </c>
      <c r="AD40" s="33" t="e">
        <f>VLOOKUP(S40,Data!$QH$2:$QI$4,2,FALSE)</f>
        <v>#N/A</v>
      </c>
      <c r="AF40" s="172" t="e">
        <f t="shared" si="1"/>
        <v>#N/A</v>
      </c>
      <c r="AI40" s="172" t="b">
        <f>IF(W40=Data!$KK$2,Data!$KM$1,IF(W40=Data!$KK$3,Data!$KN$1,IF(W40=Data!$KK$4,Data!$KP$1,IF(W40=Data!$KK$5,Data!$KQ$1))))</f>
        <v>0</v>
      </c>
      <c r="AJ40" s="33" t="str">
        <f>IF(D40=Data!$W$10,Data!$QJ$1,Data!$QK$1)</f>
        <v>RollerControl</v>
      </c>
      <c r="AM40" s="33" t="b">
        <f>IF(S40=Data!$PX$2,Data!$PZ$1,IF(S40=Data!$PX$3,Data!$PY$1,IF(S40=Data!$PX$4,Data!$QA$1)))</f>
        <v>0</v>
      </c>
      <c r="AO40" s="33" t="b">
        <f>IF(S40=Data!$PX$3,Data!$QB$1,IF(S40=Data!$PX$2,Data!$QC$1,IF(S40=Data!$PX$4,Data!$QD$1)))</f>
        <v>0</v>
      </c>
      <c r="AQ40" s="33" t="str">
        <f>IF(D40=Data!$W$3,Data!$QF$1,IF(D40=Data!$W$4,Data!$QF$1,IF(D40=Data!$W$5,Data!$QF$1,IF(D40=Data!$W$6,Data!$QF$1,IF(D40=Data!$W$7,Data!$QF$1,IF(D40=Data!$W$8,Data!$QF$1,IF(D40=Data!$W$9,Data!$QF$1,IF(D40=Data!$W$10,Data!$QE$1,IF(D40=Data!$W$11,Data!$QF$1,IF(D40=Data!$W$12,Data!$QF$1,IF(D40=Data!$W$13,Data!$QF$1,IF(D40=Data!$W$14,Data!$QF$1,IF(D40=Data!$W$15,Data!$QF$1,IF(D40=Data!$W$16,Data!$QF$1))))))))))))))</f>
        <v>RollerBracketType2</v>
      </c>
      <c r="BA40" s="40" t="str">
        <f>IF(AND(F40&lt;2130, OR(G40&lt;2100)),Data!$KS$1,Data!$KT$1)</f>
        <v>Small_Tube</v>
      </c>
      <c r="BB40" s="172" t="e">
        <f>MATCH(W40,Data!$LA$1:$LD$1,0)</f>
        <v>#N/A</v>
      </c>
      <c r="BC40" s="172">
        <f>MATCH('Roller Blinds'!BA40,Data!$KZ$2:$KZ$3,0)</f>
        <v>1</v>
      </c>
      <c r="BD40" s="172" t="e">
        <f>INDEX(Data!$LA$2:$LD$3,'Roller Blinds'!BC40,'Roller Blinds'!BB40)</f>
        <v>#N/A</v>
      </c>
      <c r="BG40" s="172" t="b">
        <f>IF(O40=Data!$QK$2,Data!$QL$1,IF(O40=Data!$QK$3,Data!$QM$1,IF(O40=Data!$QK$4,Data!$QN$1,IF(O40=Data!$QK$5,Data!$QO$1,IF(O40=Data!$QK$6,Data!$QP$1,IF(O40=Data!$QK$7,Data!$QQ$1,IF(O40=Data!$QK$8,Data!$QR$1,IF(O40=Data!$QK$9,Data!$QS$1, IF(O40=Data!$QK$10,Data!$QV$1, IF(O40=Data!$QK$11,Data!$QW$1))))))))))</f>
        <v>0</v>
      </c>
      <c r="BH40" s="33" t="b">
        <f>IF(O40=Data!$QK$2,Data!$QL$17,IF(O40=Data!$QK$3,Data!$QM$17,IF(O40=Data!$QK$4,Data!$QN$17,IF(O40=Data!$QK$5,Data!$QO$17,IF(O40=Data!$QK$6,Data!$QP$17,IF(O40=Data!$QK$7,Data!$QQ$17,IF(O40=Data!$QK$8,Data!$QR$17,IF(O40=Data!$QK$9,Data!$QS$17,IF(O40=Data!$QK$10,Data!$QV$17,IF(O40=Data!$QK$11,Data!$QW$17))))))))))</f>
        <v>0</v>
      </c>
      <c r="BI40" s="33" t="e">
        <f>VLOOKUP(O40,Data!$PU$13:$PV$22,2,FALSE)</f>
        <v>#N/A</v>
      </c>
      <c r="BJ40" s="33" t="e">
        <f>MATCH('Roller Blinds'!D40,Data!$AAK$2:$AAK$15)</f>
        <v>#N/A</v>
      </c>
      <c r="BK40" s="33" t="e">
        <f>MATCH(L40,Data!$AAL$1:$AAM$1)</f>
        <v>#N/A</v>
      </c>
      <c r="BL40" s="33" t="e">
        <f>INDEX(Data!$AAL$2:$AAM$15,BJ40,BK40)</f>
        <v>#N/A</v>
      </c>
    </row>
    <row r="41" spans="1:64" ht="30" customHeight="1" thickTop="1" thickBot="1">
      <c r="A41" s="52">
        <v>34</v>
      </c>
      <c r="B41" s="13"/>
      <c r="C41" s="13"/>
      <c r="D41" s="19"/>
      <c r="E41" s="15"/>
      <c r="F41" s="10"/>
      <c r="G41" s="10"/>
      <c r="H41" s="14"/>
      <c r="I41" s="14"/>
      <c r="J41" s="563"/>
      <c r="K41" s="564"/>
      <c r="L41" s="15"/>
      <c r="M41" s="15"/>
      <c r="N41" s="15"/>
      <c r="O41" s="580"/>
      <c r="P41" s="581"/>
      <c r="Q41" s="13"/>
      <c r="R41" s="13"/>
      <c r="S41" s="13"/>
      <c r="T41" s="13"/>
      <c r="U41" s="13"/>
      <c r="V41" s="13"/>
      <c r="W41" s="13"/>
      <c r="X41" s="15"/>
      <c r="Y41" s="16"/>
      <c r="Z41" s="175"/>
      <c r="AA41" s="229"/>
      <c r="AB41" s="230"/>
      <c r="AC41" s="33" t="e">
        <f t="shared" si="0"/>
        <v>#N/A</v>
      </c>
      <c r="AD41" s="33" t="e">
        <f>VLOOKUP(S41,Data!$QH$2:$QI$4,2,FALSE)</f>
        <v>#N/A</v>
      </c>
      <c r="AF41" s="172" t="e">
        <f t="shared" si="1"/>
        <v>#N/A</v>
      </c>
      <c r="AI41" s="172" t="b">
        <f>IF(W41=Data!$KK$2,Data!$KM$1,IF(W41=Data!$KK$3,Data!$KN$1,IF(W41=Data!$KK$4,Data!$KP$1,IF(W41=Data!$KK$5,Data!$KQ$1))))</f>
        <v>0</v>
      </c>
      <c r="AJ41" s="33" t="str">
        <f>IF(D41=Data!$W$10,Data!$QJ$1,Data!$QK$1)</f>
        <v>RollerControl</v>
      </c>
      <c r="AM41" s="33" t="b">
        <f>IF(S41=Data!$PX$2,Data!$PZ$1,IF(S41=Data!$PX$3,Data!$PY$1,IF(S41=Data!$PX$4,Data!$QA$1)))</f>
        <v>0</v>
      </c>
      <c r="AO41" s="33" t="b">
        <f>IF(S41=Data!$PX$3,Data!$QB$1,IF(S41=Data!$PX$2,Data!$QC$1,IF(S41=Data!$PX$4,Data!$QD$1)))</f>
        <v>0</v>
      </c>
      <c r="AQ41" s="33" t="str">
        <f>IF(D41=Data!$W$3,Data!$QF$1,IF(D41=Data!$W$4,Data!$QF$1,IF(D41=Data!$W$5,Data!$QF$1,IF(D41=Data!$W$6,Data!$QF$1,IF(D41=Data!$W$7,Data!$QF$1,IF(D41=Data!$W$8,Data!$QF$1,IF(D41=Data!$W$9,Data!$QF$1,IF(D41=Data!$W$10,Data!$QE$1,IF(D41=Data!$W$11,Data!$QF$1,IF(D41=Data!$W$12,Data!$QF$1,IF(D41=Data!$W$13,Data!$QF$1,IF(D41=Data!$W$14,Data!$QF$1,IF(D41=Data!$W$15,Data!$QF$1,IF(D41=Data!$W$16,Data!$QF$1))))))))))))))</f>
        <v>RollerBracketType2</v>
      </c>
      <c r="BA41" s="40" t="str">
        <f>IF(AND(F41&lt;2130, OR(G41&lt;2100)),Data!$KS$1,Data!$KT$1)</f>
        <v>Small_Tube</v>
      </c>
      <c r="BB41" s="172" t="e">
        <f>MATCH(W41,Data!$LA$1:$LD$1,0)</f>
        <v>#N/A</v>
      </c>
      <c r="BC41" s="172">
        <f>MATCH('Roller Blinds'!BA41,Data!$KZ$2:$KZ$3,0)</f>
        <v>1</v>
      </c>
      <c r="BD41" s="172" t="e">
        <f>INDEX(Data!$LA$2:$LD$3,'Roller Blinds'!BC41,'Roller Blinds'!BB41)</f>
        <v>#N/A</v>
      </c>
      <c r="BG41" s="172" t="b">
        <f>IF(O41=Data!$QK$2,Data!$QL$1,IF(O41=Data!$QK$3,Data!$QM$1,IF(O41=Data!$QK$4,Data!$QN$1,IF(O41=Data!$QK$5,Data!$QO$1,IF(O41=Data!$QK$6,Data!$QP$1,IF(O41=Data!$QK$7,Data!$QQ$1,IF(O41=Data!$QK$8,Data!$QR$1,IF(O41=Data!$QK$9,Data!$QS$1, IF(O41=Data!$QK$10,Data!$QV$1, IF(O41=Data!$QK$11,Data!$QW$1))))))))))</f>
        <v>0</v>
      </c>
      <c r="BH41" s="33" t="b">
        <f>IF(O41=Data!$QK$2,Data!$QL$17,IF(O41=Data!$QK$3,Data!$QM$17,IF(O41=Data!$QK$4,Data!$QN$17,IF(O41=Data!$QK$5,Data!$QO$17,IF(O41=Data!$QK$6,Data!$QP$17,IF(O41=Data!$QK$7,Data!$QQ$17,IF(O41=Data!$QK$8,Data!$QR$17,IF(O41=Data!$QK$9,Data!$QS$17,IF(O41=Data!$QK$10,Data!$QV$17,IF(O41=Data!$QK$11,Data!$QW$17))))))))))</f>
        <v>0</v>
      </c>
      <c r="BI41" s="33" t="e">
        <f>VLOOKUP(O41,Data!$PU$13:$PV$22,2,FALSE)</f>
        <v>#N/A</v>
      </c>
      <c r="BJ41" s="33" t="e">
        <f>MATCH('Roller Blinds'!D41,Data!$AAK$2:$AAK$15)</f>
        <v>#N/A</v>
      </c>
      <c r="BK41" s="33" t="e">
        <f>MATCH(L41,Data!$AAL$1:$AAM$1)</f>
        <v>#N/A</v>
      </c>
      <c r="BL41" s="33" t="e">
        <f>INDEX(Data!$AAL$2:$AAM$15,BJ41,BK41)</f>
        <v>#N/A</v>
      </c>
    </row>
    <row r="42" spans="1:64" ht="30" customHeight="1" thickTop="1" thickBot="1">
      <c r="A42" s="52">
        <v>35</v>
      </c>
      <c r="B42" s="13"/>
      <c r="C42" s="13"/>
      <c r="D42" s="19"/>
      <c r="E42" s="15"/>
      <c r="F42" s="10"/>
      <c r="G42" s="10"/>
      <c r="H42" s="14"/>
      <c r="I42" s="14"/>
      <c r="J42" s="563"/>
      <c r="K42" s="564"/>
      <c r="L42" s="15"/>
      <c r="M42" s="15"/>
      <c r="N42" s="15"/>
      <c r="O42" s="580"/>
      <c r="P42" s="581"/>
      <c r="Q42" s="13"/>
      <c r="R42" s="13"/>
      <c r="S42" s="13"/>
      <c r="T42" s="13"/>
      <c r="U42" s="13"/>
      <c r="V42" s="13"/>
      <c r="W42" s="13"/>
      <c r="X42" s="15"/>
      <c r="Y42" s="16"/>
      <c r="Z42" s="175"/>
      <c r="AA42" s="229"/>
      <c r="AB42" s="230"/>
      <c r="AC42" s="33" t="e">
        <f t="shared" si="0"/>
        <v>#N/A</v>
      </c>
      <c r="AD42" s="33" t="e">
        <f>VLOOKUP(S42,Data!$QH$2:$QI$4,2,FALSE)</f>
        <v>#N/A</v>
      </c>
      <c r="AF42" s="172" t="e">
        <f t="shared" si="1"/>
        <v>#N/A</v>
      </c>
      <c r="AI42" s="172" t="b">
        <f>IF(W42=Data!$KK$2,Data!$KM$1,IF(W42=Data!$KK$3,Data!$KN$1,IF(W42=Data!$KK$4,Data!$KP$1,IF(W42=Data!$KK$5,Data!$KQ$1))))</f>
        <v>0</v>
      </c>
      <c r="AJ42" s="33" t="str">
        <f>IF(D42=Data!$W$10,Data!$QJ$1,Data!$QK$1)</f>
        <v>RollerControl</v>
      </c>
      <c r="AM42" s="33" t="b">
        <f>IF(S42=Data!$PX$2,Data!$PZ$1,IF(S42=Data!$PX$3,Data!$PY$1,IF(S42=Data!$PX$4,Data!$QA$1)))</f>
        <v>0</v>
      </c>
      <c r="AO42" s="33" t="b">
        <f>IF(S42=Data!$PX$3,Data!$QB$1,IF(S42=Data!$PX$2,Data!$QC$1,IF(S42=Data!$PX$4,Data!$QD$1)))</f>
        <v>0</v>
      </c>
      <c r="AQ42" s="33" t="str">
        <f>IF(D42=Data!$W$3,Data!$QF$1,IF(D42=Data!$W$4,Data!$QF$1,IF(D42=Data!$W$5,Data!$QF$1,IF(D42=Data!$W$6,Data!$QF$1,IF(D42=Data!$W$7,Data!$QF$1,IF(D42=Data!$W$8,Data!$QF$1,IF(D42=Data!$W$9,Data!$QF$1,IF(D42=Data!$W$10,Data!$QE$1,IF(D42=Data!$W$11,Data!$QF$1,IF(D42=Data!$W$12,Data!$QF$1,IF(D42=Data!$W$13,Data!$QF$1,IF(D42=Data!$W$14,Data!$QF$1,IF(D42=Data!$W$15,Data!$QF$1,IF(D42=Data!$W$16,Data!$QF$1))))))))))))))</f>
        <v>RollerBracketType2</v>
      </c>
      <c r="BA42" s="40" t="str">
        <f>IF(AND(F42&lt;2130, OR(G42&lt;2100)),Data!$KS$1,Data!$KT$1)</f>
        <v>Small_Tube</v>
      </c>
      <c r="BB42" s="172" t="e">
        <f>MATCH(W42,Data!$LA$1:$LD$1,0)</f>
        <v>#N/A</v>
      </c>
      <c r="BC42" s="172">
        <f>MATCH('Roller Blinds'!BA42,Data!$KZ$2:$KZ$3,0)</f>
        <v>1</v>
      </c>
      <c r="BD42" s="172" t="e">
        <f>INDEX(Data!$LA$2:$LD$3,'Roller Blinds'!BC42,'Roller Blinds'!BB42)</f>
        <v>#N/A</v>
      </c>
      <c r="BG42" s="172" t="b">
        <f>IF(O42=Data!$QK$2,Data!$QL$1,IF(O42=Data!$QK$3,Data!$QM$1,IF(O42=Data!$QK$4,Data!$QN$1,IF(O42=Data!$QK$5,Data!$QO$1,IF(O42=Data!$QK$6,Data!$QP$1,IF(O42=Data!$QK$7,Data!$QQ$1,IF(O42=Data!$QK$8,Data!$QR$1,IF(O42=Data!$QK$9,Data!$QS$1, IF(O42=Data!$QK$10,Data!$QV$1, IF(O42=Data!$QK$11,Data!$QW$1))))))))))</f>
        <v>0</v>
      </c>
      <c r="BH42" s="33" t="b">
        <f>IF(O42=Data!$QK$2,Data!$QL$17,IF(O42=Data!$QK$3,Data!$QM$17,IF(O42=Data!$QK$4,Data!$QN$17,IF(O42=Data!$QK$5,Data!$QO$17,IF(O42=Data!$QK$6,Data!$QP$17,IF(O42=Data!$QK$7,Data!$QQ$17,IF(O42=Data!$QK$8,Data!$QR$17,IF(O42=Data!$QK$9,Data!$QS$17,IF(O42=Data!$QK$10,Data!$QV$17,IF(O42=Data!$QK$11,Data!$QW$17))))))))))</f>
        <v>0</v>
      </c>
      <c r="BI42" s="33" t="e">
        <f>VLOOKUP(O42,Data!$PU$13:$PV$22,2,FALSE)</f>
        <v>#N/A</v>
      </c>
      <c r="BJ42" s="33" t="e">
        <f>MATCH('Roller Blinds'!D42,Data!$AAK$2:$AAK$15)</f>
        <v>#N/A</v>
      </c>
      <c r="BK42" s="33" t="e">
        <f>MATCH(L42,Data!$AAL$1:$AAM$1)</f>
        <v>#N/A</v>
      </c>
      <c r="BL42" s="33" t="e">
        <f>INDEX(Data!$AAL$2:$AAM$15,BJ42,BK42)</f>
        <v>#N/A</v>
      </c>
    </row>
    <row r="43" spans="1:64" ht="30" customHeight="1" thickTop="1" thickBot="1">
      <c r="A43" s="52">
        <v>36</v>
      </c>
      <c r="B43" s="13"/>
      <c r="C43" s="13"/>
      <c r="D43" s="19"/>
      <c r="E43" s="15"/>
      <c r="F43" s="10"/>
      <c r="G43" s="10"/>
      <c r="H43" s="14"/>
      <c r="I43" s="14"/>
      <c r="J43" s="563"/>
      <c r="K43" s="564"/>
      <c r="L43" s="15"/>
      <c r="M43" s="15"/>
      <c r="N43" s="15"/>
      <c r="O43" s="580"/>
      <c r="P43" s="581"/>
      <c r="Q43" s="13"/>
      <c r="R43" s="13"/>
      <c r="S43" s="13"/>
      <c r="T43" s="13"/>
      <c r="U43" s="13"/>
      <c r="V43" s="13"/>
      <c r="W43" s="13"/>
      <c r="X43" s="15"/>
      <c r="Y43" s="16"/>
      <c r="Z43" s="175"/>
      <c r="AA43" s="229"/>
      <c r="AB43" s="230"/>
      <c r="AC43" s="33" t="e">
        <f t="shared" si="0"/>
        <v>#N/A</v>
      </c>
      <c r="AD43" s="33" t="e">
        <f>VLOOKUP(S43,Data!$QH$2:$QI$4,2,FALSE)</f>
        <v>#N/A</v>
      </c>
      <c r="AF43" s="172" t="e">
        <f t="shared" si="1"/>
        <v>#N/A</v>
      </c>
      <c r="AI43" s="172" t="b">
        <f>IF(W43=Data!$KK$2,Data!$KM$1,IF(W43=Data!$KK$3,Data!$KN$1,IF(W43=Data!$KK$4,Data!$KP$1,IF(W43=Data!$KK$5,Data!$KQ$1))))</f>
        <v>0</v>
      </c>
      <c r="AJ43" s="33" t="str">
        <f>IF(D43=Data!$W$10,Data!$QJ$1,Data!$QK$1)</f>
        <v>RollerControl</v>
      </c>
      <c r="AM43" s="33" t="b">
        <f>IF(S43=Data!$PX$2,Data!$PZ$1,IF(S43=Data!$PX$3,Data!$PY$1,IF(S43=Data!$PX$4,Data!$QA$1)))</f>
        <v>0</v>
      </c>
      <c r="AO43" s="33" t="b">
        <f>IF(S43=Data!$PX$3,Data!$QB$1,IF(S43=Data!$PX$2,Data!$QC$1,IF(S43=Data!$PX$4,Data!$QD$1)))</f>
        <v>0</v>
      </c>
      <c r="AQ43" s="33" t="str">
        <f>IF(D43=Data!$W$3,Data!$QF$1,IF(D43=Data!$W$4,Data!$QF$1,IF(D43=Data!$W$5,Data!$QF$1,IF(D43=Data!$W$6,Data!$QF$1,IF(D43=Data!$W$7,Data!$QF$1,IF(D43=Data!$W$8,Data!$QF$1,IF(D43=Data!$W$9,Data!$QF$1,IF(D43=Data!$W$10,Data!$QE$1,IF(D43=Data!$W$11,Data!$QF$1,IF(D43=Data!$W$12,Data!$QF$1,IF(D43=Data!$W$13,Data!$QF$1,IF(D43=Data!$W$14,Data!$QF$1,IF(D43=Data!$W$15,Data!$QF$1,IF(D43=Data!$W$16,Data!$QF$1))))))))))))))</f>
        <v>RollerBracketType2</v>
      </c>
      <c r="BA43" s="40" t="str">
        <f>IF(AND(F43&lt;2130, OR(G43&lt;2100)),Data!$KS$1,Data!$KT$1)</f>
        <v>Small_Tube</v>
      </c>
      <c r="BB43" s="172" t="e">
        <f>MATCH(W43,Data!$LA$1:$LD$1,0)</f>
        <v>#N/A</v>
      </c>
      <c r="BC43" s="172">
        <f>MATCH('Roller Blinds'!BA43,Data!$KZ$2:$KZ$3,0)</f>
        <v>1</v>
      </c>
      <c r="BD43" s="172" t="e">
        <f>INDEX(Data!$LA$2:$LD$3,'Roller Blinds'!BC43,'Roller Blinds'!BB43)</f>
        <v>#N/A</v>
      </c>
      <c r="BG43" s="172" t="b">
        <f>IF(O43=Data!$QK$2,Data!$QL$1,IF(O43=Data!$QK$3,Data!$QM$1,IF(O43=Data!$QK$4,Data!$QN$1,IF(O43=Data!$QK$5,Data!$QO$1,IF(O43=Data!$QK$6,Data!$QP$1,IF(O43=Data!$QK$7,Data!$QQ$1,IF(O43=Data!$QK$8,Data!$QR$1,IF(O43=Data!$QK$9,Data!$QS$1, IF(O43=Data!$QK$10,Data!$QV$1, IF(O43=Data!$QK$11,Data!$QW$1))))))))))</f>
        <v>0</v>
      </c>
      <c r="BH43" s="33" t="b">
        <f>IF(O43=Data!$QK$2,Data!$QL$17,IF(O43=Data!$QK$3,Data!$QM$17,IF(O43=Data!$QK$4,Data!$QN$17,IF(O43=Data!$QK$5,Data!$QO$17,IF(O43=Data!$QK$6,Data!$QP$17,IF(O43=Data!$QK$7,Data!$QQ$17,IF(O43=Data!$QK$8,Data!$QR$17,IF(O43=Data!$QK$9,Data!$QS$17,IF(O43=Data!$QK$10,Data!$QV$17,IF(O43=Data!$QK$11,Data!$QW$17))))))))))</f>
        <v>0</v>
      </c>
      <c r="BI43" s="33" t="e">
        <f>VLOOKUP(O43,Data!$PU$13:$PV$22,2,FALSE)</f>
        <v>#N/A</v>
      </c>
      <c r="BJ43" s="33" t="e">
        <f>MATCH('Roller Blinds'!D43,Data!$AAK$2:$AAK$15)</f>
        <v>#N/A</v>
      </c>
      <c r="BK43" s="33" t="e">
        <f>MATCH(L43,Data!$AAL$1:$AAM$1)</f>
        <v>#N/A</v>
      </c>
      <c r="BL43" s="33" t="e">
        <f>INDEX(Data!$AAL$2:$AAM$15,BJ43,BK43)</f>
        <v>#N/A</v>
      </c>
    </row>
    <row r="44" spans="1:64" ht="30" customHeight="1" thickTop="1" thickBot="1">
      <c r="A44" s="52">
        <v>37</v>
      </c>
      <c r="B44" s="13"/>
      <c r="C44" s="13"/>
      <c r="D44" s="19"/>
      <c r="E44" s="15"/>
      <c r="F44" s="10"/>
      <c r="G44" s="10"/>
      <c r="H44" s="14"/>
      <c r="I44" s="14"/>
      <c r="J44" s="563"/>
      <c r="K44" s="564"/>
      <c r="L44" s="15"/>
      <c r="M44" s="15"/>
      <c r="N44" s="15"/>
      <c r="O44" s="580"/>
      <c r="P44" s="581"/>
      <c r="Q44" s="13"/>
      <c r="R44" s="13"/>
      <c r="S44" s="13"/>
      <c r="T44" s="13"/>
      <c r="U44" s="13"/>
      <c r="V44" s="13"/>
      <c r="W44" s="13"/>
      <c r="X44" s="15"/>
      <c r="Y44" s="16"/>
      <c r="Z44" s="175"/>
      <c r="AA44" s="229"/>
      <c r="AB44" s="230"/>
      <c r="AC44" s="33" t="e">
        <f t="shared" si="0"/>
        <v>#N/A</v>
      </c>
      <c r="AD44" s="33" t="e">
        <f>VLOOKUP(S44,Data!$QH$2:$QI$4,2,FALSE)</f>
        <v>#N/A</v>
      </c>
      <c r="AF44" s="172" t="e">
        <f t="shared" si="1"/>
        <v>#N/A</v>
      </c>
      <c r="AI44" s="172" t="b">
        <f>IF(W44=Data!$KK$2,Data!$KM$1,IF(W44=Data!$KK$3,Data!$KN$1,IF(W44=Data!$KK$4,Data!$KP$1,IF(W44=Data!$KK$5,Data!$KQ$1))))</f>
        <v>0</v>
      </c>
      <c r="AJ44" s="33" t="str">
        <f>IF(D44=Data!$W$10,Data!$QJ$1,Data!$QK$1)</f>
        <v>RollerControl</v>
      </c>
      <c r="AM44" s="33" t="b">
        <f>IF(S44=Data!$PX$2,Data!$PZ$1,IF(S44=Data!$PX$3,Data!$PY$1,IF(S44=Data!$PX$4,Data!$QA$1)))</f>
        <v>0</v>
      </c>
      <c r="AO44" s="33" t="b">
        <f>IF(S44=Data!$PX$3,Data!$QB$1,IF(S44=Data!$PX$2,Data!$QC$1,IF(S44=Data!$PX$4,Data!$QD$1)))</f>
        <v>0</v>
      </c>
      <c r="AQ44" s="33" t="str">
        <f>IF(D44=Data!$W$3,Data!$QF$1,IF(D44=Data!$W$4,Data!$QF$1,IF(D44=Data!$W$5,Data!$QF$1,IF(D44=Data!$W$6,Data!$QF$1,IF(D44=Data!$W$7,Data!$QF$1,IF(D44=Data!$W$8,Data!$QF$1,IF(D44=Data!$W$9,Data!$QF$1,IF(D44=Data!$W$10,Data!$QE$1,IF(D44=Data!$W$11,Data!$QF$1,IF(D44=Data!$W$12,Data!$QF$1,IF(D44=Data!$W$13,Data!$QF$1,IF(D44=Data!$W$14,Data!$QF$1,IF(D44=Data!$W$15,Data!$QF$1,IF(D44=Data!$W$16,Data!$QF$1))))))))))))))</f>
        <v>RollerBracketType2</v>
      </c>
      <c r="BA44" s="40" t="str">
        <f>IF(AND(F44&lt;2130, OR(G44&lt;2100)),Data!$KS$1,Data!$KT$1)</f>
        <v>Small_Tube</v>
      </c>
      <c r="BB44" s="172" t="e">
        <f>MATCH(W44,Data!$LA$1:$LD$1,0)</f>
        <v>#N/A</v>
      </c>
      <c r="BC44" s="172">
        <f>MATCH('Roller Blinds'!BA44,Data!$KZ$2:$KZ$3,0)</f>
        <v>1</v>
      </c>
      <c r="BD44" s="172" t="e">
        <f>INDEX(Data!$LA$2:$LD$3,'Roller Blinds'!BC44,'Roller Blinds'!BB44)</f>
        <v>#N/A</v>
      </c>
      <c r="BG44" s="172" t="b">
        <f>IF(O44=Data!$QK$2,Data!$QL$1,IF(O44=Data!$QK$3,Data!$QM$1,IF(O44=Data!$QK$4,Data!$QN$1,IF(O44=Data!$QK$5,Data!$QO$1,IF(O44=Data!$QK$6,Data!$QP$1,IF(O44=Data!$QK$7,Data!$QQ$1,IF(O44=Data!$QK$8,Data!$QR$1,IF(O44=Data!$QK$9,Data!$QS$1, IF(O44=Data!$QK$10,Data!$QV$1, IF(O44=Data!$QK$11,Data!$QW$1))))))))))</f>
        <v>0</v>
      </c>
      <c r="BH44" s="33" t="b">
        <f>IF(O44=Data!$QK$2,Data!$QL$17,IF(O44=Data!$QK$3,Data!$QM$17,IF(O44=Data!$QK$4,Data!$QN$17,IF(O44=Data!$QK$5,Data!$QO$17,IF(O44=Data!$QK$6,Data!$QP$17,IF(O44=Data!$QK$7,Data!$QQ$17,IF(O44=Data!$QK$8,Data!$QR$17,IF(O44=Data!$QK$9,Data!$QS$17,IF(O44=Data!$QK$10,Data!$QV$17,IF(O44=Data!$QK$11,Data!$QW$17))))))))))</f>
        <v>0</v>
      </c>
      <c r="BI44" s="33" t="e">
        <f>VLOOKUP(O44,Data!$PU$13:$PV$22,2,FALSE)</f>
        <v>#N/A</v>
      </c>
      <c r="BJ44" s="33" t="e">
        <f>MATCH('Roller Blinds'!D44,Data!$AAK$2:$AAK$15)</f>
        <v>#N/A</v>
      </c>
      <c r="BK44" s="33" t="e">
        <f>MATCH(L44,Data!$AAL$1:$AAM$1)</f>
        <v>#N/A</v>
      </c>
      <c r="BL44" s="33" t="e">
        <f>INDEX(Data!$AAL$2:$AAM$15,BJ44,BK44)</f>
        <v>#N/A</v>
      </c>
    </row>
    <row r="45" spans="1:64" ht="30" customHeight="1" thickTop="1" thickBot="1">
      <c r="A45" s="52">
        <v>38</v>
      </c>
      <c r="B45" s="13"/>
      <c r="C45" s="13"/>
      <c r="D45" s="19"/>
      <c r="E45" s="15"/>
      <c r="F45" s="10"/>
      <c r="G45" s="10"/>
      <c r="H45" s="14"/>
      <c r="I45" s="14"/>
      <c r="J45" s="563"/>
      <c r="K45" s="564"/>
      <c r="L45" s="15"/>
      <c r="M45" s="15"/>
      <c r="N45" s="15"/>
      <c r="O45" s="580"/>
      <c r="P45" s="581"/>
      <c r="Q45" s="13"/>
      <c r="R45" s="13"/>
      <c r="S45" s="13"/>
      <c r="T45" s="13"/>
      <c r="U45" s="13"/>
      <c r="V45" s="13"/>
      <c r="W45" s="13"/>
      <c r="X45" s="15"/>
      <c r="Y45" s="16"/>
      <c r="Z45" s="175"/>
      <c r="AA45" s="229"/>
      <c r="AB45" s="230"/>
      <c r="AC45" s="33" t="e">
        <f t="shared" si="0"/>
        <v>#N/A</v>
      </c>
      <c r="AD45" s="33" t="e">
        <f>VLOOKUP(S45,Data!$QH$2:$QI$4,2,FALSE)</f>
        <v>#N/A</v>
      </c>
      <c r="AF45" s="172" t="e">
        <f t="shared" si="1"/>
        <v>#N/A</v>
      </c>
      <c r="AI45" s="172" t="b">
        <f>IF(W45=Data!$KK$2,Data!$KM$1,IF(W45=Data!$KK$3,Data!$KN$1,IF(W45=Data!$KK$4,Data!$KP$1,IF(W45=Data!$KK$5,Data!$KQ$1))))</f>
        <v>0</v>
      </c>
      <c r="AJ45" s="33" t="str">
        <f>IF(D45=Data!$W$10,Data!$QJ$1,Data!$QK$1)</f>
        <v>RollerControl</v>
      </c>
      <c r="AM45" s="33" t="b">
        <f>IF(S45=Data!$PX$2,Data!$PZ$1,IF(S45=Data!$PX$3,Data!$PY$1,IF(S45=Data!$PX$4,Data!$QA$1)))</f>
        <v>0</v>
      </c>
      <c r="AO45" s="33" t="b">
        <f>IF(S45=Data!$PX$3,Data!$QB$1,IF(S45=Data!$PX$2,Data!$QC$1,IF(S45=Data!$PX$4,Data!$QD$1)))</f>
        <v>0</v>
      </c>
      <c r="AQ45" s="33" t="str">
        <f>IF(D45=Data!$W$3,Data!$QF$1,IF(D45=Data!$W$4,Data!$QF$1,IF(D45=Data!$W$5,Data!$QF$1,IF(D45=Data!$W$6,Data!$QF$1,IF(D45=Data!$W$7,Data!$QF$1,IF(D45=Data!$W$8,Data!$QF$1,IF(D45=Data!$W$9,Data!$QF$1,IF(D45=Data!$W$10,Data!$QE$1,IF(D45=Data!$W$11,Data!$QF$1,IF(D45=Data!$W$12,Data!$QF$1,IF(D45=Data!$W$13,Data!$QF$1,IF(D45=Data!$W$14,Data!$QF$1,IF(D45=Data!$W$15,Data!$QF$1,IF(D45=Data!$W$16,Data!$QF$1))))))))))))))</f>
        <v>RollerBracketType2</v>
      </c>
      <c r="BA45" s="40" t="str">
        <f>IF(AND(F45&lt;2130, OR(G45&lt;2100)),Data!$KS$1,Data!$KT$1)</f>
        <v>Small_Tube</v>
      </c>
      <c r="BB45" s="172" t="e">
        <f>MATCH(W45,Data!$LA$1:$LD$1,0)</f>
        <v>#N/A</v>
      </c>
      <c r="BC45" s="172">
        <f>MATCH('Roller Blinds'!BA45,Data!$KZ$2:$KZ$3,0)</f>
        <v>1</v>
      </c>
      <c r="BD45" s="172" t="e">
        <f>INDEX(Data!$LA$2:$LD$3,'Roller Blinds'!BC45,'Roller Blinds'!BB45)</f>
        <v>#N/A</v>
      </c>
      <c r="BG45" s="172" t="b">
        <f>IF(O45=Data!$QK$2,Data!$QL$1,IF(O45=Data!$QK$3,Data!$QM$1,IF(O45=Data!$QK$4,Data!$QN$1,IF(O45=Data!$QK$5,Data!$QO$1,IF(O45=Data!$QK$6,Data!$QP$1,IF(O45=Data!$QK$7,Data!$QQ$1,IF(O45=Data!$QK$8,Data!$QR$1,IF(O45=Data!$QK$9,Data!$QS$1, IF(O45=Data!$QK$10,Data!$QV$1, IF(O45=Data!$QK$11,Data!$QW$1))))))))))</f>
        <v>0</v>
      </c>
      <c r="BH45" s="33" t="b">
        <f>IF(O45=Data!$QK$2,Data!$QL$17,IF(O45=Data!$QK$3,Data!$QM$17,IF(O45=Data!$QK$4,Data!$QN$17,IF(O45=Data!$QK$5,Data!$QO$17,IF(O45=Data!$QK$6,Data!$QP$17,IF(O45=Data!$QK$7,Data!$QQ$17,IF(O45=Data!$QK$8,Data!$QR$17,IF(O45=Data!$QK$9,Data!$QS$17,IF(O45=Data!$QK$10,Data!$QV$17,IF(O45=Data!$QK$11,Data!$QW$17))))))))))</f>
        <v>0</v>
      </c>
      <c r="BI45" s="33" t="e">
        <f>VLOOKUP(O45,Data!$PU$13:$PV$22,2,FALSE)</f>
        <v>#N/A</v>
      </c>
      <c r="BJ45" s="33" t="e">
        <f>MATCH('Roller Blinds'!D45,Data!$AAK$2:$AAK$15)</f>
        <v>#N/A</v>
      </c>
      <c r="BK45" s="33" t="e">
        <f>MATCH(L45,Data!$AAL$1:$AAM$1)</f>
        <v>#N/A</v>
      </c>
      <c r="BL45" s="33" t="e">
        <f>INDEX(Data!$AAL$2:$AAM$15,BJ45,BK45)</f>
        <v>#N/A</v>
      </c>
    </row>
    <row r="46" spans="1:64" ht="30" customHeight="1" thickTop="1" thickBot="1">
      <c r="A46" s="52">
        <v>39</v>
      </c>
      <c r="B46" s="13"/>
      <c r="C46" s="13"/>
      <c r="D46" s="19"/>
      <c r="E46" s="15"/>
      <c r="F46" s="10"/>
      <c r="G46" s="10"/>
      <c r="H46" s="14"/>
      <c r="I46" s="14"/>
      <c r="J46" s="563"/>
      <c r="K46" s="564"/>
      <c r="L46" s="15"/>
      <c r="M46" s="15"/>
      <c r="N46" s="15"/>
      <c r="O46" s="580"/>
      <c r="P46" s="581"/>
      <c r="Q46" s="13"/>
      <c r="R46" s="13"/>
      <c r="S46" s="13"/>
      <c r="T46" s="13"/>
      <c r="U46" s="13"/>
      <c r="V46" s="13"/>
      <c r="W46" s="13"/>
      <c r="X46" s="15"/>
      <c r="Y46" s="16"/>
      <c r="Z46" s="175"/>
      <c r="AA46" s="229"/>
      <c r="AB46" s="230"/>
      <c r="AC46" s="33" t="e">
        <f t="shared" si="0"/>
        <v>#N/A</v>
      </c>
      <c r="AD46" s="33" t="e">
        <f>VLOOKUP(S46,Data!$QH$2:$QI$4,2,FALSE)</f>
        <v>#N/A</v>
      </c>
      <c r="AF46" s="172" t="e">
        <f t="shared" si="1"/>
        <v>#N/A</v>
      </c>
      <c r="AI46" s="172" t="b">
        <f>IF(W46=Data!$KK$2,Data!$KM$1,IF(W46=Data!$KK$3,Data!$KN$1,IF(W46=Data!$KK$4,Data!$KP$1,IF(W46=Data!$KK$5,Data!$KQ$1))))</f>
        <v>0</v>
      </c>
      <c r="AJ46" s="33" t="str">
        <f>IF(D46=Data!$W$10,Data!$QJ$1,Data!$QK$1)</f>
        <v>RollerControl</v>
      </c>
      <c r="AM46" s="33" t="b">
        <f>IF(S46=Data!$PX$2,Data!$PZ$1,IF(S46=Data!$PX$3,Data!$PY$1,IF(S46=Data!$PX$4,Data!$QA$1)))</f>
        <v>0</v>
      </c>
      <c r="AO46" s="33" t="b">
        <f>IF(S46=Data!$PX$3,Data!$QB$1,IF(S46=Data!$PX$2,Data!$QC$1,IF(S46=Data!$PX$4,Data!$QD$1)))</f>
        <v>0</v>
      </c>
      <c r="AQ46" s="33" t="str">
        <f>IF(D46=Data!$W$3,Data!$QF$1,IF(D46=Data!$W$4,Data!$QF$1,IF(D46=Data!$W$5,Data!$QF$1,IF(D46=Data!$W$6,Data!$QF$1,IF(D46=Data!$W$7,Data!$QF$1,IF(D46=Data!$W$8,Data!$QF$1,IF(D46=Data!$W$9,Data!$QF$1,IF(D46=Data!$W$10,Data!$QE$1,IF(D46=Data!$W$11,Data!$QF$1,IF(D46=Data!$W$12,Data!$QF$1,IF(D46=Data!$W$13,Data!$QF$1,IF(D46=Data!$W$14,Data!$QF$1,IF(D46=Data!$W$15,Data!$QF$1,IF(D46=Data!$W$16,Data!$QF$1))))))))))))))</f>
        <v>RollerBracketType2</v>
      </c>
      <c r="BA46" s="40" t="str">
        <f>IF(AND(F46&lt;2130, OR(G46&lt;2100)),Data!$KS$1,Data!$KT$1)</f>
        <v>Small_Tube</v>
      </c>
      <c r="BB46" s="172" t="e">
        <f>MATCH(W46,Data!$LA$1:$LD$1,0)</f>
        <v>#N/A</v>
      </c>
      <c r="BC46" s="172">
        <f>MATCH('Roller Blinds'!BA46,Data!$KZ$2:$KZ$3,0)</f>
        <v>1</v>
      </c>
      <c r="BD46" s="172" t="e">
        <f>INDEX(Data!$LA$2:$LD$3,'Roller Blinds'!BC46,'Roller Blinds'!BB46)</f>
        <v>#N/A</v>
      </c>
      <c r="BG46" s="172" t="b">
        <f>IF(O46=Data!$QK$2,Data!$QL$1,IF(O46=Data!$QK$3,Data!$QM$1,IF(O46=Data!$QK$4,Data!$QN$1,IF(O46=Data!$QK$5,Data!$QO$1,IF(O46=Data!$QK$6,Data!$QP$1,IF(O46=Data!$QK$7,Data!$QQ$1,IF(O46=Data!$QK$8,Data!$QR$1,IF(O46=Data!$QK$9,Data!$QS$1, IF(O46=Data!$QK$10,Data!$QV$1, IF(O46=Data!$QK$11,Data!$QW$1))))))))))</f>
        <v>0</v>
      </c>
      <c r="BH46" s="33" t="b">
        <f>IF(O46=Data!$QK$2,Data!$QL$17,IF(O46=Data!$QK$3,Data!$QM$17,IF(O46=Data!$QK$4,Data!$QN$17,IF(O46=Data!$QK$5,Data!$QO$17,IF(O46=Data!$QK$6,Data!$QP$17,IF(O46=Data!$QK$7,Data!$QQ$17,IF(O46=Data!$QK$8,Data!$QR$17,IF(O46=Data!$QK$9,Data!$QS$17,IF(O46=Data!$QK$10,Data!$QV$17,IF(O46=Data!$QK$11,Data!$QW$17))))))))))</f>
        <v>0</v>
      </c>
      <c r="BI46" s="33" t="e">
        <f>VLOOKUP(O46,Data!$PU$13:$PV$22,2,FALSE)</f>
        <v>#N/A</v>
      </c>
      <c r="BJ46" s="33" t="e">
        <f>MATCH('Roller Blinds'!D46,Data!$AAK$2:$AAK$15)</f>
        <v>#N/A</v>
      </c>
      <c r="BK46" s="33" t="e">
        <f>MATCH(L46,Data!$AAL$1:$AAM$1)</f>
        <v>#N/A</v>
      </c>
      <c r="BL46" s="33" t="e">
        <f>INDEX(Data!$AAL$2:$AAM$15,BJ46,BK46)</f>
        <v>#N/A</v>
      </c>
    </row>
    <row r="47" spans="1:64" ht="30" customHeight="1" thickTop="1" thickBot="1">
      <c r="A47" s="52">
        <v>40</v>
      </c>
      <c r="B47" s="13"/>
      <c r="C47" s="13"/>
      <c r="D47" s="19"/>
      <c r="E47" s="15"/>
      <c r="F47" s="10"/>
      <c r="G47" s="10"/>
      <c r="H47" s="14"/>
      <c r="I47" s="14"/>
      <c r="J47" s="563"/>
      <c r="K47" s="564"/>
      <c r="L47" s="15"/>
      <c r="M47" s="15"/>
      <c r="N47" s="15"/>
      <c r="O47" s="580"/>
      <c r="P47" s="581"/>
      <c r="Q47" s="13"/>
      <c r="R47" s="13"/>
      <c r="S47" s="13"/>
      <c r="T47" s="13"/>
      <c r="U47" s="13"/>
      <c r="V47" s="13"/>
      <c r="W47" s="13"/>
      <c r="X47" s="15"/>
      <c r="Y47" s="16"/>
      <c r="Z47" s="175"/>
      <c r="AA47" s="229"/>
      <c r="AB47" s="230"/>
      <c r="AC47" s="33" t="e">
        <f t="shared" si="0"/>
        <v>#N/A</v>
      </c>
      <c r="AD47" s="33" t="e">
        <f>VLOOKUP(S47,Data!$QH$2:$QI$4,2,FALSE)</f>
        <v>#N/A</v>
      </c>
      <c r="AF47" s="172" t="e">
        <f t="shared" si="1"/>
        <v>#N/A</v>
      </c>
      <c r="AI47" s="172" t="b">
        <f>IF(W47=Data!$KK$2,Data!$KM$1,IF(W47=Data!$KK$3,Data!$KN$1,IF(W47=Data!$KK$4,Data!$KP$1,IF(W47=Data!$KK$5,Data!$KQ$1))))</f>
        <v>0</v>
      </c>
      <c r="AJ47" s="33" t="str">
        <f>IF(D47=Data!$W$10,Data!$QJ$1,Data!$QK$1)</f>
        <v>RollerControl</v>
      </c>
      <c r="AM47" s="33" t="b">
        <f>IF(S47=Data!$PX$2,Data!$PZ$1,IF(S47=Data!$PX$3,Data!$PY$1,IF(S47=Data!$PX$4,Data!$QA$1)))</f>
        <v>0</v>
      </c>
      <c r="AO47" s="33" t="b">
        <f>IF(S47=Data!$PX$3,Data!$QB$1,IF(S47=Data!$PX$2,Data!$QC$1,IF(S47=Data!$PX$4,Data!$QD$1)))</f>
        <v>0</v>
      </c>
      <c r="AQ47" s="33" t="str">
        <f>IF(D47=Data!$W$3,Data!$QF$1,IF(D47=Data!$W$4,Data!$QF$1,IF(D47=Data!$W$5,Data!$QF$1,IF(D47=Data!$W$6,Data!$QF$1,IF(D47=Data!$W$7,Data!$QF$1,IF(D47=Data!$W$8,Data!$QF$1,IF(D47=Data!$W$9,Data!$QF$1,IF(D47=Data!$W$10,Data!$QE$1,IF(D47=Data!$W$11,Data!$QF$1,IF(D47=Data!$W$12,Data!$QF$1,IF(D47=Data!$W$13,Data!$QF$1,IF(D47=Data!$W$14,Data!$QF$1,IF(D47=Data!$W$15,Data!$QF$1,IF(D47=Data!$W$16,Data!$QF$1))))))))))))))</f>
        <v>RollerBracketType2</v>
      </c>
      <c r="BA47" s="40" t="str">
        <f>IF(AND(F47&lt;2130, OR(G47&lt;2100)),Data!$KS$1,Data!$KT$1)</f>
        <v>Small_Tube</v>
      </c>
      <c r="BB47" s="172" t="e">
        <f>MATCH(W47,Data!$LA$1:$LD$1,0)</f>
        <v>#N/A</v>
      </c>
      <c r="BC47" s="172">
        <f>MATCH('Roller Blinds'!BA47,Data!$KZ$2:$KZ$3,0)</f>
        <v>1</v>
      </c>
      <c r="BD47" s="172" t="e">
        <f>INDEX(Data!$LA$2:$LD$3,'Roller Blinds'!BC47,'Roller Blinds'!BB47)</f>
        <v>#N/A</v>
      </c>
      <c r="BG47" s="172" t="b">
        <f>IF(O47=Data!$QK$2,Data!$QL$1,IF(O47=Data!$QK$3,Data!$QM$1,IF(O47=Data!$QK$4,Data!$QN$1,IF(O47=Data!$QK$5,Data!$QO$1,IF(O47=Data!$QK$6,Data!$QP$1,IF(O47=Data!$QK$7,Data!$QQ$1,IF(O47=Data!$QK$8,Data!$QR$1,IF(O47=Data!$QK$9,Data!$QS$1, IF(O47=Data!$QK$10,Data!$QV$1, IF(O47=Data!$QK$11,Data!$QW$1))))))))))</f>
        <v>0</v>
      </c>
      <c r="BH47" s="33" t="b">
        <f>IF(O47=Data!$QK$2,Data!$QL$17,IF(O47=Data!$QK$3,Data!$QM$17,IF(O47=Data!$QK$4,Data!$QN$17,IF(O47=Data!$QK$5,Data!$QO$17,IF(O47=Data!$QK$6,Data!$QP$17,IF(O47=Data!$QK$7,Data!$QQ$17,IF(O47=Data!$QK$8,Data!$QR$17,IF(O47=Data!$QK$9,Data!$QS$17,IF(O47=Data!$QK$10,Data!$QV$17,IF(O47=Data!$QK$11,Data!$QW$17))))))))))</f>
        <v>0</v>
      </c>
      <c r="BI47" s="33" t="e">
        <f>VLOOKUP(O47,Data!$PU$13:$PV$22,2,FALSE)</f>
        <v>#N/A</v>
      </c>
      <c r="BJ47" s="33" t="e">
        <f>MATCH('Roller Blinds'!D47,Data!$AAK$2:$AAK$15)</f>
        <v>#N/A</v>
      </c>
      <c r="BK47" s="33" t="e">
        <f>MATCH(L47,Data!$AAL$1:$AAM$1)</f>
        <v>#N/A</v>
      </c>
      <c r="BL47" s="33" t="e">
        <f>INDEX(Data!$AAL$2:$AAM$15,BJ47,BK47)</f>
        <v>#N/A</v>
      </c>
    </row>
    <row r="48" spans="1:64" ht="30" customHeight="1" thickTop="1" thickBot="1">
      <c r="A48" s="52">
        <v>41</v>
      </c>
      <c r="B48" s="13"/>
      <c r="C48" s="13"/>
      <c r="D48" s="19"/>
      <c r="E48" s="15"/>
      <c r="F48" s="10"/>
      <c r="G48" s="10"/>
      <c r="H48" s="14"/>
      <c r="I48" s="14"/>
      <c r="J48" s="563"/>
      <c r="K48" s="564"/>
      <c r="L48" s="15"/>
      <c r="M48" s="15"/>
      <c r="N48" s="15"/>
      <c r="O48" s="580"/>
      <c r="P48" s="581"/>
      <c r="Q48" s="13"/>
      <c r="R48" s="13"/>
      <c r="S48" s="13"/>
      <c r="T48" s="13"/>
      <c r="U48" s="13"/>
      <c r="V48" s="13"/>
      <c r="W48" s="13"/>
      <c r="X48" s="15"/>
      <c r="Y48" s="16"/>
      <c r="Z48" s="175"/>
      <c r="AA48" s="229"/>
      <c r="AB48" s="230"/>
      <c r="AC48" s="33" t="e">
        <f t="shared" si="0"/>
        <v>#N/A</v>
      </c>
      <c r="AD48" s="33" t="e">
        <f>VLOOKUP(S48,Data!$QH$2:$QI$4,2,FALSE)</f>
        <v>#N/A</v>
      </c>
      <c r="AF48" s="172" t="e">
        <f t="shared" si="1"/>
        <v>#N/A</v>
      </c>
      <c r="AI48" s="172" t="b">
        <f>IF(W48=Data!$KK$2,Data!$KM$1,IF(W48=Data!$KK$3,Data!$KN$1,IF(W48=Data!$KK$4,Data!$KP$1,IF(W48=Data!$KK$5,Data!$KQ$1))))</f>
        <v>0</v>
      </c>
      <c r="AJ48" s="33" t="str">
        <f>IF(D48=Data!$W$10,Data!$QJ$1,Data!$QK$1)</f>
        <v>RollerControl</v>
      </c>
      <c r="AM48" s="33" t="b">
        <f>IF(S48=Data!$PX$2,Data!$PZ$1,IF(S48=Data!$PX$3,Data!$PY$1,IF(S48=Data!$PX$4,Data!$QA$1)))</f>
        <v>0</v>
      </c>
      <c r="AO48" s="33" t="b">
        <f>IF(S48=Data!$PX$3,Data!$QB$1,IF(S48=Data!$PX$2,Data!$QC$1,IF(S48=Data!$PX$4,Data!$QD$1)))</f>
        <v>0</v>
      </c>
      <c r="AQ48" s="33" t="str">
        <f>IF(D48=Data!$W$3,Data!$QF$1,IF(D48=Data!$W$4,Data!$QF$1,IF(D48=Data!$W$5,Data!$QF$1,IF(D48=Data!$W$6,Data!$QF$1,IF(D48=Data!$W$7,Data!$QF$1,IF(D48=Data!$W$8,Data!$QF$1,IF(D48=Data!$W$9,Data!$QF$1,IF(D48=Data!$W$10,Data!$QE$1,IF(D48=Data!$W$11,Data!$QF$1,IF(D48=Data!$W$12,Data!$QF$1,IF(D48=Data!$W$13,Data!$QF$1,IF(D48=Data!$W$14,Data!$QF$1,IF(D48=Data!$W$15,Data!$QF$1,IF(D48=Data!$W$16,Data!$QF$1))))))))))))))</f>
        <v>RollerBracketType2</v>
      </c>
      <c r="BA48" s="40" t="str">
        <f>IF(AND(F48&lt;2130, OR(G48&lt;2100)),Data!$KS$1,Data!$KT$1)</f>
        <v>Small_Tube</v>
      </c>
      <c r="BB48" s="172" t="e">
        <f>MATCH(W48,Data!$LA$1:$LD$1,0)</f>
        <v>#N/A</v>
      </c>
      <c r="BC48" s="172">
        <f>MATCH('Roller Blinds'!BA48,Data!$KZ$2:$KZ$3,0)</f>
        <v>1</v>
      </c>
      <c r="BD48" s="172" t="e">
        <f>INDEX(Data!$LA$2:$LD$3,'Roller Blinds'!BC48,'Roller Blinds'!BB48)</f>
        <v>#N/A</v>
      </c>
      <c r="BG48" s="172" t="b">
        <f>IF(O48=Data!$QK$2,Data!$QL$1,IF(O48=Data!$QK$3,Data!$QM$1,IF(O48=Data!$QK$4,Data!$QN$1,IF(O48=Data!$QK$5,Data!$QO$1,IF(O48=Data!$QK$6,Data!$QP$1,IF(O48=Data!$QK$7,Data!$QQ$1,IF(O48=Data!$QK$8,Data!$QR$1,IF(O48=Data!$QK$9,Data!$QS$1, IF(O48=Data!$QK$10,Data!$QV$1, IF(O48=Data!$QK$11,Data!$QW$1))))))))))</f>
        <v>0</v>
      </c>
      <c r="BH48" s="33" t="b">
        <f>IF(O48=Data!$QK$2,Data!$QL$17,IF(O48=Data!$QK$3,Data!$QM$17,IF(O48=Data!$QK$4,Data!$QN$17,IF(O48=Data!$QK$5,Data!$QO$17,IF(O48=Data!$QK$6,Data!$QP$17,IF(O48=Data!$QK$7,Data!$QQ$17,IF(O48=Data!$QK$8,Data!$QR$17,IF(O48=Data!$QK$9,Data!$QS$17,IF(O48=Data!$QK$10,Data!$QV$17,IF(O48=Data!$QK$11,Data!$QW$17))))))))))</f>
        <v>0</v>
      </c>
      <c r="BI48" s="33" t="e">
        <f>VLOOKUP(O48,Data!$PU$13:$PV$22,2,FALSE)</f>
        <v>#N/A</v>
      </c>
      <c r="BJ48" s="33" t="e">
        <f>MATCH('Roller Blinds'!D48,Data!$AAK$2:$AAK$15)</f>
        <v>#N/A</v>
      </c>
      <c r="BK48" s="33" t="e">
        <f>MATCH(L48,Data!$AAL$1:$AAM$1)</f>
        <v>#N/A</v>
      </c>
      <c r="BL48" s="33" t="e">
        <f>INDEX(Data!$AAL$2:$AAM$15,BJ48,BK48)</f>
        <v>#N/A</v>
      </c>
    </row>
    <row r="49" spans="1:64" ht="30" customHeight="1" thickTop="1" thickBot="1">
      <c r="A49" s="52">
        <v>42</v>
      </c>
      <c r="B49" s="13"/>
      <c r="C49" s="13"/>
      <c r="D49" s="19"/>
      <c r="E49" s="15"/>
      <c r="F49" s="10"/>
      <c r="G49" s="10"/>
      <c r="H49" s="14"/>
      <c r="I49" s="14"/>
      <c r="J49" s="563"/>
      <c r="K49" s="564"/>
      <c r="L49" s="15"/>
      <c r="M49" s="15"/>
      <c r="N49" s="15"/>
      <c r="O49" s="580"/>
      <c r="P49" s="581"/>
      <c r="Q49" s="13"/>
      <c r="R49" s="13"/>
      <c r="S49" s="13"/>
      <c r="T49" s="13"/>
      <c r="U49" s="13"/>
      <c r="V49" s="13"/>
      <c r="W49" s="13"/>
      <c r="X49" s="15"/>
      <c r="Y49" s="16"/>
      <c r="Z49" s="175"/>
      <c r="AA49" s="229"/>
      <c r="AB49" s="230"/>
      <c r="AC49" s="33" t="e">
        <f t="shared" si="0"/>
        <v>#N/A</v>
      </c>
      <c r="AD49" s="33" t="e">
        <f>VLOOKUP(S49,Data!$QH$2:$QI$4,2,FALSE)</f>
        <v>#N/A</v>
      </c>
      <c r="AF49" s="172" t="e">
        <f t="shared" si="1"/>
        <v>#N/A</v>
      </c>
      <c r="AI49" s="172" t="b">
        <f>IF(W49=Data!$KK$2,Data!$KM$1,IF(W49=Data!$KK$3,Data!$KN$1,IF(W49=Data!$KK$4,Data!$KP$1,IF(W49=Data!$KK$5,Data!$KQ$1))))</f>
        <v>0</v>
      </c>
      <c r="AJ49" s="33" t="str">
        <f>IF(D49=Data!$W$10,Data!$QJ$1,Data!$QK$1)</f>
        <v>RollerControl</v>
      </c>
      <c r="AM49" s="33" t="b">
        <f>IF(S49=Data!$PX$2,Data!$PZ$1,IF(S49=Data!$PX$3,Data!$PY$1,IF(S49=Data!$PX$4,Data!$QA$1)))</f>
        <v>0</v>
      </c>
      <c r="AO49" s="33" t="b">
        <f>IF(S49=Data!$PX$3,Data!$QB$1,IF(S49=Data!$PX$2,Data!$QC$1,IF(S49=Data!$PX$4,Data!$QD$1)))</f>
        <v>0</v>
      </c>
      <c r="AQ49" s="33" t="str">
        <f>IF(D49=Data!$W$3,Data!$QF$1,IF(D49=Data!$W$4,Data!$QF$1,IF(D49=Data!$W$5,Data!$QF$1,IF(D49=Data!$W$6,Data!$QF$1,IF(D49=Data!$W$7,Data!$QF$1,IF(D49=Data!$W$8,Data!$QF$1,IF(D49=Data!$W$9,Data!$QF$1,IF(D49=Data!$W$10,Data!$QE$1,IF(D49=Data!$W$11,Data!$QF$1,IF(D49=Data!$W$12,Data!$QF$1,IF(D49=Data!$W$13,Data!$QF$1,IF(D49=Data!$W$14,Data!$QF$1,IF(D49=Data!$W$15,Data!$QF$1,IF(D49=Data!$W$16,Data!$QF$1))))))))))))))</f>
        <v>RollerBracketType2</v>
      </c>
      <c r="BA49" s="40" t="str">
        <f>IF(AND(F49&lt;2130, OR(G49&lt;2100)),Data!$KS$1,Data!$KT$1)</f>
        <v>Small_Tube</v>
      </c>
      <c r="BB49" s="172" t="e">
        <f>MATCH(W49,Data!$LA$1:$LD$1,0)</f>
        <v>#N/A</v>
      </c>
      <c r="BC49" s="172">
        <f>MATCH('Roller Blinds'!BA49,Data!$KZ$2:$KZ$3,0)</f>
        <v>1</v>
      </c>
      <c r="BD49" s="172" t="e">
        <f>INDEX(Data!$LA$2:$LD$3,'Roller Blinds'!BC49,'Roller Blinds'!BB49)</f>
        <v>#N/A</v>
      </c>
      <c r="BG49" s="172" t="b">
        <f>IF(O49=Data!$QK$2,Data!$QL$1,IF(O49=Data!$QK$3,Data!$QM$1,IF(O49=Data!$QK$4,Data!$QN$1,IF(O49=Data!$QK$5,Data!$QO$1,IF(O49=Data!$QK$6,Data!$QP$1,IF(O49=Data!$QK$7,Data!$QQ$1,IF(O49=Data!$QK$8,Data!$QR$1,IF(O49=Data!$QK$9,Data!$QS$1, IF(O49=Data!$QK$10,Data!$QV$1, IF(O49=Data!$QK$11,Data!$QW$1))))))))))</f>
        <v>0</v>
      </c>
      <c r="BH49" s="33" t="b">
        <f>IF(O49=Data!$QK$2,Data!$QL$17,IF(O49=Data!$QK$3,Data!$QM$17,IF(O49=Data!$QK$4,Data!$QN$17,IF(O49=Data!$QK$5,Data!$QO$17,IF(O49=Data!$QK$6,Data!$QP$17,IF(O49=Data!$QK$7,Data!$QQ$17,IF(O49=Data!$QK$8,Data!$QR$17,IF(O49=Data!$QK$9,Data!$QS$17,IF(O49=Data!$QK$10,Data!$QV$17,IF(O49=Data!$QK$11,Data!$QW$17))))))))))</f>
        <v>0</v>
      </c>
      <c r="BI49" s="33" t="e">
        <f>VLOOKUP(O49,Data!$PU$13:$PV$22,2,FALSE)</f>
        <v>#N/A</v>
      </c>
      <c r="BJ49" s="33" t="e">
        <f>MATCH('Roller Blinds'!D49,Data!$AAK$2:$AAK$15)</f>
        <v>#N/A</v>
      </c>
      <c r="BK49" s="33" t="e">
        <f>MATCH(L49,Data!$AAL$1:$AAM$1)</f>
        <v>#N/A</v>
      </c>
      <c r="BL49" s="33" t="e">
        <f>INDEX(Data!$AAL$2:$AAM$15,BJ49,BK49)</f>
        <v>#N/A</v>
      </c>
    </row>
    <row r="50" spans="1:64" ht="30" customHeight="1" thickTop="1" thickBot="1">
      <c r="A50" s="52">
        <v>43</v>
      </c>
      <c r="B50" s="13"/>
      <c r="C50" s="13"/>
      <c r="D50" s="19"/>
      <c r="E50" s="15"/>
      <c r="F50" s="10"/>
      <c r="G50" s="10"/>
      <c r="H50" s="14"/>
      <c r="I50" s="14"/>
      <c r="J50" s="563"/>
      <c r="K50" s="564"/>
      <c r="L50" s="15"/>
      <c r="M50" s="15"/>
      <c r="N50" s="15"/>
      <c r="O50" s="580"/>
      <c r="P50" s="581"/>
      <c r="Q50" s="13"/>
      <c r="R50" s="13"/>
      <c r="S50" s="13"/>
      <c r="T50" s="13"/>
      <c r="U50" s="13"/>
      <c r="V50" s="13"/>
      <c r="W50" s="13"/>
      <c r="X50" s="15"/>
      <c r="Y50" s="16"/>
      <c r="Z50" s="175"/>
      <c r="AA50" s="229"/>
      <c r="AB50" s="230"/>
      <c r="AC50" s="33" t="e">
        <f t="shared" si="0"/>
        <v>#N/A</v>
      </c>
      <c r="AD50" s="33" t="e">
        <f>VLOOKUP(S50,Data!$QH$2:$QI$4,2,FALSE)</f>
        <v>#N/A</v>
      </c>
      <c r="AF50" s="172" t="e">
        <f t="shared" si="1"/>
        <v>#N/A</v>
      </c>
      <c r="AI50" s="172" t="b">
        <f>IF(W50=Data!$KK$2,Data!$KM$1,IF(W50=Data!$KK$3,Data!$KN$1,IF(W50=Data!$KK$4,Data!$KP$1,IF(W50=Data!$KK$5,Data!$KQ$1))))</f>
        <v>0</v>
      </c>
      <c r="AJ50" s="33" t="str">
        <f>IF(D50=Data!$W$10,Data!$QJ$1,Data!$QK$1)</f>
        <v>RollerControl</v>
      </c>
      <c r="AM50" s="33" t="b">
        <f>IF(S50=Data!$PX$2,Data!$PZ$1,IF(S50=Data!$PX$3,Data!$PY$1,IF(S50=Data!$PX$4,Data!$QA$1)))</f>
        <v>0</v>
      </c>
      <c r="AO50" s="33" t="b">
        <f>IF(S50=Data!$PX$3,Data!$QB$1,IF(S50=Data!$PX$2,Data!$QC$1,IF(S50=Data!$PX$4,Data!$QD$1)))</f>
        <v>0</v>
      </c>
      <c r="AQ50" s="33" t="str">
        <f>IF(D50=Data!$W$3,Data!$QF$1,IF(D50=Data!$W$4,Data!$QF$1,IF(D50=Data!$W$5,Data!$QF$1,IF(D50=Data!$W$6,Data!$QF$1,IF(D50=Data!$W$7,Data!$QF$1,IF(D50=Data!$W$8,Data!$QF$1,IF(D50=Data!$W$9,Data!$QF$1,IF(D50=Data!$W$10,Data!$QE$1,IF(D50=Data!$W$11,Data!$QF$1,IF(D50=Data!$W$12,Data!$QF$1,IF(D50=Data!$W$13,Data!$QF$1,IF(D50=Data!$W$14,Data!$QF$1,IF(D50=Data!$W$15,Data!$QF$1,IF(D50=Data!$W$16,Data!$QF$1))))))))))))))</f>
        <v>RollerBracketType2</v>
      </c>
      <c r="BA50" s="40" t="str">
        <f>IF(AND(F50&lt;2130, OR(G50&lt;2100)),Data!$KS$1,Data!$KT$1)</f>
        <v>Small_Tube</v>
      </c>
      <c r="BB50" s="172" t="e">
        <f>MATCH(W50,Data!$LA$1:$LD$1,0)</f>
        <v>#N/A</v>
      </c>
      <c r="BC50" s="172">
        <f>MATCH('Roller Blinds'!BA50,Data!$KZ$2:$KZ$3,0)</f>
        <v>1</v>
      </c>
      <c r="BD50" s="172" t="e">
        <f>INDEX(Data!$LA$2:$LD$3,'Roller Blinds'!BC50,'Roller Blinds'!BB50)</f>
        <v>#N/A</v>
      </c>
      <c r="BG50" s="172" t="b">
        <f>IF(O50=Data!$QK$2,Data!$QL$1,IF(O50=Data!$QK$3,Data!$QM$1,IF(O50=Data!$QK$4,Data!$QN$1,IF(O50=Data!$QK$5,Data!$QO$1,IF(O50=Data!$QK$6,Data!$QP$1,IF(O50=Data!$QK$7,Data!$QQ$1,IF(O50=Data!$QK$8,Data!$QR$1,IF(O50=Data!$QK$9,Data!$QS$1, IF(O50=Data!$QK$10,Data!$QV$1, IF(O50=Data!$QK$11,Data!$QW$1))))))))))</f>
        <v>0</v>
      </c>
      <c r="BH50" s="33" t="b">
        <f>IF(O50=Data!$QK$2,Data!$QL$17,IF(O50=Data!$QK$3,Data!$QM$17,IF(O50=Data!$QK$4,Data!$QN$17,IF(O50=Data!$QK$5,Data!$QO$17,IF(O50=Data!$QK$6,Data!$QP$17,IF(O50=Data!$QK$7,Data!$QQ$17,IF(O50=Data!$QK$8,Data!$QR$17,IF(O50=Data!$QK$9,Data!$QS$17,IF(O50=Data!$QK$10,Data!$QV$17,IF(O50=Data!$QK$11,Data!$QW$17))))))))))</f>
        <v>0</v>
      </c>
      <c r="BI50" s="33" t="e">
        <f>VLOOKUP(O50,Data!$PU$13:$PV$22,2,FALSE)</f>
        <v>#N/A</v>
      </c>
      <c r="BJ50" s="33" t="e">
        <f>MATCH('Roller Blinds'!D50,Data!$AAK$2:$AAK$15)</f>
        <v>#N/A</v>
      </c>
      <c r="BK50" s="33" t="e">
        <f>MATCH(L50,Data!$AAL$1:$AAM$1)</f>
        <v>#N/A</v>
      </c>
      <c r="BL50" s="33" t="e">
        <f>INDEX(Data!$AAL$2:$AAM$15,BJ50,BK50)</f>
        <v>#N/A</v>
      </c>
    </row>
    <row r="51" spans="1:64" ht="30" customHeight="1" thickTop="1" thickBot="1">
      <c r="A51" s="52">
        <v>44</v>
      </c>
      <c r="B51" s="13"/>
      <c r="C51" s="13"/>
      <c r="D51" s="19"/>
      <c r="E51" s="15"/>
      <c r="F51" s="10"/>
      <c r="G51" s="10"/>
      <c r="H51" s="14"/>
      <c r="I51" s="14"/>
      <c r="J51" s="563"/>
      <c r="K51" s="564"/>
      <c r="L51" s="15"/>
      <c r="M51" s="15"/>
      <c r="N51" s="15"/>
      <c r="O51" s="580"/>
      <c r="P51" s="581"/>
      <c r="Q51" s="13"/>
      <c r="R51" s="13"/>
      <c r="S51" s="13"/>
      <c r="T51" s="13"/>
      <c r="U51" s="13"/>
      <c r="V51" s="13"/>
      <c r="W51" s="13"/>
      <c r="X51" s="15"/>
      <c r="Y51" s="16"/>
      <c r="Z51" s="175"/>
      <c r="AA51" s="229"/>
      <c r="AB51" s="230"/>
      <c r="AC51" s="33" t="e">
        <f t="shared" si="0"/>
        <v>#N/A</v>
      </c>
      <c r="AD51" s="33" t="e">
        <f>VLOOKUP(S51,Data!$QH$2:$QI$4,2,FALSE)</f>
        <v>#N/A</v>
      </c>
      <c r="AF51" s="172" t="e">
        <f t="shared" si="1"/>
        <v>#N/A</v>
      </c>
      <c r="AI51" s="172" t="b">
        <f>IF(W51=Data!$KK$2,Data!$KM$1,IF(W51=Data!$KK$3,Data!$KN$1,IF(W51=Data!$KK$4,Data!$KP$1,IF(W51=Data!$KK$5,Data!$KQ$1))))</f>
        <v>0</v>
      </c>
      <c r="AJ51" s="33" t="str">
        <f>IF(D51=Data!$W$10,Data!$QJ$1,Data!$QK$1)</f>
        <v>RollerControl</v>
      </c>
      <c r="AM51" s="33" t="b">
        <f>IF(S51=Data!$PX$2,Data!$PZ$1,IF(S51=Data!$PX$3,Data!$PY$1,IF(S51=Data!$PX$4,Data!$QA$1)))</f>
        <v>0</v>
      </c>
      <c r="AO51" s="33" t="b">
        <f>IF(S51=Data!$PX$3,Data!$QB$1,IF(S51=Data!$PX$2,Data!$QC$1,IF(S51=Data!$PX$4,Data!$QD$1)))</f>
        <v>0</v>
      </c>
      <c r="AQ51" s="33" t="str">
        <f>IF(D51=Data!$W$3,Data!$QF$1,IF(D51=Data!$W$4,Data!$QF$1,IF(D51=Data!$W$5,Data!$QF$1,IF(D51=Data!$W$6,Data!$QF$1,IF(D51=Data!$W$7,Data!$QF$1,IF(D51=Data!$W$8,Data!$QF$1,IF(D51=Data!$W$9,Data!$QF$1,IF(D51=Data!$W$10,Data!$QE$1,IF(D51=Data!$W$11,Data!$QF$1,IF(D51=Data!$W$12,Data!$QF$1,IF(D51=Data!$W$13,Data!$QF$1,IF(D51=Data!$W$14,Data!$QF$1,IF(D51=Data!$W$15,Data!$QF$1,IF(D51=Data!$W$16,Data!$QF$1))))))))))))))</f>
        <v>RollerBracketType2</v>
      </c>
      <c r="BA51" s="40" t="str">
        <f>IF(AND(F51&lt;2130, OR(G51&lt;2100)),Data!$KS$1,Data!$KT$1)</f>
        <v>Small_Tube</v>
      </c>
      <c r="BB51" s="172" t="e">
        <f>MATCH(W51,Data!$LA$1:$LD$1,0)</f>
        <v>#N/A</v>
      </c>
      <c r="BC51" s="172">
        <f>MATCH('Roller Blinds'!BA51,Data!$KZ$2:$KZ$3,0)</f>
        <v>1</v>
      </c>
      <c r="BD51" s="172" t="e">
        <f>INDEX(Data!$LA$2:$LD$3,'Roller Blinds'!BC51,'Roller Blinds'!BB51)</f>
        <v>#N/A</v>
      </c>
      <c r="BG51" s="172" t="b">
        <f>IF(O51=Data!$QK$2,Data!$QL$1,IF(O51=Data!$QK$3,Data!$QM$1,IF(O51=Data!$QK$4,Data!$QN$1,IF(O51=Data!$QK$5,Data!$QO$1,IF(O51=Data!$QK$6,Data!$QP$1,IF(O51=Data!$QK$7,Data!$QQ$1,IF(O51=Data!$QK$8,Data!$QR$1,IF(O51=Data!$QK$9,Data!$QS$1, IF(O51=Data!$QK$10,Data!$QV$1, IF(O51=Data!$QK$11,Data!$QW$1))))))))))</f>
        <v>0</v>
      </c>
      <c r="BH51" s="33" t="b">
        <f>IF(O51=Data!$QK$2,Data!$QL$17,IF(O51=Data!$QK$3,Data!$QM$17,IF(O51=Data!$QK$4,Data!$QN$17,IF(O51=Data!$QK$5,Data!$QO$17,IF(O51=Data!$QK$6,Data!$QP$17,IF(O51=Data!$QK$7,Data!$QQ$17,IF(O51=Data!$QK$8,Data!$QR$17,IF(O51=Data!$QK$9,Data!$QS$17,IF(O51=Data!$QK$10,Data!$QV$17,IF(O51=Data!$QK$11,Data!$QW$17))))))))))</f>
        <v>0</v>
      </c>
      <c r="BI51" s="33" t="e">
        <f>VLOOKUP(O51,Data!$PU$13:$PV$22,2,FALSE)</f>
        <v>#N/A</v>
      </c>
      <c r="BJ51" s="33" t="e">
        <f>MATCH('Roller Blinds'!D51,Data!$AAK$2:$AAK$15)</f>
        <v>#N/A</v>
      </c>
      <c r="BK51" s="33" t="e">
        <f>MATCH(L51,Data!$AAL$1:$AAM$1)</f>
        <v>#N/A</v>
      </c>
      <c r="BL51" s="33" t="e">
        <f>INDEX(Data!$AAL$2:$AAM$15,BJ51,BK51)</f>
        <v>#N/A</v>
      </c>
    </row>
    <row r="52" spans="1:64" ht="30" customHeight="1" thickTop="1" thickBot="1">
      <c r="A52" s="52">
        <v>45</v>
      </c>
      <c r="B52" s="13"/>
      <c r="C52" s="13"/>
      <c r="D52" s="19"/>
      <c r="E52" s="15"/>
      <c r="F52" s="10"/>
      <c r="G52" s="10"/>
      <c r="H52" s="14"/>
      <c r="I52" s="14"/>
      <c r="J52" s="563"/>
      <c r="K52" s="564"/>
      <c r="L52" s="15"/>
      <c r="M52" s="15"/>
      <c r="N52" s="15"/>
      <c r="O52" s="580"/>
      <c r="P52" s="581"/>
      <c r="Q52" s="13"/>
      <c r="R52" s="13"/>
      <c r="S52" s="13"/>
      <c r="T52" s="13"/>
      <c r="U52" s="13"/>
      <c r="V52" s="13"/>
      <c r="W52" s="13"/>
      <c r="X52" s="15"/>
      <c r="Y52" s="16"/>
      <c r="Z52" s="175"/>
      <c r="AA52" s="229"/>
      <c r="AB52" s="230"/>
      <c r="AC52" s="33" t="e">
        <f t="shared" si="0"/>
        <v>#N/A</v>
      </c>
      <c r="AD52" s="33" t="e">
        <f>VLOOKUP(S52,Data!$QH$2:$QI$4,2,FALSE)</f>
        <v>#N/A</v>
      </c>
      <c r="AF52" s="172" t="e">
        <f t="shared" si="1"/>
        <v>#N/A</v>
      </c>
      <c r="AI52" s="172" t="b">
        <f>IF(W52=Data!$KK$2,Data!$KM$1,IF(W52=Data!$KK$3,Data!$KN$1,IF(W52=Data!$KK$4,Data!$KP$1,IF(W52=Data!$KK$5,Data!$KQ$1))))</f>
        <v>0</v>
      </c>
      <c r="AJ52" s="33" t="str">
        <f>IF(D52=Data!$W$10,Data!$QJ$1,Data!$QK$1)</f>
        <v>RollerControl</v>
      </c>
      <c r="AM52" s="33" t="b">
        <f>IF(S52=Data!$PX$2,Data!$PZ$1,IF(S52=Data!$PX$3,Data!$PY$1,IF(S52=Data!$PX$4,Data!$QA$1)))</f>
        <v>0</v>
      </c>
      <c r="AO52" s="33" t="b">
        <f>IF(S52=Data!$PX$3,Data!$QB$1,IF(S52=Data!$PX$2,Data!$QC$1,IF(S52=Data!$PX$4,Data!$QD$1)))</f>
        <v>0</v>
      </c>
      <c r="AQ52" s="33" t="str">
        <f>IF(D52=Data!$W$3,Data!$QF$1,IF(D52=Data!$W$4,Data!$QF$1,IF(D52=Data!$W$5,Data!$QF$1,IF(D52=Data!$W$6,Data!$QF$1,IF(D52=Data!$W$7,Data!$QF$1,IF(D52=Data!$W$8,Data!$QF$1,IF(D52=Data!$W$9,Data!$QF$1,IF(D52=Data!$W$10,Data!$QE$1,IF(D52=Data!$W$11,Data!$QF$1,IF(D52=Data!$W$12,Data!$QF$1,IF(D52=Data!$W$13,Data!$QF$1,IF(D52=Data!$W$14,Data!$QF$1,IF(D52=Data!$W$15,Data!$QF$1,IF(D52=Data!$W$16,Data!$QF$1))))))))))))))</f>
        <v>RollerBracketType2</v>
      </c>
      <c r="BA52" s="40" t="str">
        <f>IF(AND(F52&lt;2130, OR(G52&lt;2100)),Data!$KS$1,Data!$KT$1)</f>
        <v>Small_Tube</v>
      </c>
      <c r="BB52" s="172" t="e">
        <f>MATCH(W52,Data!$LA$1:$LD$1,0)</f>
        <v>#N/A</v>
      </c>
      <c r="BC52" s="172">
        <f>MATCH('Roller Blinds'!BA52,Data!$KZ$2:$KZ$3,0)</f>
        <v>1</v>
      </c>
      <c r="BD52" s="172" t="e">
        <f>INDEX(Data!$LA$2:$LD$3,'Roller Blinds'!BC52,'Roller Blinds'!BB52)</f>
        <v>#N/A</v>
      </c>
      <c r="BG52" s="172" t="b">
        <f>IF(O52=Data!$QK$2,Data!$QL$1,IF(O52=Data!$QK$3,Data!$QM$1,IF(O52=Data!$QK$4,Data!$QN$1,IF(O52=Data!$QK$5,Data!$QO$1,IF(O52=Data!$QK$6,Data!$QP$1,IF(O52=Data!$QK$7,Data!$QQ$1,IF(O52=Data!$QK$8,Data!$QR$1,IF(O52=Data!$QK$9,Data!$QS$1, IF(O52=Data!$QK$10,Data!$QV$1, IF(O52=Data!$QK$11,Data!$QW$1))))))))))</f>
        <v>0</v>
      </c>
      <c r="BH52" s="33" t="b">
        <f>IF(O52=Data!$QK$2,Data!$QL$17,IF(O52=Data!$QK$3,Data!$QM$17,IF(O52=Data!$QK$4,Data!$QN$17,IF(O52=Data!$QK$5,Data!$QO$17,IF(O52=Data!$QK$6,Data!$QP$17,IF(O52=Data!$QK$7,Data!$QQ$17,IF(O52=Data!$QK$8,Data!$QR$17,IF(O52=Data!$QK$9,Data!$QS$17,IF(O52=Data!$QK$10,Data!$QV$17,IF(O52=Data!$QK$11,Data!$QW$17))))))))))</f>
        <v>0</v>
      </c>
      <c r="BI52" s="33" t="e">
        <f>VLOOKUP(O52,Data!$PU$13:$PV$22,2,FALSE)</f>
        <v>#N/A</v>
      </c>
      <c r="BJ52" s="33" t="e">
        <f>MATCH('Roller Blinds'!D52,Data!$AAK$2:$AAK$15)</f>
        <v>#N/A</v>
      </c>
      <c r="BK52" s="33" t="e">
        <f>MATCH(L52,Data!$AAL$1:$AAM$1)</f>
        <v>#N/A</v>
      </c>
      <c r="BL52" s="33" t="e">
        <f>INDEX(Data!$AAL$2:$AAM$15,BJ52,BK52)</f>
        <v>#N/A</v>
      </c>
    </row>
    <row r="53" spans="1:64" ht="30" customHeight="1" thickTop="1" thickBot="1">
      <c r="A53" s="52">
        <v>46</v>
      </c>
      <c r="B53" s="13"/>
      <c r="C53" s="13"/>
      <c r="D53" s="19"/>
      <c r="E53" s="15"/>
      <c r="F53" s="10"/>
      <c r="G53" s="10"/>
      <c r="H53" s="14"/>
      <c r="I53" s="14"/>
      <c r="J53" s="563"/>
      <c r="K53" s="564"/>
      <c r="L53" s="15"/>
      <c r="M53" s="15"/>
      <c r="N53" s="15"/>
      <c r="O53" s="580"/>
      <c r="P53" s="581"/>
      <c r="Q53" s="13"/>
      <c r="R53" s="13"/>
      <c r="S53" s="13"/>
      <c r="T53" s="13"/>
      <c r="U53" s="13"/>
      <c r="V53" s="13"/>
      <c r="W53" s="13"/>
      <c r="X53" s="15"/>
      <c r="Y53" s="16"/>
      <c r="Z53" s="175"/>
      <c r="AA53" s="229"/>
      <c r="AB53" s="230"/>
      <c r="AC53" s="33" t="e">
        <f t="shared" si="0"/>
        <v>#N/A</v>
      </c>
      <c r="AD53" s="33" t="e">
        <f>VLOOKUP(S53,Data!$QH$2:$QI$4,2,FALSE)</f>
        <v>#N/A</v>
      </c>
      <c r="AF53" s="172" t="e">
        <f t="shared" si="1"/>
        <v>#N/A</v>
      </c>
      <c r="AI53" s="172" t="b">
        <f>IF(W53=Data!$KK$2,Data!$KM$1,IF(W53=Data!$KK$3,Data!$KN$1,IF(W53=Data!$KK$4,Data!$KP$1,IF(W53=Data!$KK$5,Data!$KQ$1))))</f>
        <v>0</v>
      </c>
      <c r="AJ53" s="33" t="str">
        <f>IF(D53=Data!$W$10,Data!$QJ$1,Data!$QK$1)</f>
        <v>RollerControl</v>
      </c>
      <c r="AM53" s="33" t="b">
        <f>IF(S53=Data!$PX$2,Data!$PZ$1,IF(S53=Data!$PX$3,Data!$PY$1,IF(S53=Data!$PX$4,Data!$QA$1)))</f>
        <v>0</v>
      </c>
      <c r="AO53" s="33" t="b">
        <f>IF(S53=Data!$PX$3,Data!$QB$1,IF(S53=Data!$PX$2,Data!$QC$1,IF(S53=Data!$PX$4,Data!$QD$1)))</f>
        <v>0</v>
      </c>
      <c r="AQ53" s="33" t="str">
        <f>IF(D53=Data!$W$3,Data!$QF$1,IF(D53=Data!$W$4,Data!$QF$1,IF(D53=Data!$W$5,Data!$QF$1,IF(D53=Data!$W$6,Data!$QF$1,IF(D53=Data!$W$7,Data!$QF$1,IF(D53=Data!$W$8,Data!$QF$1,IF(D53=Data!$W$9,Data!$QF$1,IF(D53=Data!$W$10,Data!$QE$1,IF(D53=Data!$W$11,Data!$QF$1,IF(D53=Data!$W$12,Data!$QF$1,IF(D53=Data!$W$13,Data!$QF$1,IF(D53=Data!$W$14,Data!$QF$1,IF(D53=Data!$W$15,Data!$QF$1,IF(D53=Data!$W$16,Data!$QF$1))))))))))))))</f>
        <v>RollerBracketType2</v>
      </c>
      <c r="BA53" s="40" t="str">
        <f>IF(AND(F53&lt;2130, OR(G53&lt;2100)),Data!$KS$1,Data!$KT$1)</f>
        <v>Small_Tube</v>
      </c>
      <c r="BB53" s="172" t="e">
        <f>MATCH(W53,Data!$LA$1:$LD$1,0)</f>
        <v>#N/A</v>
      </c>
      <c r="BC53" s="172">
        <f>MATCH('Roller Blinds'!BA53,Data!$KZ$2:$KZ$3,0)</f>
        <v>1</v>
      </c>
      <c r="BD53" s="172" t="e">
        <f>INDEX(Data!$LA$2:$LD$3,'Roller Blinds'!BC53,'Roller Blinds'!BB53)</f>
        <v>#N/A</v>
      </c>
      <c r="BG53" s="172" t="b">
        <f>IF(O53=Data!$QK$2,Data!$QL$1,IF(O53=Data!$QK$3,Data!$QM$1,IF(O53=Data!$QK$4,Data!$QN$1,IF(O53=Data!$QK$5,Data!$QO$1,IF(O53=Data!$QK$6,Data!$QP$1,IF(O53=Data!$QK$7,Data!$QQ$1,IF(O53=Data!$QK$8,Data!$QR$1,IF(O53=Data!$QK$9,Data!$QS$1, IF(O53=Data!$QK$10,Data!$QV$1, IF(O53=Data!$QK$11,Data!$QW$1))))))))))</f>
        <v>0</v>
      </c>
      <c r="BH53" s="33" t="b">
        <f>IF(O53=Data!$QK$2,Data!$QL$17,IF(O53=Data!$QK$3,Data!$QM$17,IF(O53=Data!$QK$4,Data!$QN$17,IF(O53=Data!$QK$5,Data!$QO$17,IF(O53=Data!$QK$6,Data!$QP$17,IF(O53=Data!$QK$7,Data!$QQ$17,IF(O53=Data!$QK$8,Data!$QR$17,IF(O53=Data!$QK$9,Data!$QS$17,IF(O53=Data!$QK$10,Data!$QV$17,IF(O53=Data!$QK$11,Data!$QW$17))))))))))</f>
        <v>0</v>
      </c>
      <c r="BI53" s="33" t="e">
        <f>VLOOKUP(O53,Data!$PU$13:$PV$22,2,FALSE)</f>
        <v>#N/A</v>
      </c>
      <c r="BJ53" s="33" t="e">
        <f>MATCH('Roller Blinds'!D53,Data!$AAK$2:$AAK$15)</f>
        <v>#N/A</v>
      </c>
      <c r="BK53" s="33" t="e">
        <f>MATCH(L53,Data!$AAL$1:$AAM$1)</f>
        <v>#N/A</v>
      </c>
      <c r="BL53" s="33" t="e">
        <f>INDEX(Data!$AAL$2:$AAM$15,BJ53,BK53)</f>
        <v>#N/A</v>
      </c>
    </row>
    <row r="54" spans="1:64" ht="30" customHeight="1" thickTop="1" thickBot="1">
      <c r="A54" s="52">
        <v>47</v>
      </c>
      <c r="B54" s="13"/>
      <c r="C54" s="13"/>
      <c r="D54" s="19"/>
      <c r="E54" s="15"/>
      <c r="F54" s="10"/>
      <c r="G54" s="10"/>
      <c r="H54" s="14"/>
      <c r="I54" s="14"/>
      <c r="J54" s="563"/>
      <c r="K54" s="564"/>
      <c r="L54" s="15"/>
      <c r="M54" s="15"/>
      <c r="N54" s="15"/>
      <c r="O54" s="580"/>
      <c r="P54" s="581"/>
      <c r="Q54" s="13"/>
      <c r="R54" s="13"/>
      <c r="S54" s="13"/>
      <c r="T54" s="13"/>
      <c r="U54" s="13"/>
      <c r="V54" s="13"/>
      <c r="W54" s="13"/>
      <c r="X54" s="15"/>
      <c r="Y54" s="16"/>
      <c r="Z54" s="175"/>
      <c r="AA54" s="229"/>
      <c r="AB54" s="230"/>
      <c r="AC54" s="33" t="e">
        <f t="shared" si="0"/>
        <v>#N/A</v>
      </c>
      <c r="AD54" s="33" t="e">
        <f>VLOOKUP(S54,Data!$QH$2:$QI$4,2,FALSE)</f>
        <v>#N/A</v>
      </c>
      <c r="AF54" s="172" t="e">
        <f t="shared" si="1"/>
        <v>#N/A</v>
      </c>
      <c r="AI54" s="172" t="b">
        <f>IF(W54=Data!$KK$2,Data!$KM$1,IF(W54=Data!$KK$3,Data!$KN$1,IF(W54=Data!$KK$4,Data!$KP$1,IF(W54=Data!$KK$5,Data!$KQ$1))))</f>
        <v>0</v>
      </c>
      <c r="AJ54" s="33" t="str">
        <f>IF(D54=Data!$W$10,Data!$QJ$1,Data!$QK$1)</f>
        <v>RollerControl</v>
      </c>
      <c r="AM54" s="33" t="b">
        <f>IF(S54=Data!$PX$2,Data!$PZ$1,IF(S54=Data!$PX$3,Data!$PY$1,IF(S54=Data!$PX$4,Data!$QA$1)))</f>
        <v>0</v>
      </c>
      <c r="AO54" s="33" t="b">
        <f>IF(S54=Data!$PX$3,Data!$QB$1,IF(S54=Data!$PX$2,Data!$QC$1,IF(S54=Data!$PX$4,Data!$QD$1)))</f>
        <v>0</v>
      </c>
      <c r="AQ54" s="33" t="str">
        <f>IF(D54=Data!$W$3,Data!$QF$1,IF(D54=Data!$W$4,Data!$QF$1,IF(D54=Data!$W$5,Data!$QF$1,IF(D54=Data!$W$6,Data!$QF$1,IF(D54=Data!$W$7,Data!$QF$1,IF(D54=Data!$W$8,Data!$QF$1,IF(D54=Data!$W$9,Data!$QF$1,IF(D54=Data!$W$10,Data!$QE$1,IF(D54=Data!$W$11,Data!$QF$1,IF(D54=Data!$W$12,Data!$QF$1,IF(D54=Data!$W$13,Data!$QF$1,IF(D54=Data!$W$14,Data!$QF$1,IF(D54=Data!$W$15,Data!$QF$1,IF(D54=Data!$W$16,Data!$QF$1))))))))))))))</f>
        <v>RollerBracketType2</v>
      </c>
      <c r="BA54" s="40" t="str">
        <f>IF(AND(F54&lt;2130, OR(G54&lt;2100)),Data!$KS$1,Data!$KT$1)</f>
        <v>Small_Tube</v>
      </c>
      <c r="BB54" s="172" t="e">
        <f>MATCH(W54,Data!$LA$1:$LD$1,0)</f>
        <v>#N/A</v>
      </c>
      <c r="BC54" s="172">
        <f>MATCH('Roller Blinds'!BA54,Data!$KZ$2:$KZ$3,0)</f>
        <v>1</v>
      </c>
      <c r="BD54" s="172" t="e">
        <f>INDEX(Data!$LA$2:$LD$3,'Roller Blinds'!BC54,'Roller Blinds'!BB54)</f>
        <v>#N/A</v>
      </c>
      <c r="BG54" s="172" t="b">
        <f>IF(O54=Data!$QK$2,Data!$QL$1,IF(O54=Data!$QK$3,Data!$QM$1,IF(O54=Data!$QK$4,Data!$QN$1,IF(O54=Data!$QK$5,Data!$QO$1,IF(O54=Data!$QK$6,Data!$QP$1,IF(O54=Data!$QK$7,Data!$QQ$1,IF(O54=Data!$QK$8,Data!$QR$1,IF(O54=Data!$QK$9,Data!$QS$1, IF(O54=Data!$QK$10,Data!$QV$1, IF(O54=Data!$QK$11,Data!$QW$1))))))))))</f>
        <v>0</v>
      </c>
      <c r="BH54" s="33" t="b">
        <f>IF(O54=Data!$QK$2,Data!$QL$17,IF(O54=Data!$QK$3,Data!$QM$17,IF(O54=Data!$QK$4,Data!$QN$17,IF(O54=Data!$QK$5,Data!$QO$17,IF(O54=Data!$QK$6,Data!$QP$17,IF(O54=Data!$QK$7,Data!$QQ$17,IF(O54=Data!$QK$8,Data!$QR$17,IF(O54=Data!$QK$9,Data!$QS$17,IF(O54=Data!$QK$10,Data!$QV$17,IF(O54=Data!$QK$11,Data!$QW$17))))))))))</f>
        <v>0</v>
      </c>
      <c r="BI54" s="33" t="e">
        <f>VLOOKUP(O54,Data!$PU$13:$PV$22,2,FALSE)</f>
        <v>#N/A</v>
      </c>
      <c r="BJ54" s="33" t="e">
        <f>MATCH('Roller Blinds'!D54,Data!$AAK$2:$AAK$15)</f>
        <v>#N/A</v>
      </c>
      <c r="BK54" s="33" t="e">
        <f>MATCH(L54,Data!$AAL$1:$AAM$1)</f>
        <v>#N/A</v>
      </c>
      <c r="BL54" s="33" t="e">
        <f>INDEX(Data!$AAL$2:$AAM$15,BJ54,BK54)</f>
        <v>#N/A</v>
      </c>
    </row>
    <row r="55" spans="1:64" ht="30" customHeight="1" thickTop="1" thickBot="1">
      <c r="A55" s="52">
        <v>48</v>
      </c>
      <c r="B55" s="13"/>
      <c r="C55" s="13"/>
      <c r="D55" s="19"/>
      <c r="E55" s="15"/>
      <c r="F55" s="10"/>
      <c r="G55" s="10"/>
      <c r="H55" s="14"/>
      <c r="I55" s="14"/>
      <c r="J55" s="563"/>
      <c r="K55" s="564"/>
      <c r="L55" s="15"/>
      <c r="M55" s="15"/>
      <c r="N55" s="15"/>
      <c r="O55" s="580"/>
      <c r="P55" s="581"/>
      <c r="Q55" s="13"/>
      <c r="R55" s="13"/>
      <c r="S55" s="13"/>
      <c r="T55" s="13"/>
      <c r="U55" s="13"/>
      <c r="V55" s="13"/>
      <c r="W55" s="13"/>
      <c r="X55" s="15"/>
      <c r="Y55" s="16"/>
      <c r="Z55" s="175"/>
      <c r="AA55" s="229"/>
      <c r="AB55" s="230"/>
      <c r="AC55" s="33" t="e">
        <f t="shared" si="0"/>
        <v>#N/A</v>
      </c>
      <c r="AD55" s="33" t="e">
        <f>VLOOKUP(S55,Data!$QH$2:$QI$4,2,FALSE)</f>
        <v>#N/A</v>
      </c>
      <c r="AF55" s="172" t="e">
        <f t="shared" si="1"/>
        <v>#N/A</v>
      </c>
      <c r="AI55" s="172" t="b">
        <f>IF(W55=Data!$KK$2,Data!$KM$1,IF(W55=Data!$KK$3,Data!$KN$1,IF(W55=Data!$KK$4,Data!$KP$1,IF(W55=Data!$KK$5,Data!$KQ$1))))</f>
        <v>0</v>
      </c>
      <c r="AJ55" s="33" t="str">
        <f>IF(D55=Data!$W$10,Data!$QJ$1,Data!$QK$1)</f>
        <v>RollerControl</v>
      </c>
      <c r="AM55" s="33" t="b">
        <f>IF(S55=Data!$PX$2,Data!$PZ$1,IF(S55=Data!$PX$3,Data!$PY$1,IF(S55=Data!$PX$4,Data!$QA$1)))</f>
        <v>0</v>
      </c>
      <c r="AO55" s="33" t="b">
        <f>IF(S55=Data!$PX$3,Data!$QB$1,IF(S55=Data!$PX$2,Data!$QC$1,IF(S55=Data!$PX$4,Data!$QD$1)))</f>
        <v>0</v>
      </c>
      <c r="AQ55" s="33" t="str">
        <f>IF(D55=Data!$W$3,Data!$QF$1,IF(D55=Data!$W$4,Data!$QF$1,IF(D55=Data!$W$5,Data!$QF$1,IF(D55=Data!$W$6,Data!$QF$1,IF(D55=Data!$W$7,Data!$QF$1,IF(D55=Data!$W$8,Data!$QF$1,IF(D55=Data!$W$9,Data!$QF$1,IF(D55=Data!$W$10,Data!$QE$1,IF(D55=Data!$W$11,Data!$QF$1,IF(D55=Data!$W$12,Data!$QF$1,IF(D55=Data!$W$13,Data!$QF$1,IF(D55=Data!$W$14,Data!$QF$1,IF(D55=Data!$W$15,Data!$QF$1,IF(D55=Data!$W$16,Data!$QF$1))))))))))))))</f>
        <v>RollerBracketType2</v>
      </c>
      <c r="BA55" s="40" t="str">
        <f>IF(AND(F55&lt;2130, OR(G55&lt;2100)),Data!$KS$1,Data!$KT$1)</f>
        <v>Small_Tube</v>
      </c>
      <c r="BB55" s="172" t="e">
        <f>MATCH(W55,Data!$LA$1:$LD$1,0)</f>
        <v>#N/A</v>
      </c>
      <c r="BC55" s="172">
        <f>MATCH('Roller Blinds'!BA55,Data!$KZ$2:$KZ$3,0)</f>
        <v>1</v>
      </c>
      <c r="BD55" s="172" t="e">
        <f>INDEX(Data!$LA$2:$LD$3,'Roller Blinds'!BC55,'Roller Blinds'!BB55)</f>
        <v>#N/A</v>
      </c>
      <c r="BG55" s="172" t="b">
        <f>IF(O55=Data!$QK$2,Data!$QL$1,IF(O55=Data!$QK$3,Data!$QM$1,IF(O55=Data!$QK$4,Data!$QN$1,IF(O55=Data!$QK$5,Data!$QO$1,IF(O55=Data!$QK$6,Data!$QP$1,IF(O55=Data!$QK$7,Data!$QQ$1,IF(O55=Data!$QK$8,Data!$QR$1,IF(O55=Data!$QK$9,Data!$QS$1, IF(O55=Data!$QK$10,Data!$QV$1, IF(O55=Data!$QK$11,Data!$QW$1))))))))))</f>
        <v>0</v>
      </c>
      <c r="BH55" s="33" t="b">
        <f>IF(O55=Data!$QK$2,Data!$QL$17,IF(O55=Data!$QK$3,Data!$QM$17,IF(O55=Data!$QK$4,Data!$QN$17,IF(O55=Data!$QK$5,Data!$QO$17,IF(O55=Data!$QK$6,Data!$QP$17,IF(O55=Data!$QK$7,Data!$QQ$17,IF(O55=Data!$QK$8,Data!$QR$17,IF(O55=Data!$QK$9,Data!$QS$17,IF(O55=Data!$QK$10,Data!$QV$17,IF(O55=Data!$QK$11,Data!$QW$17))))))))))</f>
        <v>0</v>
      </c>
      <c r="BI55" s="33" t="e">
        <f>VLOOKUP(O55,Data!$PU$13:$PV$22,2,FALSE)</f>
        <v>#N/A</v>
      </c>
      <c r="BJ55" s="33" t="e">
        <f>MATCH('Roller Blinds'!D55,Data!$AAK$2:$AAK$15)</f>
        <v>#N/A</v>
      </c>
      <c r="BK55" s="33" t="e">
        <f>MATCH(L55,Data!$AAL$1:$AAM$1)</f>
        <v>#N/A</v>
      </c>
      <c r="BL55" s="33" t="e">
        <f>INDEX(Data!$AAL$2:$AAM$15,BJ55,BK55)</f>
        <v>#N/A</v>
      </c>
    </row>
    <row r="56" spans="1:64" ht="30" customHeight="1" thickTop="1" thickBot="1">
      <c r="A56" s="52">
        <v>49</v>
      </c>
      <c r="B56" s="13"/>
      <c r="C56" s="13"/>
      <c r="D56" s="19"/>
      <c r="E56" s="15"/>
      <c r="F56" s="10"/>
      <c r="G56" s="10"/>
      <c r="H56" s="14"/>
      <c r="I56" s="14"/>
      <c r="J56" s="563"/>
      <c r="K56" s="564"/>
      <c r="L56" s="15"/>
      <c r="M56" s="15"/>
      <c r="N56" s="15"/>
      <c r="O56" s="580"/>
      <c r="P56" s="581"/>
      <c r="Q56" s="13"/>
      <c r="R56" s="13"/>
      <c r="S56" s="13"/>
      <c r="T56" s="13"/>
      <c r="U56" s="13"/>
      <c r="V56" s="13"/>
      <c r="W56" s="13"/>
      <c r="X56" s="15"/>
      <c r="Y56" s="16"/>
      <c r="Z56" s="175"/>
      <c r="AA56" s="229"/>
      <c r="AB56" s="230"/>
      <c r="AC56" s="33" t="e">
        <f t="shared" si="0"/>
        <v>#N/A</v>
      </c>
      <c r="AD56" s="33" t="e">
        <f>VLOOKUP(S56,Data!$QH$2:$QI$4,2,FALSE)</f>
        <v>#N/A</v>
      </c>
      <c r="AF56" s="172" t="e">
        <f t="shared" si="1"/>
        <v>#N/A</v>
      </c>
      <c r="AI56" s="172" t="b">
        <f>IF(W56=Data!$KK$2,Data!$KM$1,IF(W56=Data!$KK$3,Data!$KN$1,IF(W56=Data!$KK$4,Data!$KP$1,IF(W56=Data!$KK$5,Data!$KQ$1))))</f>
        <v>0</v>
      </c>
      <c r="AJ56" s="33" t="str">
        <f>IF(D56=Data!$W$10,Data!$QJ$1,Data!$QK$1)</f>
        <v>RollerControl</v>
      </c>
      <c r="AM56" s="33" t="b">
        <f>IF(S56=Data!$PX$2,Data!$PZ$1,IF(S56=Data!$PX$3,Data!$PY$1,IF(S56=Data!$PX$4,Data!$QA$1)))</f>
        <v>0</v>
      </c>
      <c r="AO56" s="33" t="b">
        <f>IF(S56=Data!$PX$3,Data!$QB$1,IF(S56=Data!$PX$2,Data!$QC$1,IF(S56=Data!$PX$4,Data!$QD$1)))</f>
        <v>0</v>
      </c>
      <c r="AQ56" s="33" t="str">
        <f>IF(D56=Data!$W$3,Data!$QF$1,IF(D56=Data!$W$4,Data!$QF$1,IF(D56=Data!$W$5,Data!$QF$1,IF(D56=Data!$W$6,Data!$QF$1,IF(D56=Data!$W$7,Data!$QF$1,IF(D56=Data!$W$8,Data!$QF$1,IF(D56=Data!$W$9,Data!$QF$1,IF(D56=Data!$W$10,Data!$QE$1,IF(D56=Data!$W$11,Data!$QF$1,IF(D56=Data!$W$12,Data!$QF$1,IF(D56=Data!$W$13,Data!$QF$1,IF(D56=Data!$W$14,Data!$QF$1,IF(D56=Data!$W$15,Data!$QF$1,IF(D56=Data!$W$16,Data!$QF$1))))))))))))))</f>
        <v>RollerBracketType2</v>
      </c>
      <c r="BA56" s="40" t="str">
        <f>IF(AND(F56&lt;2130, OR(G56&lt;2100)),Data!$KS$1,Data!$KT$1)</f>
        <v>Small_Tube</v>
      </c>
      <c r="BB56" s="172" t="e">
        <f>MATCH(W56,Data!$LA$1:$LD$1,0)</f>
        <v>#N/A</v>
      </c>
      <c r="BC56" s="172">
        <f>MATCH('Roller Blinds'!BA56,Data!$KZ$2:$KZ$3,0)</f>
        <v>1</v>
      </c>
      <c r="BD56" s="172" t="e">
        <f>INDEX(Data!$LA$2:$LD$3,'Roller Blinds'!BC56,'Roller Blinds'!BB56)</f>
        <v>#N/A</v>
      </c>
      <c r="BG56" s="172" t="b">
        <f>IF(O56=Data!$QK$2,Data!$QL$1,IF(O56=Data!$QK$3,Data!$QM$1,IF(O56=Data!$QK$4,Data!$QN$1,IF(O56=Data!$QK$5,Data!$QO$1,IF(O56=Data!$QK$6,Data!$QP$1,IF(O56=Data!$QK$7,Data!$QQ$1,IF(O56=Data!$QK$8,Data!$QR$1,IF(O56=Data!$QK$9,Data!$QS$1, IF(O56=Data!$QK$10,Data!$QV$1, IF(O56=Data!$QK$11,Data!$QW$1))))))))))</f>
        <v>0</v>
      </c>
      <c r="BH56" s="33" t="b">
        <f>IF(O56=Data!$QK$2,Data!$QL$17,IF(O56=Data!$QK$3,Data!$QM$17,IF(O56=Data!$QK$4,Data!$QN$17,IF(O56=Data!$QK$5,Data!$QO$17,IF(O56=Data!$QK$6,Data!$QP$17,IF(O56=Data!$QK$7,Data!$QQ$17,IF(O56=Data!$QK$8,Data!$QR$17,IF(O56=Data!$QK$9,Data!$QS$17,IF(O56=Data!$QK$10,Data!$QV$17,IF(O56=Data!$QK$11,Data!$QW$17))))))))))</f>
        <v>0</v>
      </c>
      <c r="BI56" s="33" t="e">
        <f>VLOOKUP(O56,Data!$PU$13:$PV$22,2,FALSE)</f>
        <v>#N/A</v>
      </c>
      <c r="BJ56" s="33" t="e">
        <f>MATCH('Roller Blinds'!D56,Data!$AAK$2:$AAK$15)</f>
        <v>#N/A</v>
      </c>
      <c r="BK56" s="33" t="e">
        <f>MATCH(L56,Data!$AAL$1:$AAM$1)</f>
        <v>#N/A</v>
      </c>
      <c r="BL56" s="33" t="e">
        <f>INDEX(Data!$AAL$2:$AAM$15,BJ56,BK56)</f>
        <v>#N/A</v>
      </c>
    </row>
    <row r="57" spans="1:64" ht="30" customHeight="1" thickTop="1" thickBot="1">
      <c r="A57" s="53">
        <v>50</v>
      </c>
      <c r="B57" s="21"/>
      <c r="C57" s="21"/>
      <c r="D57" s="45"/>
      <c r="E57" s="44"/>
      <c r="F57" s="46"/>
      <c r="G57" s="46"/>
      <c r="H57" s="22"/>
      <c r="I57" s="46"/>
      <c r="J57" s="582"/>
      <c r="K57" s="583"/>
      <c r="L57" s="47"/>
      <c r="M57" s="44"/>
      <c r="N57" s="47"/>
      <c r="O57" s="584"/>
      <c r="P57" s="585"/>
      <c r="Q57" s="21"/>
      <c r="R57" s="21"/>
      <c r="S57" s="45"/>
      <c r="T57" s="21"/>
      <c r="U57" s="21"/>
      <c r="V57" s="21"/>
      <c r="W57" s="21"/>
      <c r="X57" s="44"/>
      <c r="Y57" s="30"/>
      <c r="Z57" s="176"/>
      <c r="AA57" s="229"/>
      <c r="AB57" s="230"/>
      <c r="AC57" s="33" t="e">
        <f t="shared" si="0"/>
        <v>#N/A</v>
      </c>
      <c r="AD57" s="33" t="e">
        <f>VLOOKUP(S57,Data!$QH$2:$QI$4,2,FALSE)</f>
        <v>#N/A</v>
      </c>
      <c r="AF57" s="172" t="e">
        <f t="shared" si="1"/>
        <v>#N/A</v>
      </c>
      <c r="AI57" s="172" t="b">
        <f>IF(W57=Data!$KK$2,Data!$KM$1,IF(W57=Data!$KK$3,Data!$KN$1,IF(W57=Data!$KK$4,Data!$KP$1,IF(W57=Data!$KK$5,Data!$KQ$1))))</f>
        <v>0</v>
      </c>
      <c r="AJ57" s="33" t="str">
        <f>IF(D57=Data!$W$10,Data!$QJ$1,Data!$QK$1)</f>
        <v>RollerControl</v>
      </c>
      <c r="AM57" s="33" t="b">
        <f>IF(S57=Data!$PX$2,Data!$PZ$1,IF(S57=Data!$PX$3,Data!$PY$1,IF(S57=Data!$PX$4,Data!$QA$1)))</f>
        <v>0</v>
      </c>
      <c r="AO57" s="33" t="b">
        <f>IF(S57=Data!$PX$3,Data!$QB$1,IF(S57=Data!$PX$2,Data!$QC$1,IF(S57=Data!$PX$4,Data!$QD$1)))</f>
        <v>0</v>
      </c>
      <c r="AQ57" s="33" t="str">
        <f>IF(D57=Data!$W$3,Data!$QF$1,IF(D57=Data!$W$4,Data!$QF$1,IF(D57=Data!$W$5,Data!$QF$1,IF(D57=Data!$W$6,Data!$QF$1,IF(D57=Data!$W$7,Data!$QF$1,IF(D57=Data!$W$8,Data!$QF$1,IF(D57=Data!$W$9,Data!$QF$1,IF(D57=Data!$W$10,Data!$QE$1,IF(D57=Data!$W$11,Data!$QF$1,IF(D57=Data!$W$12,Data!$QF$1,IF(D57=Data!$W$13,Data!$QF$1,IF(D57=Data!$W$14,Data!$QF$1,IF(D57=Data!$W$15,Data!$QF$1,IF(D57=Data!$W$16,Data!$QF$1))))))))))))))</f>
        <v>RollerBracketType2</v>
      </c>
      <c r="BA57" s="40" t="str">
        <f>IF(AND(F57&lt;2130, OR(G57&lt;2100)),Data!$KS$1,Data!$KT$1)</f>
        <v>Small_Tube</v>
      </c>
      <c r="BB57" s="172" t="e">
        <f>MATCH(W57,Data!$LA$1:$LD$1,0)</f>
        <v>#N/A</v>
      </c>
      <c r="BC57" s="172">
        <f>MATCH('Roller Blinds'!BA57,Data!$KZ$2:$KZ$3,0)</f>
        <v>1</v>
      </c>
      <c r="BD57" s="172" t="e">
        <f>INDEX(Data!$LA$2:$LD$3,'Roller Blinds'!BC57,'Roller Blinds'!BB57)</f>
        <v>#N/A</v>
      </c>
      <c r="BG57" s="172" t="b">
        <f>IF(O57=Data!$QK$2,Data!$QL$1,IF(O57=Data!$QK$3,Data!$QM$1,IF(O57=Data!$QK$4,Data!$QN$1,IF(O57=Data!$QK$5,Data!$QO$1,IF(O57=Data!$QK$6,Data!$QP$1,IF(O57=Data!$QK$7,Data!$QQ$1,IF(O57=Data!$QK$8,Data!$QR$1,IF(O57=Data!$QK$9,Data!$QS$1, IF(O57=Data!$QK$10,Data!$QV$1, IF(O57=Data!$QK$11,Data!$QW$1))))))))))</f>
        <v>0</v>
      </c>
      <c r="BH57" s="33" t="b">
        <f>IF(O57=Data!$QK$2,Data!$QL$17,IF(O57=Data!$QK$3,Data!$QM$17,IF(O57=Data!$QK$4,Data!$QN$17,IF(O57=Data!$QK$5,Data!$QO$17,IF(O57=Data!$QK$6,Data!$QP$17,IF(O57=Data!$QK$7,Data!$QQ$17,IF(O57=Data!$QK$8,Data!$QR$17,IF(O57=Data!$QK$9,Data!$QS$17,IF(O57=Data!$QK$10,Data!$QV$17,IF(O57=Data!$QK$11,Data!$QW$17))))))))))</f>
        <v>0</v>
      </c>
      <c r="BI57" s="33" t="e">
        <f>VLOOKUP(O57,Data!$PU$13:$PV$22,2,FALSE)</f>
        <v>#N/A</v>
      </c>
      <c r="BJ57" s="33" t="e">
        <f>MATCH('Roller Blinds'!D57,Data!$AAK$2:$AAK$15)</f>
        <v>#N/A</v>
      </c>
      <c r="BK57" s="33" t="e">
        <f>MATCH(L57,Data!$AAL$1:$AAM$1)</f>
        <v>#N/A</v>
      </c>
      <c r="BL57" s="33" t="e">
        <f>INDEX(Data!$AAL$2:$AAM$15,BJ57,BK57)</f>
        <v>#N/A</v>
      </c>
    </row>
    <row r="58" spans="1:64" ht="15.75" thickTop="1">
      <c r="A58" s="77"/>
    </row>
  </sheetData>
  <sheetProtection password="A0FF" sheet="1" objects="1" scenarios="1"/>
  <mergeCells count="120">
    <mergeCell ref="A4:C4"/>
    <mergeCell ref="F4:G4"/>
    <mergeCell ref="N4:Y4"/>
    <mergeCell ref="N1:Y1"/>
    <mergeCell ref="N2:Y2"/>
    <mergeCell ref="N3:Y3"/>
    <mergeCell ref="L1:M1"/>
    <mergeCell ref="L2:M2"/>
    <mergeCell ref="L3:M3"/>
    <mergeCell ref="L4:M4"/>
    <mergeCell ref="F2:J2"/>
    <mergeCell ref="D4:E4"/>
    <mergeCell ref="H4:J4"/>
    <mergeCell ref="J8:K8"/>
    <mergeCell ref="O8:P8"/>
    <mergeCell ref="J9:K9"/>
    <mergeCell ref="O9:P9"/>
    <mergeCell ref="J10:K10"/>
    <mergeCell ref="O10:P10"/>
    <mergeCell ref="J11:K11"/>
    <mergeCell ref="O11:P11"/>
    <mergeCell ref="N5:Y5"/>
    <mergeCell ref="J7:K7"/>
    <mergeCell ref="O7:P7"/>
    <mergeCell ref="L5:M5"/>
    <mergeCell ref="L6:M6"/>
    <mergeCell ref="N6:Y6"/>
    <mergeCell ref="A6:J6"/>
    <mergeCell ref="J12:K12"/>
    <mergeCell ref="O12:P12"/>
    <mergeCell ref="J13:K13"/>
    <mergeCell ref="O13:P13"/>
    <mergeCell ref="J14:K14"/>
    <mergeCell ref="O14:P14"/>
    <mergeCell ref="J15:K15"/>
    <mergeCell ref="O15:P15"/>
    <mergeCell ref="J16:K16"/>
    <mergeCell ref="O16:P16"/>
    <mergeCell ref="J17:K17"/>
    <mergeCell ref="O17:P17"/>
    <mergeCell ref="J18:K18"/>
    <mergeCell ref="O18:P18"/>
    <mergeCell ref="J19:K19"/>
    <mergeCell ref="O19:P19"/>
    <mergeCell ref="J20:K20"/>
    <mergeCell ref="O20:P20"/>
    <mergeCell ref="J21:K21"/>
    <mergeCell ref="O21:P21"/>
    <mergeCell ref="J22:K22"/>
    <mergeCell ref="O22:P22"/>
    <mergeCell ref="J23:K23"/>
    <mergeCell ref="O23:P23"/>
    <mergeCell ref="J24:K24"/>
    <mergeCell ref="O24:P24"/>
    <mergeCell ref="J25:K25"/>
    <mergeCell ref="O25:P25"/>
    <mergeCell ref="J26:K26"/>
    <mergeCell ref="O26:P26"/>
    <mergeCell ref="J27:K27"/>
    <mergeCell ref="O27:P27"/>
    <mergeCell ref="J28:K28"/>
    <mergeCell ref="O28:P28"/>
    <mergeCell ref="J29:K29"/>
    <mergeCell ref="O29:P29"/>
    <mergeCell ref="J30:K30"/>
    <mergeCell ref="O30:P30"/>
    <mergeCell ref="J31:K31"/>
    <mergeCell ref="O31:P31"/>
    <mergeCell ref="J32:K32"/>
    <mergeCell ref="O32:P32"/>
    <mergeCell ref="J33:K33"/>
    <mergeCell ref="O33:P33"/>
    <mergeCell ref="J34:K34"/>
    <mergeCell ref="O34:P34"/>
    <mergeCell ref="J35:K35"/>
    <mergeCell ref="O35:P35"/>
    <mergeCell ref="J36:K36"/>
    <mergeCell ref="O36:P36"/>
    <mergeCell ref="J37:K37"/>
    <mergeCell ref="O37:P37"/>
    <mergeCell ref="J38:K38"/>
    <mergeCell ref="O38:P38"/>
    <mergeCell ref="J39:K39"/>
    <mergeCell ref="O39:P39"/>
    <mergeCell ref="J40:K40"/>
    <mergeCell ref="O40:P40"/>
    <mergeCell ref="J41:K41"/>
    <mergeCell ref="O41:P41"/>
    <mergeCell ref="J42:K42"/>
    <mergeCell ref="O42:P42"/>
    <mergeCell ref="J43:K43"/>
    <mergeCell ref="O43:P43"/>
    <mergeCell ref="J44:K44"/>
    <mergeCell ref="O44:P44"/>
    <mergeCell ref="J45:K45"/>
    <mergeCell ref="O45:P45"/>
    <mergeCell ref="J46:K46"/>
    <mergeCell ref="O46:P46"/>
    <mergeCell ref="J56:K56"/>
    <mergeCell ref="O56:P56"/>
    <mergeCell ref="J57:K57"/>
    <mergeCell ref="O57:P57"/>
    <mergeCell ref="J53:K53"/>
    <mergeCell ref="O53:P53"/>
    <mergeCell ref="J54:K54"/>
    <mergeCell ref="J47:K47"/>
    <mergeCell ref="O47:P47"/>
    <mergeCell ref="J48:K48"/>
    <mergeCell ref="O48:P48"/>
    <mergeCell ref="J49:K49"/>
    <mergeCell ref="O49:P49"/>
    <mergeCell ref="O54:P54"/>
    <mergeCell ref="J55:K55"/>
    <mergeCell ref="O55:P55"/>
    <mergeCell ref="J50:K50"/>
    <mergeCell ref="O50:P50"/>
    <mergeCell ref="J51:K51"/>
    <mergeCell ref="O51:P51"/>
    <mergeCell ref="J52:K52"/>
    <mergeCell ref="O52:P52"/>
  </mergeCells>
  <conditionalFormatting sqref="Y8:Y57">
    <cfRule type="containsText" dxfId="111" priority="11" stopIfTrue="1" operator="containsText" text="Yes">
      <formula>NOT(ISERROR(SEARCH("Yes",Y8)))</formula>
    </cfRule>
  </conditionalFormatting>
  <conditionalFormatting sqref="R8:R57">
    <cfRule type="containsText" dxfId="110" priority="1" operator="containsText" text="Nickel">
      <formula>NOT(ISERROR(SEARCH("Nickel",R8)))</formula>
    </cfRule>
    <cfRule type="containsText" dxfId="109" priority="9" stopIfTrue="1" operator="containsText" text="Stainless Steel">
      <formula>NOT(ISERROR(SEARCH("Stainless Steel",R8)))</formula>
    </cfRule>
  </conditionalFormatting>
  <conditionalFormatting sqref="C8:C57">
    <cfRule type="cellIs" dxfId="108" priority="7" stopIfTrue="1" operator="greaterThan">
      <formula>1</formula>
    </cfRule>
  </conditionalFormatting>
  <conditionalFormatting sqref="T8:T57">
    <cfRule type="expression" dxfId="107" priority="6">
      <formula>AF8="Enter"</formula>
    </cfRule>
  </conditionalFormatting>
  <conditionalFormatting sqref="N6">
    <cfRule type="notContainsBlanks" dxfId="106" priority="5">
      <formula>LEN(TRIM(N6))&gt;0</formula>
    </cfRule>
  </conditionalFormatting>
  <conditionalFormatting sqref="U8:U57">
    <cfRule type="expression" dxfId="105" priority="4">
      <formula>AC8="Enter"</formula>
    </cfRule>
  </conditionalFormatting>
  <conditionalFormatting sqref="W8:W57">
    <cfRule type="containsText" dxfId="104" priority="2" operator="containsText" text="Link">
      <formula>NOT(ISERROR(SEARCH("Link",W8)))</formula>
    </cfRule>
    <cfRule type="containsText" dxfId="103" priority="3" operator="containsText" text="Double">
      <formula>NOT(ISERROR(SEARCH("Double",W8)))</formula>
    </cfRule>
  </conditionalFormatting>
  <dataValidations count="22">
    <dataValidation operator="equal" allowBlank="1" showDropDown="1" showInputMessage="1" showErrorMessage="1" errorTitle="Invalid Entry" error="Invalid Entry" sqref="BA8:BA57" xr:uid="{00000000-0002-0000-0400-000000000000}"/>
    <dataValidation allowBlank="1" showInputMessage="1" errorTitle="Invalid Enrty" error="Please select from List!" sqref="Z8:Z57" xr:uid="{00000000-0002-0000-0400-000001000000}"/>
    <dataValidation type="list" allowBlank="1" showInputMessage="1" showErrorMessage="1" errorTitle="Invalid Entry" error="Invalid Entry" sqref="X8:X57" xr:uid="{00000000-0002-0000-0400-000002000000}">
      <formula1>INDIRECT(SUBSTITUTE(BD8," ","_"))</formula1>
    </dataValidation>
    <dataValidation type="list" allowBlank="1" showInputMessage="1" showErrorMessage="1" errorTitle="Invalid Entry" error="Invalid Entry" sqref="V8:V57" xr:uid="{00000000-0002-0000-0400-000003000000}">
      <formula1>"Standard, Over Roll"</formula1>
    </dataValidation>
    <dataValidation type="list" allowBlank="1" showInputMessage="1" showErrorMessage="1" errorTitle="Invalid Entry" error="Invalid Entry" sqref="L8:L57" xr:uid="{00000000-0002-0000-0400-000004000000}">
      <formula1>"Oval Bottom Rail, Sewn In Pocket"</formula1>
    </dataValidation>
    <dataValidation type="list" allowBlank="1" showInputMessage="1" showErrorMessage="1" errorTitle="Invalid Entry" error="Invalid Entry" sqref="N8:N57" xr:uid="{00000000-0002-0000-0400-000005000000}">
      <formula1>"White, White Birch, Black"</formula1>
    </dataValidation>
    <dataValidation type="list" allowBlank="1" showInputMessage="1" showErrorMessage="1" errorTitle="Invalid Entry" error="Invalid Entry" sqref="I8:I57" xr:uid="{00000000-0002-0000-0400-000006000000}">
      <formula1>"Face Fit, Recess Fit"</formula1>
    </dataValidation>
    <dataValidation type="list" allowBlank="1" showInputMessage="1" showErrorMessage="1" errorTitle="Invalid Entry" error="Invalid Entry" sqref="J8:K57" xr:uid="{00000000-0002-0000-0400-000007000000}">
      <formula1>"NAM, ACT"</formula1>
    </dataValidation>
    <dataValidation type="list" allowBlank="1" showInputMessage="1" showErrorMessage="1" errorTitle="Invalid Entry" error="Invalid Entry" sqref="H8:H57" xr:uid="{00000000-0002-0000-0400-000008000000}">
      <formula1>WindowType</formula1>
    </dataValidation>
    <dataValidation type="list" allowBlank="1" showInputMessage="1" showErrorMessage="1" errorTitle="Invalid Entry" error="Invalid Entry" sqref="D8:D57" xr:uid="{00000000-0002-0000-0400-000009000000}">
      <formula1>Roller_Blind_Product</formula1>
    </dataValidation>
    <dataValidation type="whole" errorStyle="warning" allowBlank="1" showInputMessage="1" showErrorMessage="1" errorTitle="Be Aware" error="Minimum Width is 300mm._x000a__x000a_Maximum Width is 3030mm. _x000a__x000a_All openings over the Maximum Widths will require Multiple Blinds._x000a__x000a_Additional sizes outside these Maximum's may be able to be manufactured." sqref="F8:F57" xr:uid="{00000000-0002-0000-0400-00000A000000}">
      <formula1>300</formula1>
      <formula2>3030</formula2>
    </dataValidation>
    <dataValidation type="whole" errorStyle="warning" allowBlank="1" showInputMessage="1" showErrorMessage="1" errorTitle="Be Aware" error="Minimum Height/Drop is 300mm._x000a__x000a_Maximum Height/Drop is 3000mm. _x000a_" sqref="G8:G57" xr:uid="{00000000-0002-0000-0400-00000B000000}">
      <formula1>300</formula1>
      <formula2>3000</formula2>
    </dataValidation>
    <dataValidation allowBlank="1" sqref="AA1:AB57" xr:uid="{00000000-0002-0000-0400-00000C000000}"/>
    <dataValidation type="list" allowBlank="1" showInputMessage="1" showErrorMessage="1" errorTitle="Invalid Entry" error="Invalid Entry" sqref="E8:E57" xr:uid="{00000000-0002-0000-0400-00000D000000}">
      <formula1>INDIRECT(SUBSTITUTE(SUBSTITUTE(SUBSTITUTE(D8," ","_"),"(",""),")",""))</formula1>
    </dataValidation>
    <dataValidation type="list" allowBlank="1" showInputMessage="1" showErrorMessage="1" errorTitle="Invalid Entry" error="Invalid Entry" sqref="S8:S57" xr:uid="{00000000-0002-0000-0400-00000E000000}">
      <formula1>RollerUniversalPelmet</formula1>
    </dataValidation>
    <dataValidation type="list" allowBlank="1" showInputMessage="1" showErrorMessage="1" errorTitle="Invalid Entry" error="Invalid Entry" sqref="T8:T57" xr:uid="{00000000-0002-0000-0400-00000F000000}">
      <formula1>INDIRECT(SUBSTITUTE(AM8," ","_"))</formula1>
    </dataValidation>
    <dataValidation type="list" allowBlank="1" showInputMessage="1" showErrorMessage="1" errorTitle="Invalid Entry" error="Invalid Entry" sqref="U8:U57" xr:uid="{00000000-0002-0000-0400-000010000000}">
      <formula1>INDIRECT(SUBSTITUTE(AO8," ","_"))</formula1>
    </dataValidation>
    <dataValidation type="list" allowBlank="1" showInputMessage="1" showErrorMessage="1" errorTitle="Invalid Entry" error="Invalid Entry" sqref="O8:P57" xr:uid="{00000000-0002-0000-0400-000011000000}">
      <formula1>RollerControl</formula1>
    </dataValidation>
    <dataValidation type="list" allowBlank="1" showInputMessage="1" showErrorMessage="1" errorTitle="Invalid Entry" error="Invalid Entry" sqref="Q8:R57" xr:uid="{00000000-0002-0000-0400-000012000000}">
      <formula1>INDIRECT(SUBSTITUTE(SUBSTITUTE(SUBSTITUTE(BG8," ","_"),"(",""),")",""))</formula1>
    </dataValidation>
    <dataValidation type="list" allowBlank="1" showInputMessage="1" showErrorMessage="1" errorTitle="Invalid Entry" error="Invalid Entry" sqref="Y8:Y57" xr:uid="{00000000-0002-0000-0400-000013000000}">
      <formula1>INDIRECT(SUBSTITUTE(SUBSTITUTE(SUBSTITUTE(BI8," ","_"),"(",""),")",""))</formula1>
    </dataValidation>
    <dataValidation type="list" allowBlank="1" showInputMessage="1" showErrorMessage="1" errorTitle="Invalid Entry" error="Invalid Entry" sqref="M8:M57" xr:uid="{00000000-0002-0000-0400-000014000000}">
      <formula1>INDIRECT(SUBSTITUTE(BL8," ","_"))</formula1>
    </dataValidation>
    <dataValidation type="list" allowBlank="1" showInputMessage="1" showErrorMessage="1" errorTitle="Invalid Entry" error="Invalid Entry" sqref="W8:W57" xr:uid="{00000000-0002-0000-0400-000015000000}">
      <formula1>RollerBracketType2</formula1>
    </dataValidation>
  </dataValidations>
  <printOptions horizontalCentered="1"/>
  <pageMargins left="0.23622047244094491" right="0.23622047244094491" top="0.23622047244094491" bottom="0.23622047244094491" header="0.19685039370078741" footer="0.19685039370078741"/>
  <pageSetup paperSize="9" scale="39"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FF00"/>
    <pageSetUpPr fitToPage="1"/>
  </sheetPr>
  <dimension ref="A1:BZ28"/>
  <sheetViews>
    <sheetView zoomScale="85" zoomScaleNormal="85" zoomScalePageLayoutView="98" workbookViewId="0">
      <selection activeCell="B8" sqref="B8"/>
    </sheetView>
  </sheetViews>
  <sheetFormatPr defaultRowHeight="15"/>
  <cols>
    <col min="1" max="1" width="6" style="54" customWidth="1"/>
    <col min="2" max="2" width="12" style="54" customWidth="1"/>
    <col min="3" max="3" width="7.5703125" style="54" customWidth="1"/>
    <col min="4" max="4" width="14.5703125" style="54" customWidth="1"/>
    <col min="5" max="5" width="23.85546875" style="54" customWidth="1"/>
    <col min="6" max="6" width="13" style="54" customWidth="1"/>
    <col min="7" max="7" width="12.42578125" style="54" customWidth="1"/>
    <col min="8" max="8" width="15.42578125" style="54" customWidth="1"/>
    <col min="9" max="9" width="14.7109375" style="54" customWidth="1"/>
    <col min="10" max="10" width="10.42578125" style="54" customWidth="1"/>
    <col min="11" max="11" width="4.28515625" style="54" customWidth="1"/>
    <col min="12" max="13" width="14.28515625" style="54" customWidth="1"/>
    <col min="14" max="14" width="6.140625" style="54" customWidth="1"/>
    <col min="15" max="16" width="11.7109375" style="54" customWidth="1"/>
    <col min="17" max="17" width="10.7109375" style="54" customWidth="1"/>
    <col min="18" max="20" width="14.7109375" style="54" customWidth="1"/>
    <col min="21" max="22" width="21.85546875" style="54" customWidth="1"/>
    <col min="23" max="23" width="14.5703125" style="54" customWidth="1"/>
    <col min="24" max="24" width="41.140625" style="54" customWidth="1"/>
    <col min="25" max="25" width="7.7109375" style="80" customWidth="1"/>
    <col min="26" max="26" width="9.140625" style="54" customWidth="1"/>
    <col min="27" max="29" width="9.140625" style="54" hidden="1" customWidth="1"/>
    <col min="30" max="30" width="21.7109375" style="54" hidden="1" customWidth="1"/>
    <col min="31" max="31" width="37.7109375" style="54" hidden="1" customWidth="1"/>
    <col min="32" max="32" width="33.85546875" style="54" hidden="1" customWidth="1"/>
    <col min="33" max="51" width="9.140625" style="54" hidden="1" customWidth="1"/>
    <col min="52" max="52" width="21.28515625" style="54" hidden="1" customWidth="1"/>
    <col min="53" max="54" width="20" style="54" hidden="1" customWidth="1"/>
    <col min="55" max="78" width="9.140625" style="54" hidden="1" customWidth="1"/>
    <col min="79" max="16384" width="9.140625" style="54"/>
  </cols>
  <sheetData>
    <row r="1" spans="1:53" ht="27" customHeight="1">
      <c r="A1" s="114"/>
      <c r="B1" s="115"/>
      <c r="C1" s="115"/>
      <c r="D1" s="115"/>
      <c r="E1" s="171"/>
      <c r="F1" s="115"/>
      <c r="G1" s="115"/>
      <c r="H1" s="115"/>
      <c r="I1" s="115"/>
      <c r="J1" s="121"/>
      <c r="K1" s="58"/>
      <c r="L1" s="536" t="s">
        <v>0</v>
      </c>
      <c r="M1" s="536"/>
      <c r="N1" s="545">
        <f>Summary!D3</f>
        <v>0</v>
      </c>
      <c r="O1" s="545"/>
      <c r="P1" s="545"/>
      <c r="Q1" s="545"/>
      <c r="R1" s="545"/>
      <c r="S1" s="545"/>
      <c r="T1" s="545"/>
      <c r="U1" s="545"/>
      <c r="V1" s="78"/>
      <c r="Y1" s="54"/>
    </row>
    <row r="2" spans="1:53" ht="21" customHeight="1">
      <c r="A2" s="28"/>
      <c r="B2" s="29"/>
      <c r="C2" s="29"/>
      <c r="D2" s="29"/>
      <c r="F2" s="611" t="s">
        <v>187</v>
      </c>
      <c r="G2" s="611"/>
      <c r="H2" s="611"/>
      <c r="I2" s="611"/>
      <c r="J2" s="612"/>
      <c r="K2" s="60"/>
      <c r="L2" s="536" t="s">
        <v>141</v>
      </c>
      <c r="M2" s="536"/>
      <c r="N2" s="549">
        <f>Summary!D6</f>
        <v>0</v>
      </c>
      <c r="O2" s="549"/>
      <c r="P2" s="549"/>
      <c r="Q2" s="549"/>
      <c r="R2" s="549"/>
      <c r="S2" s="549"/>
      <c r="T2" s="549"/>
      <c r="U2" s="549"/>
      <c r="V2" s="79"/>
    </row>
    <row r="3" spans="1:53" ht="21" customHeight="1">
      <c r="A3" s="7"/>
      <c r="B3" s="8"/>
      <c r="C3" s="8"/>
      <c r="D3" s="8"/>
      <c r="F3" s="91"/>
      <c r="G3" s="91"/>
      <c r="H3" s="91"/>
      <c r="I3" s="91"/>
      <c r="J3" s="81"/>
      <c r="K3" s="58"/>
      <c r="L3" s="536" t="s">
        <v>143</v>
      </c>
      <c r="M3" s="536"/>
      <c r="N3" s="613">
        <f>Summary!D4</f>
        <v>0</v>
      </c>
      <c r="O3" s="613"/>
      <c r="P3" s="613"/>
      <c r="Q3" s="613"/>
      <c r="R3" s="613"/>
      <c r="S3" s="613"/>
      <c r="T3" s="613"/>
      <c r="U3" s="613"/>
      <c r="V3" s="79"/>
    </row>
    <row r="4" spans="1:53" ht="21" customHeight="1">
      <c r="A4" s="551" t="s">
        <v>453</v>
      </c>
      <c r="B4" s="551"/>
      <c r="C4" s="551"/>
      <c r="D4" s="552"/>
      <c r="E4" s="553"/>
      <c r="F4" s="551" t="s">
        <v>452</v>
      </c>
      <c r="G4" s="551"/>
      <c r="H4" s="554"/>
      <c r="I4" s="601"/>
      <c r="J4" s="555"/>
      <c r="K4" s="60"/>
      <c r="L4" s="536" t="s">
        <v>978</v>
      </c>
      <c r="M4" s="536"/>
      <c r="N4" s="556">
        <f>Summary!D7</f>
        <v>0</v>
      </c>
      <c r="O4" s="557"/>
      <c r="P4" s="557"/>
      <c r="Q4" s="557"/>
      <c r="R4" s="557"/>
      <c r="S4" s="557"/>
      <c r="T4" s="557"/>
      <c r="U4" s="558"/>
      <c r="V4" s="62"/>
    </row>
    <row r="5" spans="1:53" ht="21" customHeight="1">
      <c r="A5" s="101" t="s">
        <v>415</v>
      </c>
      <c r="B5" s="102"/>
      <c r="C5" s="102"/>
      <c r="D5" s="43" t="s">
        <v>210</v>
      </c>
      <c r="E5" s="119"/>
      <c r="F5" s="74"/>
      <c r="G5" s="119"/>
      <c r="H5" s="102"/>
      <c r="I5" s="102"/>
      <c r="J5" s="103"/>
      <c r="K5" s="60"/>
      <c r="L5" s="536" t="s">
        <v>144</v>
      </c>
      <c r="M5" s="536"/>
      <c r="N5" s="569">
        <f>Summary!D8</f>
        <v>0</v>
      </c>
      <c r="O5" s="569"/>
      <c r="P5" s="569"/>
      <c r="Q5" s="569"/>
      <c r="R5" s="569"/>
      <c r="S5" s="569"/>
      <c r="T5" s="569"/>
      <c r="U5" s="569"/>
      <c r="V5" s="62"/>
    </row>
    <row r="6" spans="1:53" ht="15.75" thickBot="1">
      <c r="F6" s="59"/>
      <c r="L6" s="575" t="s">
        <v>654</v>
      </c>
      <c r="M6" s="575"/>
      <c r="N6" s="592" t="str">
        <f>AE18</f>
        <v/>
      </c>
      <c r="O6" s="606"/>
      <c r="P6" s="606"/>
      <c r="Q6" s="606"/>
      <c r="R6" s="606"/>
      <c r="S6" s="606"/>
      <c r="T6" s="606"/>
      <c r="U6" s="607"/>
      <c r="X6" s="65"/>
    </row>
    <row r="7" spans="1:53" ht="49.5" customHeight="1" thickTop="1" thickBot="1">
      <c r="A7" s="66" t="s">
        <v>146</v>
      </c>
      <c r="B7" s="67" t="s">
        <v>147</v>
      </c>
      <c r="C7" s="67" t="s">
        <v>164</v>
      </c>
      <c r="D7" s="67" t="s">
        <v>448</v>
      </c>
      <c r="E7" s="67" t="s">
        <v>204</v>
      </c>
      <c r="F7" s="93" t="s">
        <v>148</v>
      </c>
      <c r="G7" s="75" t="s">
        <v>149</v>
      </c>
      <c r="H7" s="69" t="s">
        <v>14</v>
      </c>
      <c r="I7" s="69" t="s">
        <v>165</v>
      </c>
      <c r="J7" s="571" t="s">
        <v>13</v>
      </c>
      <c r="K7" s="572"/>
      <c r="L7" s="67" t="s">
        <v>185</v>
      </c>
      <c r="M7" s="590" t="s">
        <v>414</v>
      </c>
      <c r="N7" s="591"/>
      <c r="O7" s="67" t="s">
        <v>189</v>
      </c>
      <c r="P7" s="67" t="s">
        <v>190</v>
      </c>
      <c r="Q7" s="67" t="s">
        <v>186</v>
      </c>
      <c r="R7" s="67" t="s">
        <v>191</v>
      </c>
      <c r="S7" s="67" t="s">
        <v>364</v>
      </c>
      <c r="T7" s="67" t="s">
        <v>365</v>
      </c>
      <c r="U7" s="573" t="s">
        <v>203</v>
      </c>
      <c r="V7" s="608"/>
      <c r="W7" s="231"/>
      <c r="X7" s="231"/>
    </row>
    <row r="8" spans="1:53" ht="36.75" customHeight="1" thickTop="1">
      <c r="A8" s="50">
        <v>1</v>
      </c>
      <c r="B8" s="9"/>
      <c r="C8" s="95"/>
      <c r="D8" s="95"/>
      <c r="E8" s="113"/>
      <c r="F8" s="24"/>
      <c r="G8" s="24"/>
      <c r="H8" s="24"/>
      <c r="I8" s="24"/>
      <c r="J8" s="559"/>
      <c r="K8" s="560"/>
      <c r="L8" s="11"/>
      <c r="M8" s="588"/>
      <c r="N8" s="589"/>
      <c r="O8" s="25"/>
      <c r="P8" s="25"/>
      <c r="Q8" s="25"/>
      <c r="R8" s="25"/>
      <c r="S8" s="25"/>
      <c r="T8" s="86" t="str">
        <f>IF(S8="Yes",AY8*C8, "N/A")</f>
        <v>N/A</v>
      </c>
      <c r="U8" s="609"/>
      <c r="V8" s="610"/>
      <c r="W8" s="229"/>
      <c r="X8" s="230"/>
      <c r="AB8" s="54" t="str">
        <f>IF(AND(O8="Yes",Q8=""),"Enter","OK")</f>
        <v>OK</v>
      </c>
      <c r="AC8" s="33" t="str">
        <f>IF(AND(O8="Yes",P8=""),"Enter","OK")</f>
        <v>OK</v>
      </c>
      <c r="AD8" s="54" t="b">
        <f>IF(O8="Yes",Data!$CU$2, IF('Vertical Blinds'!O8="No",Data!$CV$2))</f>
        <v>0</v>
      </c>
      <c r="AE8" s="33" t="str">
        <f>IF(COUNTIF($H$8:$H$27,Data!KF3),Data!KG3,"")</f>
        <v/>
      </c>
      <c r="AF8" s="33" t="str">
        <f>IF(SUM(--ISNUMBER(SEARCH({"Bay","Corner"}, K8:K17))),"Yes","No")</f>
        <v>No</v>
      </c>
      <c r="AY8" s="54">
        <f t="shared" ref="AY8:AY27" si="0">IF(F8&lt;1000,2,IF(F8&lt;2000,3,IF(F8&lt;2500,4,IF(F8&lt;3000,6,IF(F8&lt;3500,7,IF(F8&lt;4000,8,IF(F8&lt;4801,9,IF(F8&gt;=4801,"N/A"))))))))</f>
        <v>2</v>
      </c>
      <c r="AZ8" s="54" t="b">
        <f>IF(D8=Data!$DG$3,Data!$CF$2,IF(D8=Data!$DG$4,Data!$CG$2,IF(D8=Data!$DG$5,Data!$CH$2)))</f>
        <v>0</v>
      </c>
      <c r="BA8" s="54" t="b">
        <f>IF(D8=Data!$DG$3,Data!$DI$2,IF(D8=Data!$DG$4,Data!$DJ$2,IF(D8=Data!$DG$5,Data!$DK$2)))</f>
        <v>0</v>
      </c>
    </row>
    <row r="9" spans="1:53" ht="36.75" customHeight="1">
      <c r="A9" s="51">
        <v>2</v>
      </c>
      <c r="B9" s="13"/>
      <c r="C9" s="17"/>
      <c r="D9" s="17"/>
      <c r="E9" s="112"/>
      <c r="F9" s="14"/>
      <c r="G9" s="14"/>
      <c r="H9" s="14"/>
      <c r="I9" s="14"/>
      <c r="J9" s="563"/>
      <c r="K9" s="564"/>
      <c r="L9" s="15"/>
      <c r="M9" s="580"/>
      <c r="N9" s="581"/>
      <c r="O9" s="13"/>
      <c r="P9" s="13"/>
      <c r="Q9" s="13"/>
      <c r="R9" s="13"/>
      <c r="S9" s="13"/>
      <c r="T9" s="87" t="str">
        <f t="shared" ref="T9:T27" si="1">IF(S9="Yes",AY9*C9, "N/A")</f>
        <v>N/A</v>
      </c>
      <c r="U9" s="602"/>
      <c r="V9" s="603"/>
      <c r="W9" s="229"/>
      <c r="X9" s="230"/>
      <c r="AB9" s="54" t="str">
        <f t="shared" ref="AB9:AB27" si="2">IF(AND(O9="Yes",Q9=""),"Enter","OK")</f>
        <v>OK</v>
      </c>
      <c r="AC9" s="33" t="str">
        <f t="shared" ref="AC9:AC27" si="3">IF(AND(O9="Yes",P9=""),"Enter","OK")</f>
        <v>OK</v>
      </c>
      <c r="AD9" s="54" t="b">
        <f>IF(O9="Yes",Data!$CU$2, IF('Vertical Blinds'!O9="No",Data!$CV$2))</f>
        <v>0</v>
      </c>
      <c r="AE9" s="33" t="str">
        <f>IF(COUNTIF($H$8:$H$27,Data!KF4),Data!KG4,"")</f>
        <v/>
      </c>
      <c r="AF9" s="33"/>
      <c r="AY9" s="54">
        <f t="shared" si="0"/>
        <v>2</v>
      </c>
      <c r="AZ9" s="54" t="b">
        <f>IF(D9=Data!$DG$3,Data!$CF$2,IF(D9=Data!$DG$4,Data!$CG$2,IF(D9=Data!$DG$5,Data!$CH$2)))</f>
        <v>0</v>
      </c>
      <c r="BA9" s="54" t="b">
        <f>IF(D9=Data!$DG$3,Data!$DI$2,IF(D9=Data!$DG$4,Data!$DJ$2,IF(D9=Data!$DG$5,Data!$DK$2)))</f>
        <v>0</v>
      </c>
    </row>
    <row r="10" spans="1:53" ht="36.75" customHeight="1">
      <c r="A10" s="52">
        <v>3</v>
      </c>
      <c r="B10" s="17"/>
      <c r="C10" s="17"/>
      <c r="D10" s="17"/>
      <c r="E10" s="112"/>
      <c r="F10" s="14"/>
      <c r="G10" s="14"/>
      <c r="H10" s="14"/>
      <c r="I10" s="14"/>
      <c r="J10" s="563"/>
      <c r="K10" s="564"/>
      <c r="L10" s="15"/>
      <c r="M10" s="580"/>
      <c r="N10" s="581"/>
      <c r="O10" s="13"/>
      <c r="P10" s="13"/>
      <c r="Q10" s="13"/>
      <c r="R10" s="13"/>
      <c r="S10" s="13"/>
      <c r="T10" s="87" t="str">
        <f t="shared" si="1"/>
        <v>N/A</v>
      </c>
      <c r="U10" s="602"/>
      <c r="V10" s="603"/>
      <c r="W10" s="229"/>
      <c r="X10" s="230"/>
      <c r="AB10" s="54" t="str">
        <f t="shared" si="2"/>
        <v>OK</v>
      </c>
      <c r="AC10" s="33" t="str">
        <f t="shared" si="3"/>
        <v>OK</v>
      </c>
      <c r="AD10" s="54" t="b">
        <f>IF(O10="Yes",Data!$CU$2, IF('Vertical Blinds'!O10="No",Data!$CV$2))</f>
        <v>0</v>
      </c>
      <c r="AE10" s="33" t="str">
        <f>IF(COUNTIF($H$8:$H$27,Data!KF5),Data!KG5,"")</f>
        <v/>
      </c>
      <c r="AF10" s="33"/>
      <c r="AY10" s="54">
        <f t="shared" si="0"/>
        <v>2</v>
      </c>
      <c r="AZ10" s="54" t="b">
        <f>IF(D10=Data!$DG$3,Data!$CF$2,IF(D10=Data!$DG$4,Data!$CG$2,IF(D10=Data!$DG$5,Data!$CH$2)))</f>
        <v>0</v>
      </c>
      <c r="BA10" s="54" t="b">
        <f>IF(D10=Data!$DG$3,Data!$DI$2,IF(D10=Data!$DG$4,Data!$DJ$2,IF(D10=Data!$DG$5,Data!$DK$2)))</f>
        <v>0</v>
      </c>
    </row>
    <row r="11" spans="1:53" ht="36.75" customHeight="1">
      <c r="A11" s="52">
        <v>4</v>
      </c>
      <c r="B11" s="17"/>
      <c r="C11" s="17"/>
      <c r="D11" s="17"/>
      <c r="E11" s="112"/>
      <c r="F11" s="14"/>
      <c r="G11" s="14"/>
      <c r="H11" s="14"/>
      <c r="I11" s="14"/>
      <c r="J11" s="563"/>
      <c r="K11" s="564"/>
      <c r="L11" s="15"/>
      <c r="M11" s="580"/>
      <c r="N11" s="581"/>
      <c r="O11" s="13"/>
      <c r="P11" s="13"/>
      <c r="Q11" s="13"/>
      <c r="R11" s="13"/>
      <c r="S11" s="13"/>
      <c r="T11" s="87" t="str">
        <f t="shared" si="1"/>
        <v>N/A</v>
      </c>
      <c r="U11" s="602"/>
      <c r="V11" s="603"/>
      <c r="W11" s="229"/>
      <c r="X11" s="230"/>
      <c r="AB11" s="54" t="str">
        <f t="shared" si="2"/>
        <v>OK</v>
      </c>
      <c r="AC11" s="33" t="str">
        <f t="shared" si="3"/>
        <v>OK</v>
      </c>
      <c r="AD11" s="54" t="b">
        <f>IF(O11="Yes",Data!$CU$2, IF('Vertical Blinds'!O11="No",Data!$CV$2))</f>
        <v>0</v>
      </c>
      <c r="AE11" s="33" t="str">
        <f>IF(COUNTIF($H$8:$H$27,Data!KF6),Data!KG6,"")</f>
        <v/>
      </c>
      <c r="AF11" s="33"/>
      <c r="AY11" s="54">
        <f t="shared" si="0"/>
        <v>2</v>
      </c>
      <c r="AZ11" s="54" t="b">
        <f>IF(D11=Data!$DG$3,Data!$CF$2,IF(D11=Data!$DG$4,Data!$CG$2,IF(D11=Data!$DG$5,Data!$CH$2)))</f>
        <v>0</v>
      </c>
      <c r="BA11" s="54" t="b">
        <f>IF(D11=Data!$DG$3,Data!$DI$2,IF(D11=Data!$DG$4,Data!$DJ$2,IF(D11=Data!$DG$5,Data!$DK$2)))</f>
        <v>0</v>
      </c>
    </row>
    <row r="12" spans="1:53" ht="36.75" customHeight="1">
      <c r="A12" s="52">
        <v>5</v>
      </c>
      <c r="B12" s="17"/>
      <c r="C12" s="17"/>
      <c r="D12" s="17"/>
      <c r="E12" s="112"/>
      <c r="F12" s="14"/>
      <c r="G12" s="14"/>
      <c r="H12" s="14"/>
      <c r="I12" s="14"/>
      <c r="J12" s="563"/>
      <c r="K12" s="564"/>
      <c r="L12" s="15"/>
      <c r="M12" s="580"/>
      <c r="N12" s="581"/>
      <c r="O12" s="13"/>
      <c r="P12" s="13"/>
      <c r="Q12" s="13"/>
      <c r="R12" s="13"/>
      <c r="S12" s="13"/>
      <c r="T12" s="87" t="str">
        <f t="shared" si="1"/>
        <v>N/A</v>
      </c>
      <c r="U12" s="602"/>
      <c r="V12" s="603"/>
      <c r="W12" s="229"/>
      <c r="X12" s="230"/>
      <c r="AB12" s="54" t="str">
        <f t="shared" si="2"/>
        <v>OK</v>
      </c>
      <c r="AC12" s="33" t="str">
        <f t="shared" si="3"/>
        <v>OK</v>
      </c>
      <c r="AD12" s="54" t="b">
        <f>IF(O12="Yes",Data!$CU$2, IF('Vertical Blinds'!O12="No",Data!$CV$2))</f>
        <v>0</v>
      </c>
      <c r="AE12" s="33" t="str">
        <f>IF(COUNTIF($H$8:$H$27,Data!KF7),Data!KG7,"")</f>
        <v/>
      </c>
      <c r="AF12" s="33"/>
      <c r="AY12" s="54">
        <f t="shared" si="0"/>
        <v>2</v>
      </c>
      <c r="AZ12" s="54" t="b">
        <f>IF(D12=Data!$DG$3,Data!$CF$2,IF(D12=Data!$DG$4,Data!$CG$2,IF(D12=Data!$DG$5,Data!$CH$2)))</f>
        <v>0</v>
      </c>
      <c r="BA12" s="54" t="b">
        <f>IF(D12=Data!$DG$3,Data!$DI$2,IF(D12=Data!$DG$4,Data!$DJ$2,IF(D12=Data!$DG$5,Data!$DK$2)))</f>
        <v>0</v>
      </c>
    </row>
    <row r="13" spans="1:53" ht="36.75" customHeight="1">
      <c r="A13" s="52">
        <v>6</v>
      </c>
      <c r="B13" s="17"/>
      <c r="C13" s="17"/>
      <c r="D13" s="17"/>
      <c r="E13" s="112"/>
      <c r="F13" s="14"/>
      <c r="G13" s="14"/>
      <c r="H13" s="14"/>
      <c r="I13" s="14"/>
      <c r="J13" s="563"/>
      <c r="K13" s="564"/>
      <c r="L13" s="15"/>
      <c r="M13" s="580"/>
      <c r="N13" s="581"/>
      <c r="O13" s="13"/>
      <c r="P13" s="13"/>
      <c r="Q13" s="13"/>
      <c r="R13" s="13"/>
      <c r="S13" s="13"/>
      <c r="T13" s="87" t="str">
        <f t="shared" si="1"/>
        <v>N/A</v>
      </c>
      <c r="U13" s="602"/>
      <c r="V13" s="603"/>
      <c r="W13" s="229"/>
      <c r="X13" s="230"/>
      <c r="AB13" s="54" t="str">
        <f t="shared" si="2"/>
        <v>OK</v>
      </c>
      <c r="AC13" s="33" t="str">
        <f t="shared" si="3"/>
        <v>OK</v>
      </c>
      <c r="AD13" s="54" t="b">
        <f>IF(O13="Yes",Data!$CU$2, IF('Vertical Blinds'!O13="No",Data!$CV$2))</f>
        <v>0</v>
      </c>
      <c r="AE13" s="33" t="str">
        <f>IF(COUNTIF($H$8:$H$27,Data!KF8),Data!KG8,"")</f>
        <v/>
      </c>
      <c r="AF13" s="33"/>
      <c r="AY13" s="54">
        <f t="shared" si="0"/>
        <v>2</v>
      </c>
      <c r="AZ13" s="54" t="b">
        <f>IF(D13=Data!$DG$3,Data!$CF$2,IF(D13=Data!$DG$4,Data!$CG$2,IF(D13=Data!$DG$5,Data!$CH$2)))</f>
        <v>0</v>
      </c>
      <c r="BA13" s="54" t="b">
        <f>IF(D13=Data!$DG$3,Data!$DI$2,IF(D13=Data!$DG$4,Data!$DJ$2,IF(D13=Data!$DG$5,Data!$DK$2)))</f>
        <v>0</v>
      </c>
    </row>
    <row r="14" spans="1:53" ht="36.75" customHeight="1">
      <c r="A14" s="52">
        <v>7</v>
      </c>
      <c r="B14" s="17"/>
      <c r="C14" s="17"/>
      <c r="D14" s="17"/>
      <c r="E14" s="112"/>
      <c r="F14" s="14"/>
      <c r="G14" s="14"/>
      <c r="H14" s="14"/>
      <c r="I14" s="14"/>
      <c r="J14" s="563"/>
      <c r="K14" s="564"/>
      <c r="L14" s="15"/>
      <c r="M14" s="580"/>
      <c r="N14" s="581"/>
      <c r="O14" s="13"/>
      <c r="P14" s="13"/>
      <c r="Q14" s="13"/>
      <c r="R14" s="13"/>
      <c r="S14" s="13"/>
      <c r="T14" s="87" t="str">
        <f t="shared" si="1"/>
        <v>N/A</v>
      </c>
      <c r="U14" s="602"/>
      <c r="V14" s="603"/>
      <c r="W14" s="229"/>
      <c r="X14" s="230"/>
      <c r="AB14" s="54" t="str">
        <f t="shared" si="2"/>
        <v>OK</v>
      </c>
      <c r="AC14" s="33" t="str">
        <f t="shared" si="3"/>
        <v>OK</v>
      </c>
      <c r="AD14" s="54" t="b">
        <f>IF(O14="Yes",Data!$CU$2, IF('Vertical Blinds'!O14="No",Data!$CV$2))</f>
        <v>0</v>
      </c>
      <c r="AE14" s="33" t="str">
        <f>IF(COUNTIF($H$8:$H$27,Data!KF9),Data!KG9,"")</f>
        <v/>
      </c>
      <c r="AF14" s="33"/>
      <c r="AY14" s="54">
        <f t="shared" si="0"/>
        <v>2</v>
      </c>
      <c r="AZ14" s="54" t="b">
        <f>IF(D14=Data!$DG$3,Data!$CF$2,IF(D14=Data!$DG$4,Data!$CG$2,IF(D14=Data!$DG$5,Data!$CH$2)))</f>
        <v>0</v>
      </c>
      <c r="BA14" s="54" t="b">
        <f>IF(D14=Data!$DG$3,Data!$DI$2,IF(D14=Data!$DG$4,Data!$DJ$2,IF(D14=Data!$DG$5,Data!$DK$2)))</f>
        <v>0</v>
      </c>
    </row>
    <row r="15" spans="1:53" ht="36.75" customHeight="1">
      <c r="A15" s="52">
        <v>8</v>
      </c>
      <c r="B15" s="17"/>
      <c r="C15" s="20"/>
      <c r="D15" s="17"/>
      <c r="E15" s="112"/>
      <c r="F15" s="14"/>
      <c r="G15" s="14"/>
      <c r="H15" s="14"/>
      <c r="I15" s="14"/>
      <c r="J15" s="563"/>
      <c r="K15" s="564"/>
      <c r="L15" s="15"/>
      <c r="M15" s="580"/>
      <c r="N15" s="581"/>
      <c r="O15" s="13"/>
      <c r="P15" s="13"/>
      <c r="Q15" s="13"/>
      <c r="R15" s="13"/>
      <c r="S15" s="13"/>
      <c r="T15" s="87" t="str">
        <f t="shared" si="1"/>
        <v>N/A</v>
      </c>
      <c r="U15" s="602"/>
      <c r="V15" s="603"/>
      <c r="W15" s="229"/>
      <c r="X15" s="230"/>
      <c r="AB15" s="54" t="str">
        <f t="shared" si="2"/>
        <v>OK</v>
      </c>
      <c r="AC15" s="33" t="str">
        <f t="shared" si="3"/>
        <v>OK</v>
      </c>
      <c r="AD15" s="54" t="b">
        <f>IF(O15="Yes",Data!$CU$2, IF('Vertical Blinds'!O15="No",Data!$CV$2))</f>
        <v>0</v>
      </c>
      <c r="AE15" s="33" t="str">
        <f>IF(COUNTIF(AE8:AE14,Data!KG6),Data!KH6,"")</f>
        <v/>
      </c>
      <c r="AF15" s="33"/>
      <c r="AY15" s="54">
        <f t="shared" si="0"/>
        <v>2</v>
      </c>
      <c r="AZ15" s="54" t="b">
        <f>IF(D15=Data!$DG$3,Data!$CF$2,IF(D15=Data!$DG$4,Data!$CG$2,IF(D15=Data!$DG$5,Data!$CH$2)))</f>
        <v>0</v>
      </c>
      <c r="BA15" s="54" t="b">
        <f>IF(D15=Data!$DG$3,Data!$DI$2,IF(D15=Data!$DG$4,Data!$DJ$2,IF(D15=Data!$DG$5,Data!$DK$2)))</f>
        <v>0</v>
      </c>
    </row>
    <row r="16" spans="1:53" ht="36.75" customHeight="1">
      <c r="A16" s="52">
        <v>9</v>
      </c>
      <c r="B16" s="17"/>
      <c r="C16" s="17"/>
      <c r="D16" s="17"/>
      <c r="E16" s="112"/>
      <c r="F16" s="14"/>
      <c r="G16" s="14"/>
      <c r="H16" s="14"/>
      <c r="I16" s="14"/>
      <c r="J16" s="563"/>
      <c r="K16" s="564"/>
      <c r="L16" s="15"/>
      <c r="M16" s="580"/>
      <c r="N16" s="581"/>
      <c r="O16" s="13"/>
      <c r="P16" s="13"/>
      <c r="Q16" s="13"/>
      <c r="R16" s="13"/>
      <c r="S16" s="13"/>
      <c r="T16" s="87" t="str">
        <f t="shared" si="1"/>
        <v>N/A</v>
      </c>
      <c r="U16" s="602"/>
      <c r="V16" s="603"/>
      <c r="W16" s="229"/>
      <c r="X16" s="230"/>
      <c r="AB16" s="54" t="str">
        <f t="shared" si="2"/>
        <v>OK</v>
      </c>
      <c r="AC16" s="33" t="str">
        <f t="shared" si="3"/>
        <v>OK</v>
      </c>
      <c r="AD16" s="54" t="b">
        <f>IF(O16="Yes",Data!$CU$2, IF('Vertical Blinds'!O16="No",Data!$CV$2))</f>
        <v>0</v>
      </c>
      <c r="AE16" s="33" t="str">
        <f>IF(COUNTIF(AE8:AE14,Data!KG7),Data!KH7,"")</f>
        <v/>
      </c>
      <c r="AF16" s="33"/>
      <c r="AY16" s="54">
        <f t="shared" si="0"/>
        <v>2</v>
      </c>
      <c r="AZ16" s="54" t="b">
        <f>IF(D16=Data!$DG$3,Data!$CF$2,IF(D16=Data!$DG$4,Data!$CG$2,IF(D16=Data!$DG$5,Data!$CH$2)))</f>
        <v>0</v>
      </c>
      <c r="BA16" s="54" t="b">
        <f>IF(D16=Data!$DG$3,Data!$DI$2,IF(D16=Data!$DG$4,Data!$DJ$2,IF(D16=Data!$DG$5,Data!$DK$2)))</f>
        <v>0</v>
      </c>
    </row>
    <row r="17" spans="1:53" ht="36.75" customHeight="1">
      <c r="A17" s="52">
        <v>10</v>
      </c>
      <c r="B17" s="17"/>
      <c r="C17" s="17"/>
      <c r="D17" s="17"/>
      <c r="E17" s="112"/>
      <c r="F17" s="14"/>
      <c r="G17" s="14"/>
      <c r="H17" s="14"/>
      <c r="I17" s="14"/>
      <c r="J17" s="563"/>
      <c r="K17" s="564"/>
      <c r="L17" s="15"/>
      <c r="M17" s="580"/>
      <c r="N17" s="581"/>
      <c r="O17" s="13"/>
      <c r="P17" s="13"/>
      <c r="Q17" s="13"/>
      <c r="R17" s="13"/>
      <c r="S17" s="13"/>
      <c r="T17" s="87" t="str">
        <f t="shared" si="1"/>
        <v>N/A</v>
      </c>
      <c r="U17" s="602"/>
      <c r="V17" s="603"/>
      <c r="W17" s="229"/>
      <c r="X17" s="230"/>
      <c r="AB17" s="54" t="str">
        <f t="shared" si="2"/>
        <v>OK</v>
      </c>
      <c r="AC17" s="33" t="str">
        <f t="shared" si="3"/>
        <v>OK</v>
      </c>
      <c r="AD17" s="54" t="b">
        <f>IF(O17="Yes",Data!$CU$2, IF('Vertical Blinds'!O17="No",Data!$CV$2))</f>
        <v>0</v>
      </c>
      <c r="AE17" s="33" t="str">
        <f>AE15&amp;" &amp; "&amp;AE16&amp;""</f>
        <v xml:space="preserve"> &amp; </v>
      </c>
      <c r="AF17" s="33"/>
      <c r="AY17" s="54">
        <f t="shared" si="0"/>
        <v>2</v>
      </c>
      <c r="AZ17" s="54" t="b">
        <f>IF(D17=Data!$DG$3,Data!$CF$2,IF(D17=Data!$DG$4,Data!$CG$2,IF(D17=Data!$DG$5,Data!$CH$2)))</f>
        <v>0</v>
      </c>
      <c r="BA17" s="54" t="b">
        <f>IF(D17=Data!$DG$3,Data!$DI$2,IF(D17=Data!$DG$4,Data!$DJ$2,IF(D17=Data!$DG$5,Data!$DK$2)))</f>
        <v>0</v>
      </c>
    </row>
    <row r="18" spans="1:53" ht="36.75" customHeight="1">
      <c r="A18" s="52">
        <v>11</v>
      </c>
      <c r="B18" s="17"/>
      <c r="C18" s="17"/>
      <c r="D18" s="17"/>
      <c r="E18" s="112"/>
      <c r="F18" s="14"/>
      <c r="G18" s="14"/>
      <c r="H18" s="14"/>
      <c r="I18" s="14"/>
      <c r="J18" s="563"/>
      <c r="K18" s="564"/>
      <c r="L18" s="15"/>
      <c r="M18" s="580"/>
      <c r="N18" s="581"/>
      <c r="O18" s="13"/>
      <c r="P18" s="13"/>
      <c r="Q18" s="13"/>
      <c r="R18" s="13"/>
      <c r="S18" s="13"/>
      <c r="T18" s="87" t="str">
        <f t="shared" si="1"/>
        <v>N/A</v>
      </c>
      <c r="U18" s="602"/>
      <c r="V18" s="603"/>
      <c r="W18" s="229"/>
      <c r="X18" s="230"/>
      <c r="AB18" s="54" t="str">
        <f t="shared" si="2"/>
        <v>OK</v>
      </c>
      <c r="AC18" s="33" t="str">
        <f t="shared" si="3"/>
        <v>OK</v>
      </c>
      <c r="AD18" s="54" t="b">
        <f>IF(O18="Yes",Data!$CU$2, IF('Vertical Blinds'!O18="No",Data!$CV$2))</f>
        <v>0</v>
      </c>
      <c r="AE18" s="33" t="str">
        <f>IF(AE17="Corner &amp; Bay","Corner &amp; Bay Window Diagram Must Be Supplied",IF(AE15="Corner","Corner Window Diagram Must Be Supplied",IF(AE16="Bay","Bay Window Diagram Must Be Supplied","")))</f>
        <v/>
      </c>
      <c r="AF18" s="33"/>
      <c r="AY18" s="54">
        <f t="shared" si="0"/>
        <v>2</v>
      </c>
      <c r="AZ18" s="54" t="b">
        <f>IF(D18=Data!$DG$3,Data!$CF$2,IF(D18=Data!$DG$4,Data!$CG$2,IF(D18=Data!$DG$5,Data!$CH$2)))</f>
        <v>0</v>
      </c>
      <c r="BA18" s="54" t="b">
        <f>IF(D18=Data!$DG$3,Data!$DI$2,IF(D18=Data!$DG$4,Data!$DJ$2,IF(D18=Data!$DG$5,Data!$DK$2)))</f>
        <v>0</v>
      </c>
    </row>
    <row r="19" spans="1:53" ht="36.75" customHeight="1">
      <c r="A19" s="52">
        <v>12</v>
      </c>
      <c r="B19" s="17"/>
      <c r="C19" s="17"/>
      <c r="D19" s="17"/>
      <c r="E19" s="112"/>
      <c r="F19" s="14"/>
      <c r="G19" s="14"/>
      <c r="H19" s="14"/>
      <c r="I19" s="14"/>
      <c r="J19" s="563"/>
      <c r="K19" s="564"/>
      <c r="L19" s="15"/>
      <c r="M19" s="580"/>
      <c r="N19" s="581"/>
      <c r="O19" s="13"/>
      <c r="P19" s="13"/>
      <c r="Q19" s="13"/>
      <c r="R19" s="13"/>
      <c r="S19" s="13"/>
      <c r="T19" s="87" t="str">
        <f t="shared" si="1"/>
        <v>N/A</v>
      </c>
      <c r="U19" s="602"/>
      <c r="V19" s="603"/>
      <c r="W19" s="229"/>
      <c r="X19" s="230"/>
      <c r="AB19" s="54" t="str">
        <f t="shared" si="2"/>
        <v>OK</v>
      </c>
      <c r="AC19" s="33" t="str">
        <f t="shared" si="3"/>
        <v>OK</v>
      </c>
      <c r="AD19" s="54" t="b">
        <f>IF(O19="Yes",Data!$CU$2, IF('Vertical Blinds'!O19="No",Data!$CV$2))</f>
        <v>0</v>
      </c>
      <c r="AY19" s="54">
        <f t="shared" si="0"/>
        <v>2</v>
      </c>
      <c r="AZ19" s="54" t="b">
        <f>IF(D19=Data!$DG$3,Data!$CF$2,IF(D19=Data!$DG$4,Data!$CG$2,IF(D19=Data!$DG$5,Data!$CH$2)))</f>
        <v>0</v>
      </c>
      <c r="BA19" s="54" t="b">
        <f>IF(D19=Data!$DG$3,Data!$DI$2,IF(D19=Data!$DG$4,Data!$DJ$2,IF(D19=Data!$DG$5,Data!$DK$2)))</f>
        <v>0</v>
      </c>
    </row>
    <row r="20" spans="1:53" ht="36.75" customHeight="1">
      <c r="A20" s="52">
        <v>13</v>
      </c>
      <c r="B20" s="17"/>
      <c r="C20" s="17"/>
      <c r="D20" s="17"/>
      <c r="E20" s="112"/>
      <c r="F20" s="14"/>
      <c r="G20" s="14"/>
      <c r="H20" s="14"/>
      <c r="I20" s="14"/>
      <c r="J20" s="563"/>
      <c r="K20" s="564"/>
      <c r="L20" s="15"/>
      <c r="M20" s="580"/>
      <c r="N20" s="581"/>
      <c r="O20" s="13"/>
      <c r="P20" s="13"/>
      <c r="Q20" s="13"/>
      <c r="R20" s="13"/>
      <c r="S20" s="13"/>
      <c r="T20" s="87" t="str">
        <f t="shared" si="1"/>
        <v>N/A</v>
      </c>
      <c r="U20" s="602"/>
      <c r="V20" s="603"/>
      <c r="W20" s="229"/>
      <c r="X20" s="230"/>
      <c r="AB20" s="54" t="str">
        <f t="shared" si="2"/>
        <v>OK</v>
      </c>
      <c r="AC20" s="33" t="str">
        <f t="shared" si="3"/>
        <v>OK</v>
      </c>
      <c r="AD20" s="54" t="b">
        <f>IF(O20="Yes",Data!$CU$2, IF('Vertical Blinds'!O20="No",Data!$CV$2))</f>
        <v>0</v>
      </c>
      <c r="AY20" s="54">
        <f t="shared" si="0"/>
        <v>2</v>
      </c>
      <c r="AZ20" s="54" t="b">
        <f>IF(D20=Data!$DG$3,Data!$CF$2,IF(D20=Data!$DG$4,Data!$CG$2,IF(D20=Data!$DG$5,Data!$CH$2)))</f>
        <v>0</v>
      </c>
      <c r="BA20" s="54" t="b">
        <f>IF(D20=Data!$DG$3,Data!$DI$2,IF(D20=Data!$DG$4,Data!$DJ$2,IF(D20=Data!$DG$5,Data!$DK$2)))</f>
        <v>0</v>
      </c>
    </row>
    <row r="21" spans="1:53" ht="36.75" customHeight="1">
      <c r="A21" s="52">
        <v>14</v>
      </c>
      <c r="B21" s="17"/>
      <c r="C21" s="17"/>
      <c r="D21" s="17"/>
      <c r="E21" s="112"/>
      <c r="F21" s="14"/>
      <c r="G21" s="14"/>
      <c r="H21" s="14"/>
      <c r="I21" s="14"/>
      <c r="J21" s="563"/>
      <c r="K21" s="564"/>
      <c r="L21" s="15"/>
      <c r="M21" s="580"/>
      <c r="N21" s="581"/>
      <c r="O21" s="13"/>
      <c r="P21" s="13"/>
      <c r="Q21" s="13"/>
      <c r="R21" s="13"/>
      <c r="S21" s="13"/>
      <c r="T21" s="87" t="str">
        <f t="shared" si="1"/>
        <v>N/A</v>
      </c>
      <c r="U21" s="602"/>
      <c r="V21" s="603"/>
      <c r="W21" s="229"/>
      <c r="X21" s="230"/>
      <c r="AB21" s="54" t="str">
        <f t="shared" si="2"/>
        <v>OK</v>
      </c>
      <c r="AC21" s="33" t="str">
        <f t="shared" si="3"/>
        <v>OK</v>
      </c>
      <c r="AD21" s="54" t="b">
        <f>IF(O21="Yes",Data!$CU$2, IF('Vertical Blinds'!O21="No",Data!$CV$2))</f>
        <v>0</v>
      </c>
      <c r="AY21" s="54">
        <f t="shared" si="0"/>
        <v>2</v>
      </c>
      <c r="AZ21" s="54" t="b">
        <f>IF(D21=Data!$DG$3,Data!$CF$2,IF(D21=Data!$DG$4,Data!$CG$2,IF(D21=Data!$DG$5,Data!$CH$2)))</f>
        <v>0</v>
      </c>
      <c r="BA21" s="54" t="b">
        <f>IF(D21=Data!$DG$3,Data!$DI$2,IF(D21=Data!$DG$4,Data!$DJ$2,IF(D21=Data!$DG$5,Data!$DK$2)))</f>
        <v>0</v>
      </c>
    </row>
    <row r="22" spans="1:53" ht="36.75" customHeight="1">
      <c r="A22" s="52">
        <v>15</v>
      </c>
      <c r="B22" s="17"/>
      <c r="C22" s="17"/>
      <c r="D22" s="17"/>
      <c r="E22" s="112"/>
      <c r="F22" s="14"/>
      <c r="G22" s="14"/>
      <c r="H22" s="14"/>
      <c r="I22" s="14"/>
      <c r="J22" s="563"/>
      <c r="K22" s="564"/>
      <c r="L22" s="15"/>
      <c r="M22" s="580"/>
      <c r="N22" s="581"/>
      <c r="O22" s="13"/>
      <c r="P22" s="13"/>
      <c r="Q22" s="13"/>
      <c r="R22" s="13"/>
      <c r="S22" s="13"/>
      <c r="T22" s="87" t="str">
        <f t="shared" si="1"/>
        <v>N/A</v>
      </c>
      <c r="U22" s="602"/>
      <c r="V22" s="603"/>
      <c r="W22" s="229"/>
      <c r="X22" s="230"/>
      <c r="AB22" s="54" t="str">
        <f t="shared" si="2"/>
        <v>OK</v>
      </c>
      <c r="AC22" s="33" t="str">
        <f t="shared" si="3"/>
        <v>OK</v>
      </c>
      <c r="AD22" s="54" t="b">
        <f>IF(O22="Yes",Data!$CU$2, IF('Vertical Blinds'!O22="No",Data!$CV$2))</f>
        <v>0</v>
      </c>
      <c r="AY22" s="54">
        <f t="shared" si="0"/>
        <v>2</v>
      </c>
      <c r="AZ22" s="54" t="b">
        <f>IF(D22=Data!$DG$3,Data!$CF$2,IF(D22=Data!$DG$4,Data!$CG$2,IF(D22=Data!$DG$5,Data!$CH$2)))</f>
        <v>0</v>
      </c>
      <c r="BA22" s="54" t="b">
        <f>IF(D22=Data!$DG$3,Data!$DI$2,IF(D22=Data!$DG$4,Data!$DJ$2,IF(D22=Data!$DG$5,Data!$DK$2)))</f>
        <v>0</v>
      </c>
    </row>
    <row r="23" spans="1:53" ht="36.75" customHeight="1">
      <c r="A23" s="52">
        <v>16</v>
      </c>
      <c r="B23" s="17"/>
      <c r="C23" s="17"/>
      <c r="D23" s="17"/>
      <c r="E23" s="112"/>
      <c r="F23" s="14"/>
      <c r="G23" s="14"/>
      <c r="H23" s="14"/>
      <c r="I23" s="14"/>
      <c r="J23" s="563"/>
      <c r="K23" s="564"/>
      <c r="L23" s="15"/>
      <c r="M23" s="580"/>
      <c r="N23" s="581"/>
      <c r="O23" s="13"/>
      <c r="P23" s="13"/>
      <c r="Q23" s="13"/>
      <c r="R23" s="13"/>
      <c r="S23" s="13"/>
      <c r="T23" s="87" t="str">
        <f t="shared" si="1"/>
        <v>N/A</v>
      </c>
      <c r="U23" s="602"/>
      <c r="V23" s="603"/>
      <c r="W23" s="229"/>
      <c r="X23" s="230"/>
      <c r="AB23" s="54" t="str">
        <f t="shared" si="2"/>
        <v>OK</v>
      </c>
      <c r="AC23" s="33" t="str">
        <f t="shared" si="3"/>
        <v>OK</v>
      </c>
      <c r="AD23" s="54" t="b">
        <f>IF(O23="Yes",Data!$CU$2, IF('Vertical Blinds'!O23="No",Data!$CV$2))</f>
        <v>0</v>
      </c>
      <c r="AY23" s="54">
        <f t="shared" si="0"/>
        <v>2</v>
      </c>
      <c r="AZ23" s="54" t="b">
        <f>IF(D23=Data!$DG$3,Data!$CF$2,IF(D23=Data!$DG$4,Data!$CG$2,IF(D23=Data!$DG$5,Data!$CH$2)))</f>
        <v>0</v>
      </c>
      <c r="BA23" s="54" t="b">
        <f>IF(D23=Data!$DG$3,Data!$DI$2,IF(D23=Data!$DG$4,Data!$DJ$2,IF(D23=Data!$DG$5,Data!$DK$2)))</f>
        <v>0</v>
      </c>
    </row>
    <row r="24" spans="1:53" ht="36.75" customHeight="1">
      <c r="A24" s="52">
        <v>17</v>
      </c>
      <c r="B24" s="17"/>
      <c r="C24" s="20"/>
      <c r="D24" s="17"/>
      <c r="E24" s="112"/>
      <c r="F24" s="14"/>
      <c r="G24" s="14"/>
      <c r="H24" s="14"/>
      <c r="I24" s="14"/>
      <c r="J24" s="563"/>
      <c r="K24" s="564"/>
      <c r="L24" s="15"/>
      <c r="M24" s="580"/>
      <c r="N24" s="581"/>
      <c r="O24" s="13"/>
      <c r="P24" s="13"/>
      <c r="Q24" s="13"/>
      <c r="R24" s="13"/>
      <c r="S24" s="13"/>
      <c r="T24" s="87" t="str">
        <f t="shared" si="1"/>
        <v>N/A</v>
      </c>
      <c r="U24" s="602"/>
      <c r="V24" s="603"/>
      <c r="W24" s="229"/>
      <c r="X24" s="230"/>
      <c r="AB24" s="54" t="str">
        <f t="shared" si="2"/>
        <v>OK</v>
      </c>
      <c r="AC24" s="33" t="str">
        <f t="shared" si="3"/>
        <v>OK</v>
      </c>
      <c r="AD24" s="54" t="b">
        <f>IF(O24="Yes",Data!$CU$2, IF('Vertical Blinds'!O24="No",Data!$CV$2))</f>
        <v>0</v>
      </c>
      <c r="AY24" s="54">
        <f t="shared" si="0"/>
        <v>2</v>
      </c>
      <c r="AZ24" s="54" t="b">
        <f>IF(D24=Data!$DG$3,Data!$CF$2,IF(D24=Data!$DG$4,Data!$CG$2,IF(D24=Data!$DG$5,Data!$CH$2)))</f>
        <v>0</v>
      </c>
      <c r="BA24" s="54" t="b">
        <f>IF(D24=Data!$DG$3,Data!$DI$2,IF(D24=Data!$DG$4,Data!$DJ$2,IF(D24=Data!$DG$5,Data!$DK$2)))</f>
        <v>0</v>
      </c>
    </row>
    <row r="25" spans="1:53" ht="36.75" customHeight="1">
      <c r="A25" s="52">
        <v>18</v>
      </c>
      <c r="B25" s="17"/>
      <c r="C25" s="17"/>
      <c r="D25" s="17"/>
      <c r="E25" s="112"/>
      <c r="F25" s="14"/>
      <c r="G25" s="14"/>
      <c r="H25" s="14"/>
      <c r="I25" s="14"/>
      <c r="J25" s="563"/>
      <c r="K25" s="564"/>
      <c r="L25" s="15"/>
      <c r="M25" s="580"/>
      <c r="N25" s="581"/>
      <c r="O25" s="13"/>
      <c r="P25" s="13"/>
      <c r="Q25" s="13"/>
      <c r="R25" s="13"/>
      <c r="S25" s="13"/>
      <c r="T25" s="87" t="str">
        <f t="shared" si="1"/>
        <v>N/A</v>
      </c>
      <c r="U25" s="602"/>
      <c r="V25" s="603"/>
      <c r="W25" s="229"/>
      <c r="X25" s="230"/>
      <c r="AB25" s="54" t="str">
        <f t="shared" si="2"/>
        <v>OK</v>
      </c>
      <c r="AC25" s="33" t="str">
        <f t="shared" si="3"/>
        <v>OK</v>
      </c>
      <c r="AD25" s="54" t="b">
        <f>IF(O25="Yes",Data!$CU$2, IF('Vertical Blinds'!O25="No",Data!$CV$2))</f>
        <v>0</v>
      </c>
      <c r="AY25" s="54">
        <f t="shared" si="0"/>
        <v>2</v>
      </c>
      <c r="AZ25" s="54" t="b">
        <f>IF(D25=Data!$DG$3,Data!$CF$2,IF(D25=Data!$DG$4,Data!$CG$2,IF(D25=Data!$DG$5,Data!$CH$2)))</f>
        <v>0</v>
      </c>
      <c r="BA25" s="54" t="b">
        <f>IF(D25=Data!$DG$3,Data!$DI$2,IF(D25=Data!$DG$4,Data!$DJ$2,IF(D25=Data!$DG$5,Data!$DK$2)))</f>
        <v>0</v>
      </c>
    </row>
    <row r="26" spans="1:53" ht="36.75" customHeight="1">
      <c r="A26" s="52">
        <v>19</v>
      </c>
      <c r="B26" s="17"/>
      <c r="C26" s="17"/>
      <c r="D26" s="17"/>
      <c r="E26" s="112"/>
      <c r="F26" s="14"/>
      <c r="G26" s="14"/>
      <c r="H26" s="14"/>
      <c r="I26" s="14"/>
      <c r="J26" s="563"/>
      <c r="K26" s="564"/>
      <c r="L26" s="15"/>
      <c r="M26" s="580"/>
      <c r="N26" s="581"/>
      <c r="O26" s="13"/>
      <c r="P26" s="13"/>
      <c r="Q26" s="13"/>
      <c r="R26" s="13"/>
      <c r="S26" s="13"/>
      <c r="T26" s="87" t="str">
        <f t="shared" si="1"/>
        <v>N/A</v>
      </c>
      <c r="U26" s="602"/>
      <c r="V26" s="603"/>
      <c r="W26" s="229"/>
      <c r="X26" s="230"/>
      <c r="AB26" s="54" t="str">
        <f t="shared" si="2"/>
        <v>OK</v>
      </c>
      <c r="AC26" s="33" t="str">
        <f t="shared" si="3"/>
        <v>OK</v>
      </c>
      <c r="AD26" s="54" t="b">
        <f>IF(O26="Yes",Data!$CU$2, IF('Vertical Blinds'!O26="No",Data!$CV$2))</f>
        <v>0</v>
      </c>
      <c r="AY26" s="54">
        <f t="shared" si="0"/>
        <v>2</v>
      </c>
      <c r="AZ26" s="54" t="b">
        <f>IF(D26=Data!$DG$3,Data!$CF$2,IF(D26=Data!$DG$4,Data!$CG$2,IF(D26=Data!$DG$5,Data!$CH$2)))</f>
        <v>0</v>
      </c>
      <c r="BA26" s="54" t="b">
        <f>IF(D26=Data!$DG$3,Data!$DI$2,IF(D26=Data!$DG$4,Data!$DJ$2,IF(D26=Data!$DG$5,Data!$DK$2)))</f>
        <v>0</v>
      </c>
    </row>
    <row r="27" spans="1:53" ht="36.75" customHeight="1" thickBot="1">
      <c r="A27" s="53">
        <v>20</v>
      </c>
      <c r="B27" s="21"/>
      <c r="C27" s="94"/>
      <c r="D27" s="21"/>
      <c r="E27" s="111"/>
      <c r="F27" s="22"/>
      <c r="G27" s="22"/>
      <c r="H27" s="22"/>
      <c r="I27" s="22"/>
      <c r="J27" s="577"/>
      <c r="K27" s="578"/>
      <c r="L27" s="44"/>
      <c r="M27" s="584"/>
      <c r="N27" s="585"/>
      <c r="O27" s="21"/>
      <c r="P27" s="21"/>
      <c r="Q27" s="21"/>
      <c r="R27" s="21"/>
      <c r="S27" s="21"/>
      <c r="T27" s="88" t="str">
        <f t="shared" si="1"/>
        <v>N/A</v>
      </c>
      <c r="U27" s="604"/>
      <c r="V27" s="605"/>
      <c r="W27" s="229"/>
      <c r="X27" s="230"/>
      <c r="AB27" s="54" t="str">
        <f t="shared" si="2"/>
        <v>OK</v>
      </c>
      <c r="AC27" s="33" t="str">
        <f t="shared" si="3"/>
        <v>OK</v>
      </c>
      <c r="AD27" s="54" t="b">
        <f>IF(O27="Yes",Data!$CU$2, IF('Vertical Blinds'!O27="No",Data!$CV$2))</f>
        <v>0</v>
      </c>
      <c r="AY27" s="54">
        <f t="shared" si="0"/>
        <v>2</v>
      </c>
      <c r="AZ27" s="54" t="b">
        <f>IF(D27=Data!$DG$3,Data!$CF$2,IF(D27=Data!$DG$4,Data!$CG$2,IF(D27=Data!$DG$5,Data!$CH$2)))</f>
        <v>0</v>
      </c>
      <c r="BA27" s="54" t="b">
        <f>IF(D27=Data!$DG$3,Data!$DI$2,IF(D27=Data!$DG$4,Data!$DJ$2,IF(D27=Data!$DG$5,Data!$DK$2)))</f>
        <v>0</v>
      </c>
    </row>
    <row r="28" spans="1:53" ht="15.75" thickTop="1"/>
  </sheetData>
  <sheetProtection password="A0FF" sheet="1" objects="1" scenarios="1"/>
  <mergeCells count="80">
    <mergeCell ref="L1:M1"/>
    <mergeCell ref="L2:M2"/>
    <mergeCell ref="L3:M3"/>
    <mergeCell ref="N1:U1"/>
    <mergeCell ref="N2:U2"/>
    <mergeCell ref="N3:U3"/>
    <mergeCell ref="J23:K23"/>
    <mergeCell ref="M23:N23"/>
    <mergeCell ref="J24:K24"/>
    <mergeCell ref="M24:N24"/>
    <mergeCell ref="J21:K21"/>
    <mergeCell ref="M21:N21"/>
    <mergeCell ref="J22:K22"/>
    <mergeCell ref="J27:K27"/>
    <mergeCell ref="M27:N27"/>
    <mergeCell ref="J25:K25"/>
    <mergeCell ref="M25:N25"/>
    <mergeCell ref="J26:K26"/>
    <mergeCell ref="M26:N26"/>
    <mergeCell ref="M18:N18"/>
    <mergeCell ref="M22:N22"/>
    <mergeCell ref="J19:K19"/>
    <mergeCell ref="M19:N19"/>
    <mergeCell ref="J20:K20"/>
    <mergeCell ref="M20:N20"/>
    <mergeCell ref="J18:K18"/>
    <mergeCell ref="J16:K16"/>
    <mergeCell ref="M16:N16"/>
    <mergeCell ref="J17:K17"/>
    <mergeCell ref="J13:K13"/>
    <mergeCell ref="M13:N13"/>
    <mergeCell ref="M17:N17"/>
    <mergeCell ref="J14:K14"/>
    <mergeCell ref="M14:N14"/>
    <mergeCell ref="J15:K15"/>
    <mergeCell ref="M15:N15"/>
    <mergeCell ref="F2:J2"/>
    <mergeCell ref="D4:E4"/>
    <mergeCell ref="F4:G4"/>
    <mergeCell ref="J7:K7"/>
    <mergeCell ref="H4:J4"/>
    <mergeCell ref="M11:N11"/>
    <mergeCell ref="J12:K12"/>
    <mergeCell ref="M12:N12"/>
    <mergeCell ref="J9:K9"/>
    <mergeCell ref="M9:N9"/>
    <mergeCell ref="J10:K10"/>
    <mergeCell ref="M10:N10"/>
    <mergeCell ref="U20:V20"/>
    <mergeCell ref="U14:V14"/>
    <mergeCell ref="U15:V15"/>
    <mergeCell ref="A4:C4"/>
    <mergeCell ref="M7:N7"/>
    <mergeCell ref="J8:K8"/>
    <mergeCell ref="M8:N8"/>
    <mergeCell ref="L4:M4"/>
    <mergeCell ref="L5:M5"/>
    <mergeCell ref="N5:U5"/>
    <mergeCell ref="L6:M6"/>
    <mergeCell ref="N6:U6"/>
    <mergeCell ref="U7:V7"/>
    <mergeCell ref="U8:V8"/>
    <mergeCell ref="N4:U4"/>
    <mergeCell ref="J11:K11"/>
    <mergeCell ref="U9:V9"/>
    <mergeCell ref="U13:V13"/>
    <mergeCell ref="U27:V27"/>
    <mergeCell ref="U26:V26"/>
    <mergeCell ref="U25:V25"/>
    <mergeCell ref="U24:V24"/>
    <mergeCell ref="U23:V23"/>
    <mergeCell ref="U22:V22"/>
    <mergeCell ref="U21:V21"/>
    <mergeCell ref="U10:V10"/>
    <mergeCell ref="U11:V11"/>
    <mergeCell ref="U12:V12"/>
    <mergeCell ref="U16:V16"/>
    <mergeCell ref="U17:V17"/>
    <mergeCell ref="U18:V18"/>
    <mergeCell ref="U19:V19"/>
  </mergeCells>
  <conditionalFormatting sqref="C8:C27">
    <cfRule type="cellIs" dxfId="102" priority="9" stopIfTrue="1" operator="greaterThan">
      <formula>1</formula>
    </cfRule>
  </conditionalFormatting>
  <conditionalFormatting sqref="O8:O27 S8:S27">
    <cfRule type="containsText" dxfId="101" priority="8" stopIfTrue="1" operator="containsText" text="Yes">
      <formula>NOT(ISERROR(SEARCH("Yes",O8)))</formula>
    </cfRule>
  </conditionalFormatting>
  <conditionalFormatting sqref="T8:T27">
    <cfRule type="expression" dxfId="100" priority="7" stopIfTrue="1">
      <formula>S8=""</formula>
    </cfRule>
  </conditionalFormatting>
  <conditionalFormatting sqref="T8:T27">
    <cfRule type="expression" dxfId="99" priority="6" stopIfTrue="1">
      <formula>S8=""</formula>
    </cfRule>
  </conditionalFormatting>
  <conditionalFormatting sqref="P8:P27">
    <cfRule type="expression" dxfId="98" priority="4">
      <formula>AC8="Enter"</formula>
    </cfRule>
  </conditionalFormatting>
  <conditionalFormatting sqref="P8:P27">
    <cfRule type="expression" dxfId="97" priority="3">
      <formula>INDIRECT(AD8)</formula>
    </cfRule>
  </conditionalFormatting>
  <conditionalFormatting sqref="N6:U6">
    <cfRule type="notContainsBlanks" dxfId="96" priority="2">
      <formula>LEN(TRIM(N6))&gt;0</formula>
    </cfRule>
  </conditionalFormatting>
  <conditionalFormatting sqref="Q8:Q27">
    <cfRule type="expression" dxfId="95" priority="1">
      <formula>AB8="Enter"</formula>
    </cfRule>
  </conditionalFormatting>
  <dataValidations count="16">
    <dataValidation type="list" allowBlank="1" showInputMessage="1" showErrorMessage="1" errorTitle="Invalid Entry" error="Invalid Entry" sqref="P8:P27" xr:uid="{00000000-0002-0000-0500-000000000000}">
      <formula1>INDIRECT(AD8)</formula1>
    </dataValidation>
    <dataValidation type="list" allowBlank="1" showInputMessage="1" showErrorMessage="1" errorTitle="Invalid Entry" error="Invalid Entry" sqref="R8:R27" xr:uid="{00000000-0002-0000-0500-000001000000}">
      <formula1>INDIRECT(AZ8)</formula1>
    </dataValidation>
    <dataValidation type="list" allowBlank="1" showInputMessage="1" showErrorMessage="1" errorTitle="Invalid Entry" error="Invalid Entry" sqref="E8:E27" xr:uid="{00000000-0002-0000-0500-000002000000}">
      <formula1>INDIRECT(BA8)</formula1>
    </dataValidation>
    <dataValidation type="list" allowBlank="1" showInputMessage="1" showErrorMessage="1" errorTitle="Invalid Entry" error="Please select from List!" sqref="O8:O27 Q8:Q27" xr:uid="{00000000-0002-0000-0500-000003000000}">
      <formula1>"Yes, No"</formula1>
    </dataValidation>
    <dataValidation type="list" showDropDown="1" showInputMessage="1" errorTitle="Invalid Enrty" error="Please select from List!" sqref="U8:U27" xr:uid="{00000000-0002-0000-0500-000004000000}">
      <formula1>"Standard, Combo (Same Side), Combo (2 Side)"</formula1>
    </dataValidation>
    <dataValidation allowBlank="1" errorTitle="Invalid Entry" error="Invalid Entry" sqref="T8:T27" xr:uid="{00000000-0002-0000-0500-000005000000}"/>
    <dataValidation type="list" allowBlank="1" showInputMessage="1" showErrorMessage="1" errorTitle="Invalid Entry" error="Invalid Entry" sqref="S8:S27" xr:uid="{00000000-0002-0000-0500-000006000000}">
      <formula1>"No, Yes"</formula1>
    </dataValidation>
    <dataValidation type="list" allowBlank="1" showInputMessage="1" showErrorMessage="1" errorTitle="Invalid Entry" error="Invalid Entry" sqref="M8:N27" xr:uid="{00000000-0002-0000-0500-000007000000}">
      <formula1>"One Way-Right, One Way-Left, Centre Open, Centre Bunch"</formula1>
    </dataValidation>
    <dataValidation type="list" allowBlank="1" showInputMessage="1" showErrorMessage="1" errorTitle="Invalid Entry" error="Invalid Entry" sqref="L8:L27" xr:uid="{00000000-0002-0000-0500-000008000000}">
      <formula1>VerticalTrack</formula1>
    </dataValidation>
    <dataValidation type="list" errorStyle="warning" allowBlank="1" showInputMessage="1" showErrorMessage="1" errorTitle="Invalid Entry" error="This is not a standard colour._x000a_Please select from List!" sqref="J8:K27" xr:uid="{00000000-0002-0000-0500-000009000000}">
      <formula1>"NAM, ACT"</formula1>
    </dataValidation>
    <dataValidation type="list" allowBlank="1" showInputMessage="1" showErrorMessage="1" sqref="I8:I27" xr:uid="{00000000-0002-0000-0500-00000A000000}">
      <formula1>"Face Fit, Recess Fit"</formula1>
    </dataValidation>
    <dataValidation type="list" allowBlank="1" showInputMessage="1" showErrorMessage="1" errorTitle="Invalid Entry" error="Invalid Entry" sqref="D8:D27" xr:uid="{00000000-0002-0000-0500-00000B000000}">
      <formula1>FabricSlatWidth</formula1>
    </dataValidation>
    <dataValidation type="list" allowBlank="1" showInputMessage="1" showErrorMessage="1" errorTitle="Invalid Entry" error="Invalid Entry" sqref="H8:H27" xr:uid="{00000000-0002-0000-0500-00000C000000}">
      <formula1>WindowType</formula1>
    </dataValidation>
    <dataValidation type="whole" errorStyle="warning" allowBlank="1" showInputMessage="1" showErrorMessage="1" errorTitle="Be Aware" error="Minimum width is 500mm._x000a_Maximum width is 4800mm. " sqref="F8:F27" xr:uid="{00000000-0002-0000-0500-00000D000000}">
      <formula1>500</formula1>
      <formula2>4800</formula2>
    </dataValidation>
    <dataValidation type="whole" errorStyle="warning" allowBlank="1" showInputMessage="1" showErrorMessage="1" errorTitle="Be Aware" error="Minimum height/drop is 200mm._x000a_Maximum height/drop is 3600mm._x000a_" sqref="G8:G27" xr:uid="{00000000-0002-0000-0500-00000E000000}">
      <formula1>200</formula1>
      <formula2>3600</formula2>
    </dataValidation>
    <dataValidation allowBlank="1" sqref="W6:X27" xr:uid="{00000000-0002-0000-0500-00000F000000}"/>
  </dataValidations>
  <printOptions horizontalCentered="1"/>
  <pageMargins left="0.23622047244094491" right="0.23622047244094491" top="0.23622047244094491" bottom="0.23622047244094491" header="0.19685039370078741" footer="0.19685039370078741"/>
  <pageSetup paperSize="9" scale="50" fitToHeight="2"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0000"/>
    <pageSetUpPr fitToPage="1"/>
  </sheetPr>
  <dimension ref="A1:AZ58"/>
  <sheetViews>
    <sheetView view="pageBreakPreview" zoomScale="85" zoomScaleSheetLayoutView="85" workbookViewId="0">
      <selection activeCell="B8" sqref="B8"/>
    </sheetView>
  </sheetViews>
  <sheetFormatPr defaultRowHeight="15"/>
  <cols>
    <col min="1" max="1" width="7.140625" style="390" customWidth="1"/>
    <col min="2" max="2" width="13" style="390" customWidth="1"/>
    <col min="3" max="3" width="9.5703125" style="390" customWidth="1"/>
    <col min="4" max="4" width="27" style="390" customWidth="1"/>
    <col min="5" max="5" width="29.5703125" style="390" customWidth="1"/>
    <col min="6" max="6" width="13" style="390" customWidth="1"/>
    <col min="7" max="7" width="12.42578125" style="390" customWidth="1"/>
    <col min="8" max="8" width="15.28515625" style="390" customWidth="1"/>
    <col min="9" max="9" width="14.7109375" style="390" customWidth="1"/>
    <col min="10" max="10" width="10.42578125" style="390" customWidth="1"/>
    <col min="11" max="11" width="4.28515625" style="390" customWidth="1"/>
    <col min="12" max="13" width="20.85546875" style="390" customWidth="1"/>
    <col min="14" max="14" width="14" style="390" customWidth="1"/>
    <col min="15" max="15" width="7.140625" style="390" customWidth="1"/>
    <col min="16" max="16" width="6.140625" style="390" customWidth="1"/>
    <col min="17" max="17" width="15.28515625" style="390" customWidth="1"/>
    <col min="18" max="18" width="15.140625" style="390" customWidth="1"/>
    <col min="19" max="20" width="14.7109375" style="390" customWidth="1"/>
    <col min="21" max="21" width="16.28515625" style="390" customWidth="1"/>
    <col min="22" max="22" width="40.42578125" style="390" customWidth="1"/>
    <col min="23" max="23" width="15.42578125" style="390" customWidth="1"/>
    <col min="24" max="24" width="47.5703125" style="390" customWidth="1"/>
    <col min="25" max="27" width="9.140625" style="384" hidden="1" customWidth="1"/>
    <col min="28" max="29" width="46.85546875" style="384" hidden="1" customWidth="1"/>
    <col min="30" max="41" width="9.140625" style="384" hidden="1" customWidth="1"/>
    <col min="42" max="44" width="32.85546875" style="384" hidden="1" customWidth="1"/>
    <col min="45" max="45" width="31.85546875" style="384" hidden="1" customWidth="1"/>
    <col min="46" max="46" width="9.140625" style="384" hidden="1" customWidth="1"/>
    <col min="47" max="47" width="13.5703125" style="384" hidden="1" customWidth="1"/>
    <col min="48" max="48" width="24" style="384" hidden="1" customWidth="1"/>
    <col min="49" max="52" width="9.140625" style="384" hidden="1" customWidth="1"/>
    <col min="53" max="16384" width="9.140625" style="384"/>
  </cols>
  <sheetData>
    <row r="1" spans="1:49" ht="26.25">
      <c r="A1" s="657"/>
      <c r="B1" s="658"/>
      <c r="C1" s="658"/>
      <c r="D1" s="658"/>
      <c r="E1" s="658"/>
      <c r="F1" s="663"/>
      <c r="G1" s="664"/>
      <c r="H1" s="664"/>
      <c r="I1" s="665"/>
      <c r="J1" s="666"/>
      <c r="K1" s="666"/>
      <c r="L1" s="617" t="s">
        <v>0</v>
      </c>
      <c r="M1" s="617"/>
      <c r="N1" s="618">
        <f>Summary!D3</f>
        <v>0</v>
      </c>
      <c r="O1" s="619"/>
      <c r="P1" s="619"/>
      <c r="Q1" s="619"/>
      <c r="R1" s="619"/>
      <c r="S1" s="619"/>
      <c r="T1" s="619"/>
      <c r="U1" s="619"/>
      <c r="V1" s="383"/>
      <c r="W1" s="614"/>
      <c r="X1" s="615"/>
    </row>
    <row r="2" spans="1:49" ht="19.5">
      <c r="A2" s="659"/>
      <c r="B2" s="660"/>
      <c r="C2" s="660"/>
      <c r="D2" s="660"/>
      <c r="E2" s="660"/>
      <c r="F2" s="620" t="s">
        <v>1078</v>
      </c>
      <c r="G2" s="621"/>
      <c r="H2" s="621"/>
      <c r="I2" s="622"/>
      <c r="J2" s="666"/>
      <c r="K2" s="666"/>
      <c r="L2" s="617" t="s">
        <v>141</v>
      </c>
      <c r="M2" s="617"/>
      <c r="N2" s="623">
        <f>Summary!D6</f>
        <v>0</v>
      </c>
      <c r="O2" s="624"/>
      <c r="P2" s="624"/>
      <c r="Q2" s="624"/>
      <c r="R2" s="624"/>
      <c r="S2" s="624"/>
      <c r="T2" s="624"/>
      <c r="U2" s="624"/>
      <c r="V2" s="385"/>
      <c r="W2" s="614"/>
      <c r="X2" s="615"/>
    </row>
    <row r="3" spans="1:49" ht="18" customHeight="1">
      <c r="A3" s="661"/>
      <c r="B3" s="662"/>
      <c r="C3" s="662"/>
      <c r="D3" s="662"/>
      <c r="E3" s="662"/>
      <c r="F3" s="644"/>
      <c r="G3" s="645"/>
      <c r="H3" s="645"/>
      <c r="I3" s="646"/>
      <c r="J3" s="666"/>
      <c r="K3" s="666"/>
      <c r="L3" s="617" t="s">
        <v>143</v>
      </c>
      <c r="M3" s="617"/>
      <c r="N3" s="647">
        <f>Summary!D4</f>
        <v>0</v>
      </c>
      <c r="O3" s="648"/>
      <c r="P3" s="648"/>
      <c r="Q3" s="648"/>
      <c r="R3" s="648"/>
      <c r="S3" s="648"/>
      <c r="T3" s="648"/>
      <c r="U3" s="648"/>
      <c r="V3" s="385"/>
      <c r="W3" s="386"/>
      <c r="X3" s="387"/>
    </row>
    <row r="4" spans="1:49" ht="17.25" customHeight="1">
      <c r="A4" s="667" t="s">
        <v>452</v>
      </c>
      <c r="B4" s="667"/>
      <c r="C4" s="667"/>
      <c r="D4" s="633"/>
      <c r="E4" s="634"/>
      <c r="F4" s="634"/>
      <c r="G4" s="634"/>
      <c r="H4" s="634"/>
      <c r="I4" s="635"/>
      <c r="J4" s="653" t="s">
        <v>1036</v>
      </c>
      <c r="K4" s="653"/>
      <c r="L4" s="617" t="s">
        <v>978</v>
      </c>
      <c r="M4" s="617"/>
      <c r="N4" s="630">
        <f>Summary!D7</f>
        <v>0</v>
      </c>
      <c r="O4" s="631"/>
      <c r="P4" s="631"/>
      <c r="Q4" s="631"/>
      <c r="R4" s="631"/>
      <c r="S4" s="631"/>
      <c r="T4" s="631"/>
      <c r="U4" s="632"/>
      <c r="V4" s="385"/>
      <c r="W4" s="614"/>
      <c r="X4" s="616"/>
    </row>
    <row r="5" spans="1:49" ht="17.25" customHeight="1">
      <c r="A5" s="96" t="s">
        <v>2526</v>
      </c>
      <c r="B5" s="388"/>
      <c r="C5" s="388"/>
      <c r="D5" s="625"/>
      <c r="E5" s="626"/>
      <c r="F5" s="626"/>
      <c r="G5" s="626"/>
      <c r="H5" s="626"/>
      <c r="I5" s="627"/>
      <c r="J5" s="654">
        <v>52</v>
      </c>
      <c r="K5" s="654"/>
      <c r="L5" s="617" t="s">
        <v>144</v>
      </c>
      <c r="M5" s="617"/>
      <c r="N5" s="628">
        <f>Summary!D8</f>
        <v>0</v>
      </c>
      <c r="O5" s="629"/>
      <c r="P5" s="629"/>
      <c r="Q5" s="629"/>
      <c r="R5" s="629"/>
      <c r="S5" s="629"/>
      <c r="T5" s="629"/>
      <c r="U5" s="629"/>
      <c r="V5" s="389"/>
      <c r="W5" s="614"/>
      <c r="X5" s="616"/>
    </row>
    <row r="6" spans="1:49" ht="15.75" thickBot="1">
      <c r="A6" s="655" t="s">
        <v>723</v>
      </c>
      <c r="B6" s="655"/>
      <c r="C6" s="655"/>
      <c r="D6" s="655"/>
      <c r="E6" s="655"/>
      <c r="F6" s="655"/>
      <c r="G6" s="655"/>
      <c r="H6" s="655"/>
      <c r="I6" s="655"/>
      <c r="J6" s="655"/>
      <c r="K6" s="656"/>
      <c r="L6" s="649" t="s">
        <v>654</v>
      </c>
      <c r="M6" s="649"/>
      <c r="N6" s="650" t="str">
        <f>AB18</f>
        <v/>
      </c>
      <c r="O6" s="651"/>
      <c r="P6" s="651"/>
      <c r="Q6" s="651"/>
      <c r="R6" s="651"/>
      <c r="S6" s="651"/>
      <c r="T6" s="651"/>
      <c r="U6" s="652"/>
      <c r="X6" s="391"/>
      <c r="AV6" s="33" t="s">
        <v>2349</v>
      </c>
    </row>
    <row r="7" spans="1:49" ht="48.75" customHeight="1" thickTop="1" thickBot="1">
      <c r="A7" s="392" t="s">
        <v>146</v>
      </c>
      <c r="B7" s="393" t="s">
        <v>147</v>
      </c>
      <c r="C7" s="67" t="s">
        <v>726</v>
      </c>
      <c r="D7" s="393" t="s">
        <v>181</v>
      </c>
      <c r="E7" s="393" t="s">
        <v>152</v>
      </c>
      <c r="F7" s="393" t="s">
        <v>148</v>
      </c>
      <c r="G7" s="394" t="s">
        <v>149</v>
      </c>
      <c r="H7" s="395" t="s">
        <v>14</v>
      </c>
      <c r="I7" s="395" t="s">
        <v>165</v>
      </c>
      <c r="J7" s="636" t="s">
        <v>13</v>
      </c>
      <c r="K7" s="637"/>
      <c r="L7" s="394" t="s">
        <v>10</v>
      </c>
      <c r="M7" s="393" t="s">
        <v>12</v>
      </c>
      <c r="N7" s="393" t="s">
        <v>183</v>
      </c>
      <c r="O7" s="638" t="s">
        <v>16</v>
      </c>
      <c r="P7" s="639"/>
      <c r="Q7" s="394" t="s">
        <v>15</v>
      </c>
      <c r="R7" s="393" t="s">
        <v>4</v>
      </c>
      <c r="S7" s="393" t="s">
        <v>5</v>
      </c>
      <c r="T7" s="393" t="s">
        <v>6</v>
      </c>
      <c r="U7" s="393" t="s">
        <v>7</v>
      </c>
      <c r="V7" s="396" t="s">
        <v>203</v>
      </c>
      <c r="W7" s="397"/>
      <c r="X7" s="397"/>
      <c r="AG7" s="384" t="s">
        <v>1081</v>
      </c>
      <c r="AR7" s="33" t="s">
        <v>2347</v>
      </c>
      <c r="AS7" s="33" t="s">
        <v>2348</v>
      </c>
      <c r="AT7" s="33" t="s">
        <v>2350</v>
      </c>
      <c r="AV7" s="33" t="s">
        <v>2351</v>
      </c>
      <c r="AW7" s="33" t="s">
        <v>2352</v>
      </c>
    </row>
    <row r="8" spans="1:49" ht="30" customHeight="1" thickTop="1">
      <c r="A8" s="398">
        <v>1</v>
      </c>
      <c r="B8" s="399"/>
      <c r="C8" s="399"/>
      <c r="D8" s="399"/>
      <c r="E8" s="400"/>
      <c r="F8" s="401"/>
      <c r="G8" s="401"/>
      <c r="H8" s="402"/>
      <c r="I8" s="402"/>
      <c r="J8" s="640"/>
      <c r="K8" s="641"/>
      <c r="L8" s="486"/>
      <c r="M8" s="486"/>
      <c r="N8" s="403"/>
      <c r="O8" s="642"/>
      <c r="P8" s="643"/>
      <c r="Q8" s="404"/>
      <c r="R8" s="400"/>
      <c r="S8" s="400"/>
      <c r="T8" s="400"/>
      <c r="U8" s="400"/>
      <c r="V8" s="405"/>
      <c r="W8" s="406"/>
      <c r="X8" s="407"/>
      <c r="AA8" s="384" t="str">
        <f>IF(AND(C8&gt;0,N8=""),"Enter","OK")</f>
        <v>OK</v>
      </c>
      <c r="AB8" s="384" t="str">
        <f>IF(COUNTIF($H$8:$H$57,Data!KF3),Data!KG3,"")</f>
        <v/>
      </c>
      <c r="AC8" s="384" t="str">
        <f>IF(SUM(--ISNUMBER(SEARCH({"Bay","Corner"}, H8:H17))),"Yes","No")</f>
        <v>No</v>
      </c>
      <c r="AG8" s="384" t="b">
        <f>IF(D8=Data!$OL$3,Data!$AP$1, IF(D8=Data!$OL$4,Data!$AP$1, IF(D8=Data!$OL$5,Data!$AQ$1, IF(D8=Data!$OL$6,Data!$AQ$1, IF(D8=Data!$OL$7,Data!$AR$1)))))</f>
        <v>0</v>
      </c>
      <c r="AP8" s="485" t="s">
        <v>360</v>
      </c>
      <c r="AQ8" s="485" t="str">
        <f>$AS$7</f>
        <v>CordlockYesCordless</v>
      </c>
      <c r="AR8" s="33" t="s">
        <v>21</v>
      </c>
      <c r="AS8" s="33" t="s">
        <v>21</v>
      </c>
      <c r="AT8" s="384" t="e">
        <f>VLOOKUP(D8,$AP$8:$AQ$12,2,FALSE)</f>
        <v>#N/A</v>
      </c>
      <c r="AV8" s="33" t="s">
        <v>2353</v>
      </c>
      <c r="AW8" s="384" t="str">
        <f>IF(L8=$AV$6,$AV$7,$AR$7)</f>
        <v>CordlockNoCordless</v>
      </c>
    </row>
    <row r="9" spans="1:49" ht="30" customHeight="1">
      <c r="A9" s="408">
        <v>2</v>
      </c>
      <c r="B9" s="409"/>
      <c r="C9" s="410"/>
      <c r="D9" s="410"/>
      <c r="E9" s="409"/>
      <c r="F9" s="411"/>
      <c r="G9" s="411"/>
      <c r="H9" s="411"/>
      <c r="I9" s="411"/>
      <c r="J9" s="668"/>
      <c r="K9" s="669"/>
      <c r="L9" s="412"/>
      <c r="M9" s="412"/>
      <c r="N9" s="412"/>
      <c r="O9" s="670"/>
      <c r="P9" s="671"/>
      <c r="Q9" s="409"/>
      <c r="R9" s="409"/>
      <c r="S9" s="409"/>
      <c r="T9" s="409"/>
      <c r="U9" s="409"/>
      <c r="V9" s="413"/>
      <c r="W9" s="406"/>
      <c r="X9" s="407"/>
      <c r="AA9" s="384" t="str">
        <f t="shared" ref="AA9:AA57" si="0">IF(AND(C9&gt;0,N9=""),"Enter","OK")</f>
        <v>OK</v>
      </c>
      <c r="AB9" s="384" t="str">
        <f>IF(COUNTIF($H$8:$H$57,Data!KF4),Data!KG4,"")</f>
        <v/>
      </c>
      <c r="AG9" s="384" t="b">
        <f>IF(D9=Data!$OL$3,Data!$AP$1, IF(D9=Data!$OL$4,Data!$AP$1, IF(D9=Data!$OL$5,Data!$AQ$1, IF(D9=Data!$OL$6,Data!$AQ$1, IF(D9=Data!$OL$7,Data!$AR$1)))))</f>
        <v>0</v>
      </c>
      <c r="AP9" s="485" t="s">
        <v>361</v>
      </c>
      <c r="AQ9" s="485" t="str">
        <f>$AR$7</f>
        <v>CordlockNoCordless</v>
      </c>
      <c r="AR9" s="33" t="s">
        <v>28</v>
      </c>
      <c r="AS9" s="33" t="s">
        <v>28</v>
      </c>
      <c r="AT9" s="384" t="e">
        <f t="shared" ref="AT9:AT57" si="1">VLOOKUP(D9,$AP$8:$AQ$12,2,FALSE)</f>
        <v>#N/A</v>
      </c>
      <c r="AV9" s="33" t="s">
        <v>2354</v>
      </c>
      <c r="AW9" s="384" t="str">
        <f t="shared" ref="AW9:AW57" si="2">IF(L9=$AV$6,$AV$7,$AR$7)</f>
        <v>CordlockNoCordless</v>
      </c>
    </row>
    <row r="10" spans="1:49" ht="30" customHeight="1">
      <c r="A10" s="414">
        <v>3</v>
      </c>
      <c r="B10" s="410"/>
      <c r="C10" s="410"/>
      <c r="D10" s="410"/>
      <c r="E10" s="409"/>
      <c r="F10" s="411"/>
      <c r="G10" s="411"/>
      <c r="H10" s="411"/>
      <c r="I10" s="411"/>
      <c r="J10" s="668"/>
      <c r="K10" s="669"/>
      <c r="L10" s="412"/>
      <c r="M10" s="412"/>
      <c r="N10" s="412"/>
      <c r="O10" s="670"/>
      <c r="P10" s="671"/>
      <c r="Q10" s="409"/>
      <c r="R10" s="409"/>
      <c r="S10" s="409"/>
      <c r="T10" s="409"/>
      <c r="U10" s="409"/>
      <c r="V10" s="413"/>
      <c r="W10" s="406"/>
      <c r="X10" s="407"/>
      <c r="AA10" s="384" t="str">
        <f t="shared" si="0"/>
        <v>OK</v>
      </c>
      <c r="AB10" s="384" t="str">
        <f>IF(COUNTIF($H$8:$H$57,Data!KF5),Data!KG5,"")</f>
        <v/>
      </c>
      <c r="AG10" s="384" t="b">
        <f>IF(D10=Data!$OL$3,Data!$AP$1, IF(D10=Data!$OL$4,Data!$AP$1, IF(D10=Data!$OL$5,Data!$AQ$1, IF(D10=Data!$OL$6,Data!$AQ$1, IF(D10=Data!$OL$7,Data!$AR$1)))))</f>
        <v>0</v>
      </c>
      <c r="AP10" s="485" t="s">
        <v>359</v>
      </c>
      <c r="AQ10" s="485" t="str">
        <f>$AR$7</f>
        <v>CordlockNoCordless</v>
      </c>
      <c r="AS10" s="33" t="s">
        <v>2349</v>
      </c>
      <c r="AT10" s="384" t="e">
        <f t="shared" si="1"/>
        <v>#N/A</v>
      </c>
      <c r="AW10" s="384" t="str">
        <f t="shared" si="2"/>
        <v>CordlockNoCordless</v>
      </c>
    </row>
    <row r="11" spans="1:49" ht="30" customHeight="1">
      <c r="A11" s="414">
        <v>4</v>
      </c>
      <c r="B11" s="410"/>
      <c r="C11" s="410"/>
      <c r="D11" s="410"/>
      <c r="E11" s="409"/>
      <c r="F11" s="411"/>
      <c r="G11" s="411"/>
      <c r="H11" s="411"/>
      <c r="I11" s="411"/>
      <c r="J11" s="668"/>
      <c r="K11" s="669"/>
      <c r="L11" s="412"/>
      <c r="M11" s="412"/>
      <c r="N11" s="412"/>
      <c r="O11" s="670"/>
      <c r="P11" s="671"/>
      <c r="Q11" s="409"/>
      <c r="R11" s="409"/>
      <c r="S11" s="409"/>
      <c r="T11" s="409"/>
      <c r="U11" s="409"/>
      <c r="V11" s="413"/>
      <c r="W11" s="406"/>
      <c r="X11" s="407"/>
      <c r="AA11" s="384" t="str">
        <f t="shared" si="0"/>
        <v>OK</v>
      </c>
      <c r="AB11" s="384" t="str">
        <f>IF(COUNTIF($H$8:$H$57,Data!KF6),Data!KG6,"")</f>
        <v/>
      </c>
      <c r="AG11" s="384" t="b">
        <f>IF(D11=Data!$OL$3,Data!$AP$1, IF(D11=Data!$OL$4,Data!$AP$1, IF(D11=Data!$OL$5,Data!$AQ$1, IF(D11=Data!$OL$6,Data!$AQ$1, IF(D11=Data!$OL$7,Data!$AR$1)))))</f>
        <v>0</v>
      </c>
      <c r="AP11" s="485" t="s">
        <v>358</v>
      </c>
      <c r="AQ11" s="485" t="str">
        <f>$AR$7</f>
        <v>CordlockNoCordless</v>
      </c>
      <c r="AT11" s="384" t="e">
        <f t="shared" si="1"/>
        <v>#N/A</v>
      </c>
      <c r="AW11" s="384" t="str">
        <f t="shared" si="2"/>
        <v>CordlockNoCordless</v>
      </c>
    </row>
    <row r="12" spans="1:49" ht="30" customHeight="1">
      <c r="A12" s="414">
        <v>5</v>
      </c>
      <c r="B12" s="410"/>
      <c r="C12" s="410"/>
      <c r="D12" s="410"/>
      <c r="E12" s="409"/>
      <c r="F12" s="411"/>
      <c r="G12" s="411"/>
      <c r="H12" s="411"/>
      <c r="I12" s="411"/>
      <c r="J12" s="668"/>
      <c r="K12" s="669"/>
      <c r="L12" s="412"/>
      <c r="M12" s="412"/>
      <c r="N12" s="412"/>
      <c r="O12" s="670"/>
      <c r="P12" s="671"/>
      <c r="Q12" s="409"/>
      <c r="R12" s="409"/>
      <c r="S12" s="409"/>
      <c r="T12" s="409"/>
      <c r="U12" s="409"/>
      <c r="V12" s="413"/>
      <c r="W12" s="406"/>
      <c r="X12" s="407"/>
      <c r="AA12" s="384" t="str">
        <f t="shared" si="0"/>
        <v>OK</v>
      </c>
      <c r="AB12" s="384" t="str">
        <f>IF(COUNTIF($H$8:$H$57,Data!KF7),Data!KG7,"")</f>
        <v/>
      </c>
      <c r="AG12" s="384" t="b">
        <f>IF(D12=Data!$OL$3,Data!$AP$1, IF(D12=Data!$OL$4,Data!$AP$1, IF(D12=Data!$OL$5,Data!$AQ$1, IF(D12=Data!$OL$6,Data!$AQ$1, IF(D12=Data!$OL$7,Data!$AR$1)))))</f>
        <v>0</v>
      </c>
      <c r="AP12" s="485" t="s">
        <v>2283</v>
      </c>
      <c r="AQ12" s="485" t="str">
        <f>$AS$7</f>
        <v>CordlockYesCordless</v>
      </c>
      <c r="AT12" s="384" t="e">
        <f t="shared" si="1"/>
        <v>#N/A</v>
      </c>
      <c r="AW12" s="384" t="str">
        <f t="shared" si="2"/>
        <v>CordlockNoCordless</v>
      </c>
    </row>
    <row r="13" spans="1:49" ht="30" customHeight="1">
      <c r="A13" s="414">
        <v>6</v>
      </c>
      <c r="B13" s="410"/>
      <c r="C13" s="410"/>
      <c r="D13" s="410"/>
      <c r="E13" s="409"/>
      <c r="F13" s="411"/>
      <c r="G13" s="411"/>
      <c r="H13" s="411"/>
      <c r="I13" s="411"/>
      <c r="J13" s="668"/>
      <c r="K13" s="669"/>
      <c r="L13" s="412"/>
      <c r="M13" s="412"/>
      <c r="N13" s="412"/>
      <c r="O13" s="670"/>
      <c r="P13" s="671"/>
      <c r="Q13" s="409"/>
      <c r="R13" s="409"/>
      <c r="S13" s="409"/>
      <c r="T13" s="409"/>
      <c r="U13" s="409"/>
      <c r="V13" s="413"/>
      <c r="W13" s="406"/>
      <c r="X13" s="407"/>
      <c r="AA13" s="384" t="str">
        <f t="shared" si="0"/>
        <v>OK</v>
      </c>
      <c r="AB13" s="384" t="str">
        <f>IF(COUNTIF($H$8:$H$57,Data!KF8),Data!KG8,"")</f>
        <v/>
      </c>
      <c r="AG13" s="384" t="b">
        <f>IF(D13=Data!$OL$3,Data!$AP$1, IF(D13=Data!$OL$4,Data!$AP$1, IF(D13=Data!$OL$5,Data!$AQ$1, IF(D13=Data!$OL$6,Data!$AQ$1, IF(D13=Data!$OL$7,Data!$AR$1)))))</f>
        <v>0</v>
      </c>
      <c r="AT13" s="384" t="e">
        <f t="shared" si="1"/>
        <v>#N/A</v>
      </c>
      <c r="AW13" s="384" t="str">
        <f t="shared" si="2"/>
        <v>CordlockNoCordless</v>
      </c>
    </row>
    <row r="14" spans="1:49" ht="30" customHeight="1">
      <c r="A14" s="414">
        <v>7</v>
      </c>
      <c r="B14" s="410"/>
      <c r="C14" s="410"/>
      <c r="D14" s="410"/>
      <c r="E14" s="409"/>
      <c r="F14" s="411"/>
      <c r="G14" s="411"/>
      <c r="H14" s="411"/>
      <c r="I14" s="411"/>
      <c r="J14" s="668"/>
      <c r="K14" s="669"/>
      <c r="L14" s="412"/>
      <c r="M14" s="412"/>
      <c r="N14" s="412"/>
      <c r="O14" s="670"/>
      <c r="P14" s="671"/>
      <c r="Q14" s="409"/>
      <c r="R14" s="409"/>
      <c r="S14" s="409"/>
      <c r="T14" s="409"/>
      <c r="U14" s="409"/>
      <c r="V14" s="413"/>
      <c r="W14" s="406"/>
      <c r="X14" s="407"/>
      <c r="AA14" s="384" t="str">
        <f t="shared" si="0"/>
        <v>OK</v>
      </c>
      <c r="AB14" s="384" t="str">
        <f>IF(COUNTIF($H$8:$H$57,Data!KF9),Data!KG9,"")</f>
        <v/>
      </c>
      <c r="AG14" s="384" t="b">
        <f>IF(D14=Data!$OL$3,Data!$AP$1, IF(D14=Data!$OL$4,Data!$AP$1, IF(D14=Data!$OL$5,Data!$AQ$1, IF(D14=Data!$OL$6,Data!$AQ$1, IF(D14=Data!$OL$7,Data!$AR$1)))))</f>
        <v>0</v>
      </c>
      <c r="AT14" s="384" t="e">
        <f t="shared" si="1"/>
        <v>#N/A</v>
      </c>
      <c r="AW14" s="384" t="str">
        <f t="shared" si="2"/>
        <v>CordlockNoCordless</v>
      </c>
    </row>
    <row r="15" spans="1:49" ht="30" customHeight="1">
      <c r="A15" s="414">
        <v>8</v>
      </c>
      <c r="B15" s="415"/>
      <c r="C15" s="415"/>
      <c r="D15" s="410"/>
      <c r="E15" s="409"/>
      <c r="F15" s="411"/>
      <c r="G15" s="411"/>
      <c r="H15" s="411"/>
      <c r="I15" s="411"/>
      <c r="J15" s="668"/>
      <c r="K15" s="669"/>
      <c r="L15" s="412"/>
      <c r="M15" s="412"/>
      <c r="N15" s="412"/>
      <c r="O15" s="670"/>
      <c r="P15" s="671"/>
      <c r="Q15" s="409"/>
      <c r="R15" s="409"/>
      <c r="S15" s="409"/>
      <c r="T15" s="409"/>
      <c r="U15" s="409"/>
      <c r="V15" s="413"/>
      <c r="W15" s="406"/>
      <c r="X15" s="407"/>
      <c r="AA15" s="384" t="str">
        <f t="shared" si="0"/>
        <v>OK</v>
      </c>
      <c r="AB15" s="384" t="str">
        <f>IF(COUNTIF(AB8:AB14,Data!KG6),Data!KH6,"")</f>
        <v/>
      </c>
      <c r="AG15" s="384" t="b">
        <f>IF(D15=Data!$OL$3,Data!$AP$1, IF(D15=Data!$OL$4,Data!$AP$1, IF(D15=Data!$OL$5,Data!$AQ$1, IF(D15=Data!$OL$6,Data!$AQ$1, IF(D15=Data!$OL$7,Data!$AR$1)))))</f>
        <v>0</v>
      </c>
      <c r="AT15" s="384" t="e">
        <f t="shared" si="1"/>
        <v>#N/A</v>
      </c>
      <c r="AW15" s="384" t="str">
        <f t="shared" si="2"/>
        <v>CordlockNoCordless</v>
      </c>
    </row>
    <row r="16" spans="1:49" ht="30" customHeight="1">
      <c r="A16" s="414">
        <v>9</v>
      </c>
      <c r="B16" s="410"/>
      <c r="C16" s="410"/>
      <c r="D16" s="410"/>
      <c r="E16" s="416"/>
      <c r="F16" s="411"/>
      <c r="G16" s="411"/>
      <c r="H16" s="411"/>
      <c r="I16" s="411"/>
      <c r="J16" s="668"/>
      <c r="K16" s="669"/>
      <c r="L16" s="412"/>
      <c r="M16" s="412"/>
      <c r="N16" s="412"/>
      <c r="O16" s="670"/>
      <c r="P16" s="671"/>
      <c r="Q16" s="409"/>
      <c r="R16" s="409"/>
      <c r="S16" s="409"/>
      <c r="T16" s="409"/>
      <c r="U16" s="409"/>
      <c r="V16" s="413"/>
      <c r="W16" s="406"/>
      <c r="X16" s="407"/>
      <c r="AA16" s="384" t="str">
        <f t="shared" si="0"/>
        <v>OK</v>
      </c>
      <c r="AB16" s="384" t="str">
        <f>IF(COUNTIF(AB8:AB14,Data!KG7),Data!KH7,"")</f>
        <v/>
      </c>
      <c r="AG16" s="384" t="b">
        <f>IF(D16=Data!$OL$3,Data!$AP$1, IF(D16=Data!$OL$4,Data!$AP$1, IF(D16=Data!$OL$5,Data!$AQ$1, IF(D16=Data!$OL$6,Data!$AQ$1, IF(D16=Data!$OL$7,Data!$AR$1)))))</f>
        <v>0</v>
      </c>
      <c r="AT16" s="384" t="e">
        <f t="shared" si="1"/>
        <v>#N/A</v>
      </c>
      <c r="AW16" s="384" t="str">
        <f t="shared" si="2"/>
        <v>CordlockNoCordless</v>
      </c>
    </row>
    <row r="17" spans="1:49" ht="30" customHeight="1">
      <c r="A17" s="414">
        <v>10</v>
      </c>
      <c r="B17" s="410"/>
      <c r="C17" s="410"/>
      <c r="D17" s="410"/>
      <c r="E17" s="417"/>
      <c r="F17" s="411"/>
      <c r="G17" s="411"/>
      <c r="H17" s="411"/>
      <c r="I17" s="411"/>
      <c r="J17" s="668"/>
      <c r="K17" s="669"/>
      <c r="L17" s="412"/>
      <c r="M17" s="412"/>
      <c r="N17" s="412"/>
      <c r="O17" s="670"/>
      <c r="P17" s="671"/>
      <c r="Q17" s="409"/>
      <c r="R17" s="409"/>
      <c r="S17" s="409"/>
      <c r="T17" s="409"/>
      <c r="U17" s="409"/>
      <c r="V17" s="413"/>
      <c r="W17" s="406"/>
      <c r="X17" s="407"/>
      <c r="AA17" s="384" t="str">
        <f t="shared" si="0"/>
        <v>OK</v>
      </c>
      <c r="AB17" s="384" t="str">
        <f>AB15&amp;" &amp; "&amp;AB16&amp;""</f>
        <v xml:space="preserve"> &amp; </v>
      </c>
      <c r="AG17" s="384" t="b">
        <f>IF(D17=Data!$OL$3,Data!$AP$1, IF(D17=Data!$OL$4,Data!$AP$1, IF(D17=Data!$OL$5,Data!$AQ$1, IF(D17=Data!$OL$6,Data!$AQ$1, IF(D17=Data!$OL$7,Data!$AR$1)))))</f>
        <v>0</v>
      </c>
      <c r="AT17" s="384" t="e">
        <f t="shared" si="1"/>
        <v>#N/A</v>
      </c>
      <c r="AW17" s="384" t="str">
        <f t="shared" si="2"/>
        <v>CordlockNoCordless</v>
      </c>
    </row>
    <row r="18" spans="1:49" ht="30" customHeight="1">
      <c r="A18" s="414">
        <v>11</v>
      </c>
      <c r="B18" s="410"/>
      <c r="C18" s="410"/>
      <c r="D18" s="410"/>
      <c r="E18" s="417"/>
      <c r="F18" s="411"/>
      <c r="G18" s="411"/>
      <c r="H18" s="411"/>
      <c r="I18" s="411"/>
      <c r="J18" s="668"/>
      <c r="K18" s="669"/>
      <c r="L18" s="412"/>
      <c r="M18" s="412"/>
      <c r="N18" s="412"/>
      <c r="O18" s="670"/>
      <c r="P18" s="671"/>
      <c r="Q18" s="409"/>
      <c r="R18" s="409"/>
      <c r="S18" s="409"/>
      <c r="T18" s="409"/>
      <c r="U18" s="409"/>
      <c r="V18" s="413"/>
      <c r="W18" s="406"/>
      <c r="X18" s="407"/>
      <c r="AA18" s="384" t="str">
        <f t="shared" si="0"/>
        <v>OK</v>
      </c>
      <c r="AB18" s="384" t="str">
        <f>IF(AB17="Corner &amp; Bay","Corner &amp; Bay Window Diagram Must Be Supplied",IF(AB15="Corner","Corner Window Diagram Must Be Supplied",IF(AB16="Bay","Bay Window Diagram Must Be Supplied","")))</f>
        <v/>
      </c>
      <c r="AG18" s="384" t="b">
        <f>IF(D18=Data!$OL$3,Data!$AP$1, IF(D18=Data!$OL$4,Data!$AP$1, IF(D18=Data!$OL$5,Data!$AQ$1, IF(D18=Data!$OL$6,Data!$AQ$1, IF(D18=Data!$OL$7,Data!$AR$1)))))</f>
        <v>0</v>
      </c>
      <c r="AT18" s="384" t="e">
        <f t="shared" si="1"/>
        <v>#N/A</v>
      </c>
      <c r="AW18" s="384" t="str">
        <f t="shared" si="2"/>
        <v>CordlockNoCordless</v>
      </c>
    </row>
    <row r="19" spans="1:49" ht="30" customHeight="1">
      <c r="A19" s="414">
        <v>12</v>
      </c>
      <c r="B19" s="410"/>
      <c r="C19" s="410"/>
      <c r="D19" s="410"/>
      <c r="E19" s="417"/>
      <c r="F19" s="411"/>
      <c r="G19" s="411"/>
      <c r="H19" s="411"/>
      <c r="I19" s="411"/>
      <c r="J19" s="668"/>
      <c r="K19" s="669"/>
      <c r="L19" s="412"/>
      <c r="M19" s="412"/>
      <c r="N19" s="412"/>
      <c r="O19" s="670"/>
      <c r="P19" s="671"/>
      <c r="Q19" s="409"/>
      <c r="R19" s="409"/>
      <c r="S19" s="409"/>
      <c r="T19" s="409"/>
      <c r="U19" s="409"/>
      <c r="V19" s="413"/>
      <c r="W19" s="406"/>
      <c r="X19" s="407"/>
      <c r="AA19" s="384" t="str">
        <f t="shared" si="0"/>
        <v>OK</v>
      </c>
      <c r="AG19" s="384" t="b">
        <f>IF(D19=Data!$OL$3,Data!$AP$1, IF(D19=Data!$OL$4,Data!$AP$1, IF(D19=Data!$OL$5,Data!$AQ$1, IF(D19=Data!$OL$6,Data!$AQ$1, IF(D19=Data!$OL$7,Data!$AR$1)))))</f>
        <v>0</v>
      </c>
      <c r="AT19" s="384" t="e">
        <f t="shared" si="1"/>
        <v>#N/A</v>
      </c>
      <c r="AW19" s="384" t="str">
        <f t="shared" si="2"/>
        <v>CordlockNoCordless</v>
      </c>
    </row>
    <row r="20" spans="1:49" ht="30" customHeight="1">
      <c r="A20" s="414">
        <v>13</v>
      </c>
      <c r="B20" s="410"/>
      <c r="C20" s="410"/>
      <c r="D20" s="410"/>
      <c r="E20" s="417"/>
      <c r="F20" s="411"/>
      <c r="G20" s="411"/>
      <c r="H20" s="411"/>
      <c r="I20" s="411"/>
      <c r="J20" s="668"/>
      <c r="K20" s="669"/>
      <c r="L20" s="412"/>
      <c r="M20" s="412"/>
      <c r="N20" s="412"/>
      <c r="O20" s="670"/>
      <c r="P20" s="671"/>
      <c r="Q20" s="409"/>
      <c r="R20" s="409"/>
      <c r="S20" s="409"/>
      <c r="T20" s="409"/>
      <c r="U20" s="409"/>
      <c r="V20" s="413"/>
      <c r="W20" s="406"/>
      <c r="X20" s="407"/>
      <c r="AA20" s="384" t="str">
        <f t="shared" si="0"/>
        <v>OK</v>
      </c>
      <c r="AG20" s="384" t="b">
        <f>IF(D20=Data!$OL$3,Data!$AP$1, IF(D20=Data!$OL$4,Data!$AP$1, IF(D20=Data!$OL$5,Data!$AQ$1, IF(D20=Data!$OL$6,Data!$AQ$1, IF(D20=Data!$OL$7,Data!$AR$1)))))</f>
        <v>0</v>
      </c>
      <c r="AT20" s="384" t="e">
        <f t="shared" si="1"/>
        <v>#N/A</v>
      </c>
      <c r="AW20" s="384" t="str">
        <f t="shared" si="2"/>
        <v>CordlockNoCordless</v>
      </c>
    </row>
    <row r="21" spans="1:49" ht="30" customHeight="1">
      <c r="A21" s="414">
        <v>14</v>
      </c>
      <c r="B21" s="410"/>
      <c r="C21" s="410"/>
      <c r="D21" s="410"/>
      <c r="E21" s="417"/>
      <c r="F21" s="411"/>
      <c r="G21" s="411"/>
      <c r="H21" s="411"/>
      <c r="I21" s="411"/>
      <c r="J21" s="668"/>
      <c r="K21" s="669"/>
      <c r="L21" s="412"/>
      <c r="M21" s="412"/>
      <c r="N21" s="412"/>
      <c r="O21" s="670"/>
      <c r="P21" s="671"/>
      <c r="Q21" s="409"/>
      <c r="R21" s="409"/>
      <c r="S21" s="409"/>
      <c r="T21" s="409"/>
      <c r="U21" s="409"/>
      <c r="V21" s="413"/>
      <c r="W21" s="406"/>
      <c r="X21" s="407"/>
      <c r="AA21" s="384" t="str">
        <f t="shared" si="0"/>
        <v>OK</v>
      </c>
      <c r="AG21" s="384" t="b">
        <f>IF(D21=Data!$OL$3,Data!$AP$1, IF(D21=Data!$OL$4,Data!$AP$1, IF(D21=Data!$OL$5,Data!$AQ$1, IF(D21=Data!$OL$6,Data!$AQ$1, IF(D21=Data!$OL$7,Data!$AR$1)))))</f>
        <v>0</v>
      </c>
      <c r="AT21" s="384" t="e">
        <f t="shared" si="1"/>
        <v>#N/A</v>
      </c>
      <c r="AW21" s="384" t="str">
        <f t="shared" si="2"/>
        <v>CordlockNoCordless</v>
      </c>
    </row>
    <row r="22" spans="1:49" ht="30" customHeight="1">
      <c r="A22" s="414">
        <v>15</v>
      </c>
      <c r="B22" s="410"/>
      <c r="C22" s="410"/>
      <c r="D22" s="410"/>
      <c r="E22" s="417"/>
      <c r="F22" s="411"/>
      <c r="G22" s="411"/>
      <c r="H22" s="411"/>
      <c r="I22" s="411"/>
      <c r="J22" s="668"/>
      <c r="K22" s="669"/>
      <c r="L22" s="412"/>
      <c r="M22" s="412"/>
      <c r="N22" s="412"/>
      <c r="O22" s="670"/>
      <c r="P22" s="671"/>
      <c r="Q22" s="409"/>
      <c r="R22" s="409"/>
      <c r="S22" s="409"/>
      <c r="T22" s="409"/>
      <c r="U22" s="409"/>
      <c r="V22" s="413"/>
      <c r="W22" s="406"/>
      <c r="X22" s="407"/>
      <c r="AA22" s="384" t="str">
        <f t="shared" si="0"/>
        <v>OK</v>
      </c>
      <c r="AG22" s="384" t="b">
        <f>IF(D22=Data!$OL$3,Data!$AP$1, IF(D22=Data!$OL$4,Data!$AP$1, IF(D22=Data!$OL$5,Data!$AQ$1, IF(D22=Data!$OL$6,Data!$AQ$1, IF(D22=Data!$OL$7,Data!$AR$1)))))</f>
        <v>0</v>
      </c>
      <c r="AT22" s="384" t="e">
        <f t="shared" si="1"/>
        <v>#N/A</v>
      </c>
      <c r="AW22" s="384" t="str">
        <f t="shared" si="2"/>
        <v>CordlockNoCordless</v>
      </c>
    </row>
    <row r="23" spans="1:49" ht="30" customHeight="1">
      <c r="A23" s="414">
        <v>16</v>
      </c>
      <c r="B23" s="410"/>
      <c r="C23" s="410"/>
      <c r="D23" s="410"/>
      <c r="E23" s="417"/>
      <c r="F23" s="411"/>
      <c r="G23" s="411"/>
      <c r="H23" s="411"/>
      <c r="I23" s="411"/>
      <c r="J23" s="668"/>
      <c r="K23" s="669"/>
      <c r="L23" s="412"/>
      <c r="M23" s="412"/>
      <c r="N23" s="412"/>
      <c r="O23" s="670"/>
      <c r="P23" s="671"/>
      <c r="Q23" s="409"/>
      <c r="R23" s="409"/>
      <c r="S23" s="409"/>
      <c r="T23" s="409"/>
      <c r="U23" s="409"/>
      <c r="V23" s="413"/>
      <c r="W23" s="406"/>
      <c r="X23" s="407"/>
      <c r="AA23" s="384" t="str">
        <f t="shared" si="0"/>
        <v>OK</v>
      </c>
      <c r="AG23" s="384" t="b">
        <f>IF(D23=Data!$OL$3,Data!$AP$1, IF(D23=Data!$OL$4,Data!$AP$1, IF(D23=Data!$OL$5,Data!$AQ$1, IF(D23=Data!$OL$6,Data!$AQ$1, IF(D23=Data!$OL$7,Data!$AR$1)))))</f>
        <v>0</v>
      </c>
      <c r="AT23" s="384" t="e">
        <f t="shared" si="1"/>
        <v>#N/A</v>
      </c>
      <c r="AW23" s="384" t="str">
        <f t="shared" si="2"/>
        <v>CordlockNoCordless</v>
      </c>
    </row>
    <row r="24" spans="1:49" ht="30" customHeight="1">
      <c r="A24" s="414">
        <v>17</v>
      </c>
      <c r="B24" s="415"/>
      <c r="C24" s="415"/>
      <c r="D24" s="410"/>
      <c r="E24" s="417"/>
      <c r="F24" s="411"/>
      <c r="G24" s="411"/>
      <c r="H24" s="411"/>
      <c r="I24" s="411"/>
      <c r="J24" s="668"/>
      <c r="K24" s="669"/>
      <c r="L24" s="412"/>
      <c r="M24" s="412"/>
      <c r="N24" s="412"/>
      <c r="O24" s="670"/>
      <c r="P24" s="671"/>
      <c r="Q24" s="409"/>
      <c r="R24" s="409"/>
      <c r="S24" s="409"/>
      <c r="T24" s="409"/>
      <c r="U24" s="409"/>
      <c r="V24" s="413"/>
      <c r="W24" s="406"/>
      <c r="X24" s="407"/>
      <c r="AA24" s="384" t="str">
        <f t="shared" si="0"/>
        <v>OK</v>
      </c>
      <c r="AG24" s="384" t="b">
        <f>IF(D24=Data!$OL$3,Data!$AP$1, IF(D24=Data!$OL$4,Data!$AP$1, IF(D24=Data!$OL$5,Data!$AQ$1, IF(D24=Data!$OL$6,Data!$AQ$1, IF(D24=Data!$OL$7,Data!$AR$1)))))</f>
        <v>0</v>
      </c>
      <c r="AT24" s="384" t="e">
        <f t="shared" si="1"/>
        <v>#N/A</v>
      </c>
      <c r="AW24" s="384" t="str">
        <f t="shared" si="2"/>
        <v>CordlockNoCordless</v>
      </c>
    </row>
    <row r="25" spans="1:49" ht="30" customHeight="1">
      <c r="A25" s="414">
        <v>18</v>
      </c>
      <c r="B25" s="410"/>
      <c r="C25" s="410"/>
      <c r="D25" s="410"/>
      <c r="E25" s="417"/>
      <c r="F25" s="411"/>
      <c r="G25" s="411"/>
      <c r="H25" s="411"/>
      <c r="I25" s="411"/>
      <c r="J25" s="668"/>
      <c r="K25" s="669"/>
      <c r="L25" s="412"/>
      <c r="M25" s="412"/>
      <c r="N25" s="412"/>
      <c r="O25" s="670"/>
      <c r="P25" s="671"/>
      <c r="Q25" s="409"/>
      <c r="R25" s="409"/>
      <c r="S25" s="409"/>
      <c r="T25" s="409"/>
      <c r="U25" s="409"/>
      <c r="V25" s="413"/>
      <c r="W25" s="406"/>
      <c r="X25" s="407"/>
      <c r="AA25" s="384" t="str">
        <f t="shared" si="0"/>
        <v>OK</v>
      </c>
      <c r="AG25" s="384" t="b">
        <f>IF(D25=Data!$OL$3,Data!$AP$1, IF(D25=Data!$OL$4,Data!$AP$1, IF(D25=Data!$OL$5,Data!$AQ$1, IF(D25=Data!$OL$6,Data!$AQ$1, IF(D25=Data!$OL$7,Data!$AR$1)))))</f>
        <v>0</v>
      </c>
      <c r="AT25" s="384" t="e">
        <f t="shared" si="1"/>
        <v>#N/A</v>
      </c>
      <c r="AW25" s="384" t="str">
        <f t="shared" si="2"/>
        <v>CordlockNoCordless</v>
      </c>
    </row>
    <row r="26" spans="1:49" ht="30" customHeight="1">
      <c r="A26" s="414">
        <v>19</v>
      </c>
      <c r="B26" s="410"/>
      <c r="C26" s="410"/>
      <c r="D26" s="410"/>
      <c r="E26" s="417"/>
      <c r="F26" s="411"/>
      <c r="G26" s="411"/>
      <c r="H26" s="411"/>
      <c r="I26" s="411"/>
      <c r="J26" s="668"/>
      <c r="K26" s="669"/>
      <c r="L26" s="412"/>
      <c r="M26" s="412"/>
      <c r="N26" s="412"/>
      <c r="O26" s="670"/>
      <c r="P26" s="671"/>
      <c r="Q26" s="409"/>
      <c r="R26" s="409"/>
      <c r="S26" s="409"/>
      <c r="T26" s="409"/>
      <c r="U26" s="409"/>
      <c r="V26" s="413"/>
      <c r="W26" s="406"/>
      <c r="X26" s="407"/>
      <c r="AA26" s="384" t="str">
        <f t="shared" si="0"/>
        <v>OK</v>
      </c>
      <c r="AG26" s="384" t="b">
        <f>IF(D26=Data!$OL$3,Data!$AP$1, IF(D26=Data!$OL$4,Data!$AP$1, IF(D26=Data!$OL$5,Data!$AQ$1, IF(D26=Data!$OL$6,Data!$AQ$1, IF(D26=Data!$OL$7,Data!$AR$1)))))</f>
        <v>0</v>
      </c>
      <c r="AT26" s="384" t="e">
        <f t="shared" si="1"/>
        <v>#N/A</v>
      </c>
      <c r="AW26" s="384" t="str">
        <f t="shared" si="2"/>
        <v>CordlockNoCordless</v>
      </c>
    </row>
    <row r="27" spans="1:49" ht="30" customHeight="1">
      <c r="A27" s="414">
        <v>20</v>
      </c>
      <c r="B27" s="409"/>
      <c r="C27" s="410"/>
      <c r="D27" s="410"/>
      <c r="E27" s="417"/>
      <c r="F27" s="411"/>
      <c r="G27" s="411"/>
      <c r="H27" s="411"/>
      <c r="I27" s="411"/>
      <c r="J27" s="668"/>
      <c r="K27" s="669"/>
      <c r="L27" s="412"/>
      <c r="M27" s="412"/>
      <c r="N27" s="412"/>
      <c r="O27" s="670"/>
      <c r="P27" s="671"/>
      <c r="Q27" s="409"/>
      <c r="R27" s="409"/>
      <c r="S27" s="409"/>
      <c r="T27" s="409"/>
      <c r="U27" s="409"/>
      <c r="V27" s="413"/>
      <c r="W27" s="406"/>
      <c r="X27" s="407"/>
      <c r="AA27" s="384" t="str">
        <f t="shared" si="0"/>
        <v>OK</v>
      </c>
      <c r="AG27" s="384" t="b">
        <f>IF(D27=Data!$OL$3,Data!$AP$1, IF(D27=Data!$OL$4,Data!$AP$1, IF(D27=Data!$OL$5,Data!$AQ$1, IF(D27=Data!$OL$6,Data!$AQ$1, IF(D27=Data!$OL$7,Data!$AR$1)))))</f>
        <v>0</v>
      </c>
      <c r="AT27" s="384" t="e">
        <f t="shared" si="1"/>
        <v>#N/A</v>
      </c>
      <c r="AW27" s="384" t="str">
        <f t="shared" si="2"/>
        <v>CordlockNoCordless</v>
      </c>
    </row>
    <row r="28" spans="1:49" ht="30" customHeight="1">
      <c r="A28" s="414">
        <v>21</v>
      </c>
      <c r="B28" s="409"/>
      <c r="C28" s="410"/>
      <c r="D28" s="410"/>
      <c r="E28" s="417"/>
      <c r="F28" s="411"/>
      <c r="G28" s="411"/>
      <c r="H28" s="411"/>
      <c r="I28" s="411"/>
      <c r="J28" s="668"/>
      <c r="K28" s="669"/>
      <c r="L28" s="412"/>
      <c r="M28" s="412"/>
      <c r="N28" s="412"/>
      <c r="O28" s="670"/>
      <c r="P28" s="671"/>
      <c r="Q28" s="409"/>
      <c r="R28" s="409"/>
      <c r="S28" s="409"/>
      <c r="T28" s="409"/>
      <c r="U28" s="409"/>
      <c r="V28" s="413"/>
      <c r="W28" s="406"/>
      <c r="X28" s="407"/>
      <c r="AA28" s="384" t="str">
        <f t="shared" si="0"/>
        <v>OK</v>
      </c>
      <c r="AG28" s="384" t="b">
        <f>IF(D28=Data!$OL$3,Data!$AP$1, IF(D28=Data!$OL$4,Data!$AP$1, IF(D28=Data!$OL$5,Data!$AQ$1, IF(D28=Data!$OL$6,Data!$AQ$1, IF(D28=Data!$OL$7,Data!$AR$1)))))</f>
        <v>0</v>
      </c>
      <c r="AT28" s="384" t="e">
        <f t="shared" si="1"/>
        <v>#N/A</v>
      </c>
      <c r="AW28" s="384" t="str">
        <f t="shared" si="2"/>
        <v>CordlockNoCordless</v>
      </c>
    </row>
    <row r="29" spans="1:49" ht="30" customHeight="1">
      <c r="A29" s="414">
        <v>22</v>
      </c>
      <c r="B29" s="409"/>
      <c r="C29" s="410"/>
      <c r="D29" s="410"/>
      <c r="E29" s="417"/>
      <c r="F29" s="411"/>
      <c r="G29" s="411"/>
      <c r="H29" s="411"/>
      <c r="I29" s="411"/>
      <c r="J29" s="668"/>
      <c r="K29" s="669"/>
      <c r="L29" s="412"/>
      <c r="M29" s="412"/>
      <c r="N29" s="412"/>
      <c r="O29" s="670"/>
      <c r="P29" s="671"/>
      <c r="Q29" s="409"/>
      <c r="R29" s="409"/>
      <c r="S29" s="409"/>
      <c r="T29" s="409"/>
      <c r="U29" s="409"/>
      <c r="V29" s="413"/>
      <c r="W29" s="406"/>
      <c r="X29" s="407"/>
      <c r="AA29" s="384" t="str">
        <f t="shared" si="0"/>
        <v>OK</v>
      </c>
      <c r="AG29" s="384" t="b">
        <f>IF(D29=Data!$OL$3,Data!$AP$1, IF(D29=Data!$OL$4,Data!$AP$1, IF(D29=Data!$OL$5,Data!$AQ$1, IF(D29=Data!$OL$6,Data!$AQ$1, IF(D29=Data!$OL$7,Data!$AR$1)))))</f>
        <v>0</v>
      </c>
      <c r="AT29" s="384" t="e">
        <f t="shared" si="1"/>
        <v>#N/A</v>
      </c>
      <c r="AW29" s="384" t="str">
        <f t="shared" si="2"/>
        <v>CordlockNoCordless</v>
      </c>
    </row>
    <row r="30" spans="1:49" ht="30" customHeight="1">
      <c r="A30" s="414">
        <v>23</v>
      </c>
      <c r="B30" s="409"/>
      <c r="C30" s="410"/>
      <c r="D30" s="410"/>
      <c r="E30" s="417"/>
      <c r="F30" s="411"/>
      <c r="G30" s="411"/>
      <c r="H30" s="411"/>
      <c r="I30" s="411"/>
      <c r="J30" s="668"/>
      <c r="K30" s="669"/>
      <c r="L30" s="412"/>
      <c r="M30" s="412"/>
      <c r="N30" s="412"/>
      <c r="O30" s="670"/>
      <c r="P30" s="671"/>
      <c r="Q30" s="409"/>
      <c r="R30" s="409"/>
      <c r="S30" s="409"/>
      <c r="T30" s="409"/>
      <c r="U30" s="409"/>
      <c r="V30" s="413"/>
      <c r="W30" s="406"/>
      <c r="X30" s="407"/>
      <c r="AA30" s="384" t="str">
        <f t="shared" si="0"/>
        <v>OK</v>
      </c>
      <c r="AG30" s="384" t="b">
        <f>IF(D30=Data!$OL$3,Data!$AP$1, IF(D30=Data!$OL$4,Data!$AP$1, IF(D30=Data!$OL$5,Data!$AQ$1, IF(D30=Data!$OL$6,Data!$AQ$1, IF(D30=Data!$OL$7,Data!$AR$1)))))</f>
        <v>0</v>
      </c>
      <c r="AT30" s="384" t="e">
        <f t="shared" si="1"/>
        <v>#N/A</v>
      </c>
      <c r="AW30" s="384" t="str">
        <f t="shared" si="2"/>
        <v>CordlockNoCordless</v>
      </c>
    </row>
    <row r="31" spans="1:49" ht="30" customHeight="1">
      <c r="A31" s="414">
        <v>24</v>
      </c>
      <c r="B31" s="409"/>
      <c r="C31" s="410"/>
      <c r="D31" s="410"/>
      <c r="E31" s="417"/>
      <c r="F31" s="411"/>
      <c r="G31" s="411"/>
      <c r="H31" s="411"/>
      <c r="I31" s="411"/>
      <c r="J31" s="668"/>
      <c r="K31" s="669"/>
      <c r="L31" s="412"/>
      <c r="M31" s="412"/>
      <c r="N31" s="412"/>
      <c r="O31" s="670"/>
      <c r="P31" s="671"/>
      <c r="Q31" s="409"/>
      <c r="R31" s="409"/>
      <c r="S31" s="409"/>
      <c r="T31" s="409"/>
      <c r="U31" s="409"/>
      <c r="V31" s="413"/>
      <c r="W31" s="406"/>
      <c r="X31" s="407"/>
      <c r="AA31" s="384" t="str">
        <f t="shared" si="0"/>
        <v>OK</v>
      </c>
      <c r="AG31" s="384" t="b">
        <f>IF(D31=Data!$OL$3,Data!$AP$1, IF(D31=Data!$OL$4,Data!$AP$1, IF(D31=Data!$OL$5,Data!$AQ$1, IF(D31=Data!$OL$6,Data!$AQ$1, IF(D31=Data!$OL$7,Data!$AR$1)))))</f>
        <v>0</v>
      </c>
      <c r="AT31" s="384" t="e">
        <f t="shared" si="1"/>
        <v>#N/A</v>
      </c>
      <c r="AW31" s="384" t="str">
        <f t="shared" si="2"/>
        <v>CordlockNoCordless</v>
      </c>
    </row>
    <row r="32" spans="1:49" ht="30" customHeight="1">
      <c r="A32" s="414">
        <v>25</v>
      </c>
      <c r="B32" s="409"/>
      <c r="C32" s="410"/>
      <c r="D32" s="410"/>
      <c r="E32" s="417"/>
      <c r="F32" s="411"/>
      <c r="G32" s="411"/>
      <c r="H32" s="411"/>
      <c r="I32" s="411"/>
      <c r="J32" s="668"/>
      <c r="K32" s="669"/>
      <c r="L32" s="412"/>
      <c r="M32" s="412"/>
      <c r="N32" s="412"/>
      <c r="O32" s="670"/>
      <c r="P32" s="671"/>
      <c r="Q32" s="409"/>
      <c r="R32" s="409"/>
      <c r="S32" s="409"/>
      <c r="T32" s="409"/>
      <c r="U32" s="409"/>
      <c r="V32" s="413"/>
      <c r="W32" s="406"/>
      <c r="X32" s="407"/>
      <c r="AA32" s="384" t="str">
        <f t="shared" si="0"/>
        <v>OK</v>
      </c>
      <c r="AG32" s="384" t="b">
        <f>IF(D32=Data!$OL$3,Data!$AP$1, IF(D32=Data!$OL$4,Data!$AP$1, IF(D32=Data!$OL$5,Data!$AQ$1, IF(D32=Data!$OL$6,Data!$AQ$1, IF(D32=Data!$OL$7,Data!$AR$1)))))</f>
        <v>0</v>
      </c>
      <c r="AT32" s="384" t="e">
        <f t="shared" si="1"/>
        <v>#N/A</v>
      </c>
      <c r="AW32" s="384" t="str">
        <f t="shared" si="2"/>
        <v>CordlockNoCordless</v>
      </c>
    </row>
    <row r="33" spans="1:49" ht="30" customHeight="1">
      <c r="A33" s="414">
        <v>26</v>
      </c>
      <c r="B33" s="409"/>
      <c r="C33" s="410"/>
      <c r="D33" s="410"/>
      <c r="E33" s="417"/>
      <c r="F33" s="411"/>
      <c r="G33" s="411"/>
      <c r="H33" s="411"/>
      <c r="I33" s="411"/>
      <c r="J33" s="668"/>
      <c r="K33" s="669"/>
      <c r="L33" s="412"/>
      <c r="M33" s="412"/>
      <c r="N33" s="412"/>
      <c r="O33" s="670"/>
      <c r="P33" s="671"/>
      <c r="Q33" s="409"/>
      <c r="R33" s="409"/>
      <c r="S33" s="409"/>
      <c r="T33" s="409"/>
      <c r="U33" s="409"/>
      <c r="V33" s="413"/>
      <c r="W33" s="406"/>
      <c r="X33" s="407"/>
      <c r="AA33" s="384" t="str">
        <f t="shared" si="0"/>
        <v>OK</v>
      </c>
      <c r="AG33" s="384" t="b">
        <f>IF(D33=Data!$OL$3,Data!$AP$1, IF(D33=Data!$OL$4,Data!$AP$1, IF(D33=Data!$OL$5,Data!$AQ$1, IF(D33=Data!$OL$6,Data!$AQ$1, IF(D33=Data!$OL$7,Data!$AR$1)))))</f>
        <v>0</v>
      </c>
      <c r="AT33" s="384" t="e">
        <f t="shared" si="1"/>
        <v>#N/A</v>
      </c>
      <c r="AW33" s="384" t="str">
        <f t="shared" si="2"/>
        <v>CordlockNoCordless</v>
      </c>
    </row>
    <row r="34" spans="1:49" ht="30" customHeight="1">
      <c r="A34" s="414">
        <v>27</v>
      </c>
      <c r="B34" s="418"/>
      <c r="C34" s="415"/>
      <c r="D34" s="410"/>
      <c r="E34" s="417"/>
      <c r="F34" s="411"/>
      <c r="G34" s="411"/>
      <c r="H34" s="411"/>
      <c r="I34" s="411"/>
      <c r="J34" s="668"/>
      <c r="K34" s="669"/>
      <c r="L34" s="412"/>
      <c r="M34" s="412"/>
      <c r="N34" s="412"/>
      <c r="O34" s="670"/>
      <c r="P34" s="671"/>
      <c r="Q34" s="409"/>
      <c r="R34" s="409"/>
      <c r="S34" s="409"/>
      <c r="T34" s="409"/>
      <c r="U34" s="409"/>
      <c r="V34" s="413"/>
      <c r="W34" s="406"/>
      <c r="X34" s="407"/>
      <c r="AA34" s="384" t="str">
        <f t="shared" si="0"/>
        <v>OK</v>
      </c>
      <c r="AG34" s="384" t="b">
        <f>IF(D34=Data!$OL$3,Data!$AP$1, IF(D34=Data!$OL$4,Data!$AP$1, IF(D34=Data!$OL$5,Data!$AQ$1, IF(D34=Data!$OL$6,Data!$AQ$1, IF(D34=Data!$OL$7,Data!$AR$1)))))</f>
        <v>0</v>
      </c>
      <c r="AT34" s="384" t="e">
        <f t="shared" si="1"/>
        <v>#N/A</v>
      </c>
      <c r="AW34" s="384" t="str">
        <f t="shared" si="2"/>
        <v>CordlockNoCordless</v>
      </c>
    </row>
    <row r="35" spans="1:49" ht="30" customHeight="1">
      <c r="A35" s="414">
        <v>28</v>
      </c>
      <c r="B35" s="409"/>
      <c r="C35" s="410"/>
      <c r="D35" s="410"/>
      <c r="E35" s="417"/>
      <c r="F35" s="411"/>
      <c r="G35" s="411"/>
      <c r="H35" s="411"/>
      <c r="I35" s="411"/>
      <c r="J35" s="668"/>
      <c r="K35" s="669"/>
      <c r="L35" s="412"/>
      <c r="M35" s="412"/>
      <c r="N35" s="412"/>
      <c r="O35" s="670"/>
      <c r="P35" s="671"/>
      <c r="Q35" s="409"/>
      <c r="R35" s="409"/>
      <c r="S35" s="409"/>
      <c r="T35" s="409"/>
      <c r="U35" s="409"/>
      <c r="V35" s="413"/>
      <c r="W35" s="406"/>
      <c r="X35" s="407"/>
      <c r="AA35" s="384" t="str">
        <f t="shared" si="0"/>
        <v>OK</v>
      </c>
      <c r="AG35" s="384" t="b">
        <f>IF(D35=Data!$OL$3,Data!$AP$1, IF(D35=Data!$OL$4,Data!$AP$1, IF(D35=Data!$OL$5,Data!$AQ$1, IF(D35=Data!$OL$6,Data!$AQ$1, IF(D35=Data!$OL$7,Data!$AR$1)))))</f>
        <v>0</v>
      </c>
      <c r="AT35" s="384" t="e">
        <f t="shared" si="1"/>
        <v>#N/A</v>
      </c>
      <c r="AW35" s="384" t="str">
        <f t="shared" si="2"/>
        <v>CordlockNoCordless</v>
      </c>
    </row>
    <row r="36" spans="1:49" ht="30" customHeight="1">
      <c r="A36" s="414">
        <v>29</v>
      </c>
      <c r="B36" s="409"/>
      <c r="C36" s="410"/>
      <c r="D36" s="410"/>
      <c r="E36" s="417"/>
      <c r="F36" s="411"/>
      <c r="G36" s="411"/>
      <c r="H36" s="411"/>
      <c r="I36" s="411"/>
      <c r="J36" s="668"/>
      <c r="K36" s="669"/>
      <c r="L36" s="412"/>
      <c r="M36" s="412"/>
      <c r="N36" s="412"/>
      <c r="O36" s="670"/>
      <c r="P36" s="671"/>
      <c r="Q36" s="409"/>
      <c r="R36" s="409"/>
      <c r="S36" s="409"/>
      <c r="T36" s="409"/>
      <c r="U36" s="409"/>
      <c r="V36" s="413"/>
      <c r="W36" s="406"/>
      <c r="X36" s="407"/>
      <c r="AA36" s="384" t="str">
        <f t="shared" si="0"/>
        <v>OK</v>
      </c>
      <c r="AG36" s="384" t="b">
        <f>IF(D36=Data!$OL$3,Data!$AP$1, IF(D36=Data!$OL$4,Data!$AP$1, IF(D36=Data!$OL$5,Data!$AQ$1, IF(D36=Data!$OL$6,Data!$AQ$1, IF(D36=Data!$OL$7,Data!$AR$1)))))</f>
        <v>0</v>
      </c>
      <c r="AT36" s="384" t="e">
        <f t="shared" si="1"/>
        <v>#N/A</v>
      </c>
      <c r="AW36" s="384" t="str">
        <f t="shared" si="2"/>
        <v>CordlockNoCordless</v>
      </c>
    </row>
    <row r="37" spans="1:49" ht="30" customHeight="1">
      <c r="A37" s="414">
        <v>30</v>
      </c>
      <c r="B37" s="409"/>
      <c r="C37" s="409"/>
      <c r="D37" s="409"/>
      <c r="E37" s="409"/>
      <c r="F37" s="411"/>
      <c r="G37" s="411"/>
      <c r="H37" s="411"/>
      <c r="I37" s="411"/>
      <c r="J37" s="668"/>
      <c r="K37" s="669"/>
      <c r="L37" s="412"/>
      <c r="M37" s="412"/>
      <c r="N37" s="412"/>
      <c r="O37" s="670"/>
      <c r="P37" s="671"/>
      <c r="Q37" s="409"/>
      <c r="R37" s="409"/>
      <c r="S37" s="409"/>
      <c r="T37" s="409"/>
      <c r="U37" s="409"/>
      <c r="V37" s="413"/>
      <c r="W37" s="406"/>
      <c r="X37" s="407"/>
      <c r="AA37" s="384" t="str">
        <f t="shared" si="0"/>
        <v>OK</v>
      </c>
      <c r="AG37" s="384" t="b">
        <f>IF(D37=Data!$OL$3,Data!$AP$1, IF(D37=Data!$OL$4,Data!$AP$1, IF(D37=Data!$OL$5,Data!$AQ$1, IF(D37=Data!$OL$6,Data!$AQ$1, IF(D37=Data!$OL$7,Data!$AR$1)))))</f>
        <v>0</v>
      </c>
      <c r="AT37" s="384" t="e">
        <f t="shared" si="1"/>
        <v>#N/A</v>
      </c>
      <c r="AW37" s="384" t="str">
        <f t="shared" si="2"/>
        <v>CordlockNoCordless</v>
      </c>
    </row>
    <row r="38" spans="1:49" ht="30" customHeight="1">
      <c r="A38" s="414">
        <v>31</v>
      </c>
      <c r="B38" s="409"/>
      <c r="C38" s="409"/>
      <c r="D38" s="409"/>
      <c r="E38" s="409"/>
      <c r="F38" s="411"/>
      <c r="G38" s="411"/>
      <c r="H38" s="411"/>
      <c r="I38" s="411"/>
      <c r="J38" s="668"/>
      <c r="K38" s="669"/>
      <c r="L38" s="412"/>
      <c r="M38" s="412"/>
      <c r="N38" s="412"/>
      <c r="O38" s="670"/>
      <c r="P38" s="671"/>
      <c r="Q38" s="409"/>
      <c r="R38" s="409"/>
      <c r="S38" s="409"/>
      <c r="T38" s="409"/>
      <c r="U38" s="409"/>
      <c r="V38" s="413"/>
      <c r="W38" s="406"/>
      <c r="X38" s="407"/>
      <c r="AA38" s="384" t="str">
        <f t="shared" si="0"/>
        <v>OK</v>
      </c>
      <c r="AG38" s="384" t="b">
        <f>IF(D38=Data!$OL$3,Data!$AP$1, IF(D38=Data!$OL$4,Data!$AP$1, IF(D38=Data!$OL$5,Data!$AQ$1, IF(D38=Data!$OL$6,Data!$AQ$1, IF(D38=Data!$OL$7,Data!$AR$1)))))</f>
        <v>0</v>
      </c>
      <c r="AT38" s="384" t="e">
        <f t="shared" si="1"/>
        <v>#N/A</v>
      </c>
      <c r="AW38" s="384" t="str">
        <f t="shared" si="2"/>
        <v>CordlockNoCordless</v>
      </c>
    </row>
    <row r="39" spans="1:49" ht="30" customHeight="1">
      <c r="A39" s="414">
        <v>32</v>
      </c>
      <c r="B39" s="409"/>
      <c r="C39" s="410"/>
      <c r="D39" s="410"/>
      <c r="E39" s="416"/>
      <c r="F39" s="411"/>
      <c r="G39" s="411"/>
      <c r="H39" s="411"/>
      <c r="I39" s="411"/>
      <c r="J39" s="668"/>
      <c r="K39" s="669"/>
      <c r="L39" s="412"/>
      <c r="M39" s="412"/>
      <c r="N39" s="412"/>
      <c r="O39" s="670"/>
      <c r="P39" s="671"/>
      <c r="Q39" s="409"/>
      <c r="R39" s="409"/>
      <c r="S39" s="409"/>
      <c r="T39" s="409"/>
      <c r="U39" s="409"/>
      <c r="V39" s="413"/>
      <c r="W39" s="406"/>
      <c r="X39" s="407"/>
      <c r="AA39" s="384" t="str">
        <f t="shared" si="0"/>
        <v>OK</v>
      </c>
      <c r="AG39" s="384" t="b">
        <f>IF(D39=Data!$OL$3,Data!$AP$1, IF(D39=Data!$OL$4,Data!$AP$1, IF(D39=Data!$OL$5,Data!$AQ$1, IF(D39=Data!$OL$6,Data!$AQ$1, IF(D39=Data!$OL$7,Data!$AR$1)))))</f>
        <v>0</v>
      </c>
      <c r="AT39" s="384" t="e">
        <f t="shared" si="1"/>
        <v>#N/A</v>
      </c>
      <c r="AW39" s="384" t="str">
        <f t="shared" si="2"/>
        <v>CordlockNoCordless</v>
      </c>
    </row>
    <row r="40" spans="1:49" ht="30" customHeight="1">
      <c r="A40" s="414">
        <v>33</v>
      </c>
      <c r="B40" s="409"/>
      <c r="C40" s="410"/>
      <c r="D40" s="409"/>
      <c r="E40" s="409"/>
      <c r="F40" s="411"/>
      <c r="G40" s="411"/>
      <c r="H40" s="411"/>
      <c r="I40" s="411"/>
      <c r="J40" s="668"/>
      <c r="K40" s="669"/>
      <c r="L40" s="412"/>
      <c r="M40" s="412"/>
      <c r="N40" s="412"/>
      <c r="O40" s="670"/>
      <c r="P40" s="671"/>
      <c r="Q40" s="409"/>
      <c r="R40" s="409"/>
      <c r="S40" s="409"/>
      <c r="T40" s="409"/>
      <c r="U40" s="409"/>
      <c r="V40" s="413"/>
      <c r="W40" s="406"/>
      <c r="X40" s="407"/>
      <c r="AA40" s="384" t="str">
        <f t="shared" si="0"/>
        <v>OK</v>
      </c>
      <c r="AG40" s="384" t="b">
        <f>IF(D40=Data!$OL$3,Data!$AP$1, IF(D40=Data!$OL$4,Data!$AP$1, IF(D40=Data!$OL$5,Data!$AQ$1, IF(D40=Data!$OL$6,Data!$AQ$1, IF(D40=Data!$OL$7,Data!$AR$1)))))</f>
        <v>0</v>
      </c>
      <c r="AT40" s="384" t="e">
        <f t="shared" si="1"/>
        <v>#N/A</v>
      </c>
      <c r="AW40" s="384" t="str">
        <f t="shared" si="2"/>
        <v>CordlockNoCordless</v>
      </c>
    </row>
    <row r="41" spans="1:49" ht="30" customHeight="1">
      <c r="A41" s="414">
        <v>34</v>
      </c>
      <c r="B41" s="409"/>
      <c r="C41" s="410"/>
      <c r="D41" s="409"/>
      <c r="E41" s="409"/>
      <c r="F41" s="411"/>
      <c r="G41" s="411"/>
      <c r="H41" s="411"/>
      <c r="I41" s="411"/>
      <c r="J41" s="668"/>
      <c r="K41" s="669"/>
      <c r="L41" s="412"/>
      <c r="M41" s="412"/>
      <c r="N41" s="412"/>
      <c r="O41" s="670"/>
      <c r="P41" s="671"/>
      <c r="Q41" s="409"/>
      <c r="R41" s="409"/>
      <c r="S41" s="409"/>
      <c r="T41" s="409"/>
      <c r="U41" s="409"/>
      <c r="V41" s="413"/>
      <c r="W41" s="406"/>
      <c r="X41" s="407"/>
      <c r="AA41" s="384" t="str">
        <f t="shared" si="0"/>
        <v>OK</v>
      </c>
      <c r="AG41" s="384" t="b">
        <f>IF(D41=Data!$OL$3,Data!$AP$1, IF(D41=Data!$OL$4,Data!$AP$1, IF(D41=Data!$OL$5,Data!$AQ$1, IF(D41=Data!$OL$6,Data!$AQ$1, IF(D41=Data!$OL$7,Data!$AR$1)))))</f>
        <v>0</v>
      </c>
      <c r="AT41" s="384" t="e">
        <f t="shared" si="1"/>
        <v>#N/A</v>
      </c>
      <c r="AW41" s="384" t="str">
        <f t="shared" si="2"/>
        <v>CordlockNoCordless</v>
      </c>
    </row>
    <row r="42" spans="1:49" ht="30" customHeight="1">
      <c r="A42" s="414">
        <v>35</v>
      </c>
      <c r="B42" s="409"/>
      <c r="C42" s="410"/>
      <c r="D42" s="410"/>
      <c r="E42" s="417"/>
      <c r="F42" s="411"/>
      <c r="G42" s="411"/>
      <c r="H42" s="411"/>
      <c r="I42" s="411"/>
      <c r="J42" s="668"/>
      <c r="K42" s="669"/>
      <c r="L42" s="412"/>
      <c r="M42" s="412"/>
      <c r="N42" s="412"/>
      <c r="O42" s="670"/>
      <c r="P42" s="671"/>
      <c r="Q42" s="409"/>
      <c r="R42" s="409"/>
      <c r="S42" s="409"/>
      <c r="T42" s="409"/>
      <c r="U42" s="409"/>
      <c r="V42" s="413"/>
      <c r="W42" s="406"/>
      <c r="X42" s="407"/>
      <c r="AA42" s="384" t="str">
        <f t="shared" si="0"/>
        <v>OK</v>
      </c>
      <c r="AG42" s="384" t="b">
        <f>IF(D42=Data!$OL$3,Data!$AP$1, IF(D42=Data!$OL$4,Data!$AP$1, IF(D42=Data!$OL$5,Data!$AQ$1, IF(D42=Data!$OL$6,Data!$AQ$1, IF(D42=Data!$OL$7,Data!$AR$1)))))</f>
        <v>0</v>
      </c>
      <c r="AT42" s="384" t="e">
        <f t="shared" si="1"/>
        <v>#N/A</v>
      </c>
      <c r="AW42" s="384" t="str">
        <f t="shared" si="2"/>
        <v>CordlockNoCordless</v>
      </c>
    </row>
    <row r="43" spans="1:49" ht="30" customHeight="1">
      <c r="A43" s="414">
        <v>36</v>
      </c>
      <c r="B43" s="409"/>
      <c r="C43" s="410"/>
      <c r="D43" s="410"/>
      <c r="E43" s="409"/>
      <c r="F43" s="411"/>
      <c r="G43" s="411"/>
      <c r="H43" s="411"/>
      <c r="I43" s="411"/>
      <c r="J43" s="668"/>
      <c r="K43" s="669"/>
      <c r="L43" s="412"/>
      <c r="M43" s="412"/>
      <c r="N43" s="412"/>
      <c r="O43" s="670"/>
      <c r="P43" s="671"/>
      <c r="Q43" s="409"/>
      <c r="R43" s="409"/>
      <c r="S43" s="409"/>
      <c r="T43" s="409"/>
      <c r="U43" s="409"/>
      <c r="V43" s="413"/>
      <c r="W43" s="406"/>
      <c r="X43" s="407"/>
      <c r="AA43" s="384" t="str">
        <f t="shared" si="0"/>
        <v>OK</v>
      </c>
      <c r="AG43" s="384" t="b">
        <f>IF(D43=Data!$OL$3,Data!$AP$1, IF(D43=Data!$OL$4,Data!$AP$1, IF(D43=Data!$OL$5,Data!$AQ$1, IF(D43=Data!$OL$6,Data!$AQ$1, IF(D43=Data!$OL$7,Data!$AR$1)))))</f>
        <v>0</v>
      </c>
      <c r="AT43" s="384" t="e">
        <f t="shared" si="1"/>
        <v>#N/A</v>
      </c>
      <c r="AW43" s="384" t="str">
        <f t="shared" si="2"/>
        <v>CordlockNoCordless</v>
      </c>
    </row>
    <row r="44" spans="1:49" ht="30" customHeight="1">
      <c r="A44" s="414">
        <v>37</v>
      </c>
      <c r="B44" s="409"/>
      <c r="C44" s="410"/>
      <c r="D44" s="410"/>
      <c r="E44" s="416"/>
      <c r="F44" s="411"/>
      <c r="G44" s="411"/>
      <c r="H44" s="411"/>
      <c r="I44" s="411"/>
      <c r="J44" s="668"/>
      <c r="K44" s="669"/>
      <c r="L44" s="412"/>
      <c r="M44" s="412"/>
      <c r="N44" s="412"/>
      <c r="O44" s="670"/>
      <c r="P44" s="671"/>
      <c r="Q44" s="409"/>
      <c r="R44" s="409"/>
      <c r="S44" s="409"/>
      <c r="T44" s="409"/>
      <c r="U44" s="409"/>
      <c r="V44" s="413"/>
      <c r="W44" s="406"/>
      <c r="X44" s="407"/>
      <c r="AA44" s="384" t="str">
        <f t="shared" si="0"/>
        <v>OK</v>
      </c>
      <c r="AG44" s="384" t="b">
        <f>IF(D44=Data!$OL$3,Data!$AP$1, IF(D44=Data!$OL$4,Data!$AP$1, IF(D44=Data!$OL$5,Data!$AQ$1, IF(D44=Data!$OL$6,Data!$AQ$1, IF(D44=Data!$OL$7,Data!$AR$1)))))</f>
        <v>0</v>
      </c>
      <c r="AT44" s="384" t="e">
        <f t="shared" si="1"/>
        <v>#N/A</v>
      </c>
      <c r="AW44" s="384" t="str">
        <f t="shared" si="2"/>
        <v>CordlockNoCordless</v>
      </c>
    </row>
    <row r="45" spans="1:49" ht="30" customHeight="1">
      <c r="A45" s="414">
        <v>38</v>
      </c>
      <c r="B45" s="409"/>
      <c r="C45" s="410"/>
      <c r="D45" s="410"/>
      <c r="E45" s="409"/>
      <c r="F45" s="411"/>
      <c r="G45" s="411"/>
      <c r="H45" s="411"/>
      <c r="I45" s="411"/>
      <c r="J45" s="668"/>
      <c r="K45" s="669"/>
      <c r="L45" s="412"/>
      <c r="M45" s="412"/>
      <c r="N45" s="412"/>
      <c r="O45" s="670"/>
      <c r="P45" s="671"/>
      <c r="Q45" s="409"/>
      <c r="R45" s="409"/>
      <c r="S45" s="409"/>
      <c r="T45" s="409"/>
      <c r="U45" s="409"/>
      <c r="V45" s="413"/>
      <c r="W45" s="406"/>
      <c r="X45" s="407"/>
      <c r="AA45" s="384" t="str">
        <f t="shared" si="0"/>
        <v>OK</v>
      </c>
      <c r="AG45" s="384" t="b">
        <f>IF(D45=Data!$OL$3,Data!$AP$1, IF(D45=Data!$OL$4,Data!$AP$1, IF(D45=Data!$OL$5,Data!$AQ$1, IF(D45=Data!$OL$6,Data!$AQ$1, IF(D45=Data!$OL$7,Data!$AR$1)))))</f>
        <v>0</v>
      </c>
      <c r="AT45" s="384" t="e">
        <f t="shared" si="1"/>
        <v>#N/A</v>
      </c>
      <c r="AW45" s="384" t="str">
        <f t="shared" si="2"/>
        <v>CordlockNoCordless</v>
      </c>
    </row>
    <row r="46" spans="1:49" ht="30" customHeight="1">
      <c r="A46" s="414">
        <v>39</v>
      </c>
      <c r="B46" s="409"/>
      <c r="C46" s="410"/>
      <c r="D46" s="410"/>
      <c r="E46" s="409"/>
      <c r="F46" s="411"/>
      <c r="G46" s="411"/>
      <c r="H46" s="411"/>
      <c r="I46" s="411"/>
      <c r="J46" s="668"/>
      <c r="K46" s="669"/>
      <c r="L46" s="412"/>
      <c r="M46" s="412"/>
      <c r="N46" s="412"/>
      <c r="O46" s="670"/>
      <c r="P46" s="671"/>
      <c r="Q46" s="409"/>
      <c r="R46" s="409"/>
      <c r="S46" s="409"/>
      <c r="T46" s="409"/>
      <c r="U46" s="409"/>
      <c r="V46" s="413"/>
      <c r="W46" s="406"/>
      <c r="X46" s="407"/>
      <c r="AA46" s="384" t="str">
        <f t="shared" si="0"/>
        <v>OK</v>
      </c>
      <c r="AG46" s="384" t="b">
        <f>IF(D46=Data!$OL$3,Data!$AP$1, IF(D46=Data!$OL$4,Data!$AP$1, IF(D46=Data!$OL$5,Data!$AQ$1, IF(D46=Data!$OL$6,Data!$AQ$1, IF(D46=Data!$OL$7,Data!$AR$1)))))</f>
        <v>0</v>
      </c>
      <c r="AT46" s="384" t="e">
        <f t="shared" si="1"/>
        <v>#N/A</v>
      </c>
      <c r="AW46" s="384" t="str">
        <f t="shared" si="2"/>
        <v>CordlockNoCordless</v>
      </c>
    </row>
    <row r="47" spans="1:49" ht="30" customHeight="1">
      <c r="A47" s="414">
        <v>40</v>
      </c>
      <c r="B47" s="418"/>
      <c r="C47" s="409"/>
      <c r="D47" s="419"/>
      <c r="E47" s="416"/>
      <c r="F47" s="411"/>
      <c r="G47" s="411"/>
      <c r="H47" s="411"/>
      <c r="I47" s="411"/>
      <c r="J47" s="668"/>
      <c r="K47" s="669"/>
      <c r="L47" s="412"/>
      <c r="M47" s="412"/>
      <c r="N47" s="412"/>
      <c r="O47" s="670"/>
      <c r="P47" s="671"/>
      <c r="Q47" s="409"/>
      <c r="R47" s="409"/>
      <c r="S47" s="409"/>
      <c r="T47" s="409"/>
      <c r="U47" s="409"/>
      <c r="V47" s="413"/>
      <c r="W47" s="406"/>
      <c r="X47" s="407"/>
      <c r="AA47" s="384" t="str">
        <f t="shared" si="0"/>
        <v>OK</v>
      </c>
      <c r="AG47" s="384" t="b">
        <f>IF(D47=Data!$OL$3,Data!$AP$1, IF(D47=Data!$OL$4,Data!$AP$1, IF(D47=Data!$OL$5,Data!$AQ$1, IF(D47=Data!$OL$6,Data!$AQ$1, IF(D47=Data!$OL$7,Data!$AR$1)))))</f>
        <v>0</v>
      </c>
      <c r="AT47" s="384" t="e">
        <f t="shared" si="1"/>
        <v>#N/A</v>
      </c>
      <c r="AW47" s="384" t="str">
        <f t="shared" si="2"/>
        <v>CordlockNoCordless</v>
      </c>
    </row>
    <row r="48" spans="1:49" ht="30" customHeight="1">
      <c r="A48" s="414">
        <v>41</v>
      </c>
      <c r="B48" s="409"/>
      <c r="C48" s="420"/>
      <c r="D48" s="410"/>
      <c r="E48" s="409"/>
      <c r="F48" s="411"/>
      <c r="G48" s="411"/>
      <c r="H48" s="411"/>
      <c r="I48" s="411"/>
      <c r="J48" s="668"/>
      <c r="K48" s="669"/>
      <c r="L48" s="412"/>
      <c r="M48" s="412"/>
      <c r="N48" s="412"/>
      <c r="O48" s="670"/>
      <c r="P48" s="671"/>
      <c r="Q48" s="409"/>
      <c r="R48" s="409"/>
      <c r="S48" s="409"/>
      <c r="T48" s="409"/>
      <c r="U48" s="409"/>
      <c r="V48" s="413"/>
      <c r="W48" s="406"/>
      <c r="X48" s="407"/>
      <c r="AA48" s="384" t="str">
        <f t="shared" si="0"/>
        <v>OK</v>
      </c>
      <c r="AG48" s="384" t="b">
        <f>IF(D48=Data!$OL$3,Data!$AP$1, IF(D48=Data!$OL$4,Data!$AP$1, IF(D48=Data!$OL$5,Data!$AQ$1, IF(D48=Data!$OL$6,Data!$AQ$1, IF(D48=Data!$OL$7,Data!$AR$1)))))</f>
        <v>0</v>
      </c>
      <c r="AT48" s="384" t="e">
        <f t="shared" si="1"/>
        <v>#N/A</v>
      </c>
      <c r="AW48" s="384" t="str">
        <f t="shared" si="2"/>
        <v>CordlockNoCordless</v>
      </c>
    </row>
    <row r="49" spans="1:49" ht="30" customHeight="1">
      <c r="A49" s="414">
        <v>42</v>
      </c>
      <c r="B49" s="409"/>
      <c r="C49" s="420"/>
      <c r="D49" s="410"/>
      <c r="E49" s="409"/>
      <c r="F49" s="411"/>
      <c r="G49" s="411"/>
      <c r="H49" s="411"/>
      <c r="I49" s="411"/>
      <c r="J49" s="668"/>
      <c r="K49" s="669"/>
      <c r="L49" s="412"/>
      <c r="M49" s="412"/>
      <c r="N49" s="412"/>
      <c r="O49" s="670"/>
      <c r="P49" s="671"/>
      <c r="Q49" s="409"/>
      <c r="R49" s="409"/>
      <c r="S49" s="409"/>
      <c r="T49" s="409"/>
      <c r="U49" s="409"/>
      <c r="V49" s="413"/>
      <c r="W49" s="406"/>
      <c r="X49" s="407"/>
      <c r="AA49" s="384" t="str">
        <f t="shared" si="0"/>
        <v>OK</v>
      </c>
      <c r="AG49" s="384" t="b">
        <f>IF(D49=Data!$OL$3,Data!$AP$1, IF(D49=Data!$OL$4,Data!$AP$1, IF(D49=Data!$OL$5,Data!$AQ$1, IF(D49=Data!$OL$6,Data!$AQ$1, IF(D49=Data!$OL$7,Data!$AR$1)))))</f>
        <v>0</v>
      </c>
      <c r="AT49" s="384" t="e">
        <f t="shared" si="1"/>
        <v>#N/A</v>
      </c>
      <c r="AW49" s="384" t="str">
        <f t="shared" si="2"/>
        <v>CordlockNoCordless</v>
      </c>
    </row>
    <row r="50" spans="1:49" ht="30" customHeight="1">
      <c r="A50" s="414">
        <v>43</v>
      </c>
      <c r="B50" s="409"/>
      <c r="C50" s="420"/>
      <c r="D50" s="410"/>
      <c r="E50" s="409"/>
      <c r="F50" s="411"/>
      <c r="G50" s="411"/>
      <c r="H50" s="411"/>
      <c r="I50" s="411"/>
      <c r="J50" s="668"/>
      <c r="K50" s="669"/>
      <c r="L50" s="412"/>
      <c r="M50" s="412"/>
      <c r="N50" s="412"/>
      <c r="O50" s="670"/>
      <c r="P50" s="671"/>
      <c r="Q50" s="409"/>
      <c r="R50" s="409"/>
      <c r="S50" s="409"/>
      <c r="T50" s="409"/>
      <c r="U50" s="409"/>
      <c r="V50" s="413"/>
      <c r="W50" s="406"/>
      <c r="X50" s="407"/>
      <c r="AA50" s="384" t="str">
        <f t="shared" si="0"/>
        <v>OK</v>
      </c>
      <c r="AG50" s="384" t="b">
        <f>IF(D50=Data!$OL$3,Data!$AP$1, IF(D50=Data!$OL$4,Data!$AP$1, IF(D50=Data!$OL$5,Data!$AQ$1, IF(D50=Data!$OL$6,Data!$AQ$1, IF(D50=Data!$OL$7,Data!$AR$1)))))</f>
        <v>0</v>
      </c>
      <c r="AT50" s="384" t="e">
        <f t="shared" si="1"/>
        <v>#N/A</v>
      </c>
      <c r="AW50" s="384" t="str">
        <f t="shared" si="2"/>
        <v>CordlockNoCordless</v>
      </c>
    </row>
    <row r="51" spans="1:49" ht="30" customHeight="1">
      <c r="A51" s="414">
        <v>44</v>
      </c>
      <c r="B51" s="409"/>
      <c r="C51" s="420"/>
      <c r="D51" s="410"/>
      <c r="E51" s="416"/>
      <c r="F51" s="411"/>
      <c r="G51" s="411"/>
      <c r="H51" s="411"/>
      <c r="I51" s="411"/>
      <c r="J51" s="668"/>
      <c r="K51" s="669"/>
      <c r="L51" s="412"/>
      <c r="M51" s="412"/>
      <c r="N51" s="412"/>
      <c r="O51" s="670"/>
      <c r="P51" s="671"/>
      <c r="Q51" s="409"/>
      <c r="R51" s="409"/>
      <c r="S51" s="409"/>
      <c r="T51" s="409"/>
      <c r="U51" s="409"/>
      <c r="V51" s="413"/>
      <c r="W51" s="406"/>
      <c r="X51" s="407"/>
      <c r="AA51" s="384" t="str">
        <f t="shared" si="0"/>
        <v>OK</v>
      </c>
      <c r="AG51" s="384" t="b">
        <f>IF(D51=Data!$OL$3,Data!$AP$1, IF(D51=Data!$OL$4,Data!$AP$1, IF(D51=Data!$OL$5,Data!$AQ$1, IF(D51=Data!$OL$6,Data!$AQ$1, IF(D51=Data!$OL$7,Data!$AR$1)))))</f>
        <v>0</v>
      </c>
      <c r="AT51" s="384" t="e">
        <f t="shared" si="1"/>
        <v>#N/A</v>
      </c>
      <c r="AW51" s="384" t="str">
        <f t="shared" si="2"/>
        <v>CordlockNoCordless</v>
      </c>
    </row>
    <row r="52" spans="1:49" ht="30" customHeight="1">
      <c r="A52" s="414">
        <v>45</v>
      </c>
      <c r="B52" s="409"/>
      <c r="C52" s="420"/>
      <c r="D52" s="410"/>
      <c r="E52" s="409"/>
      <c r="F52" s="411"/>
      <c r="G52" s="411"/>
      <c r="H52" s="411"/>
      <c r="I52" s="411"/>
      <c r="J52" s="668"/>
      <c r="K52" s="669"/>
      <c r="L52" s="412"/>
      <c r="M52" s="412"/>
      <c r="N52" s="412"/>
      <c r="O52" s="670"/>
      <c r="P52" s="671"/>
      <c r="Q52" s="409"/>
      <c r="R52" s="409"/>
      <c r="S52" s="409"/>
      <c r="T52" s="409"/>
      <c r="U52" s="409"/>
      <c r="V52" s="413"/>
      <c r="W52" s="406"/>
      <c r="X52" s="407"/>
      <c r="AA52" s="384" t="str">
        <f t="shared" si="0"/>
        <v>OK</v>
      </c>
      <c r="AG52" s="384" t="b">
        <f>IF(D52=Data!$OL$3,Data!$AP$1, IF(D52=Data!$OL$4,Data!$AP$1, IF(D52=Data!$OL$5,Data!$AQ$1, IF(D52=Data!$OL$6,Data!$AQ$1, IF(D52=Data!$OL$7,Data!$AR$1)))))</f>
        <v>0</v>
      </c>
      <c r="AT52" s="384" t="e">
        <f t="shared" si="1"/>
        <v>#N/A</v>
      </c>
      <c r="AW52" s="384" t="str">
        <f t="shared" si="2"/>
        <v>CordlockNoCordless</v>
      </c>
    </row>
    <row r="53" spans="1:49" ht="30" customHeight="1">
      <c r="A53" s="414">
        <v>46</v>
      </c>
      <c r="B53" s="418"/>
      <c r="C53" s="420"/>
      <c r="D53" s="410"/>
      <c r="E53" s="416"/>
      <c r="F53" s="411"/>
      <c r="G53" s="411"/>
      <c r="H53" s="411"/>
      <c r="I53" s="411"/>
      <c r="J53" s="668"/>
      <c r="K53" s="669"/>
      <c r="L53" s="412"/>
      <c r="M53" s="412"/>
      <c r="N53" s="412"/>
      <c r="O53" s="670"/>
      <c r="P53" s="671"/>
      <c r="Q53" s="409"/>
      <c r="R53" s="409"/>
      <c r="S53" s="409"/>
      <c r="T53" s="409"/>
      <c r="U53" s="409"/>
      <c r="V53" s="413"/>
      <c r="W53" s="406"/>
      <c r="X53" s="407"/>
      <c r="AA53" s="384" t="str">
        <f t="shared" si="0"/>
        <v>OK</v>
      </c>
      <c r="AG53" s="384" t="b">
        <f>IF(D53=Data!$OL$3,Data!$AP$1, IF(D53=Data!$OL$4,Data!$AP$1, IF(D53=Data!$OL$5,Data!$AQ$1, IF(D53=Data!$OL$6,Data!$AQ$1, IF(D53=Data!$OL$7,Data!$AR$1)))))</f>
        <v>0</v>
      </c>
      <c r="AT53" s="384" t="e">
        <f t="shared" si="1"/>
        <v>#N/A</v>
      </c>
      <c r="AW53" s="384" t="str">
        <f t="shared" si="2"/>
        <v>CordlockNoCordless</v>
      </c>
    </row>
    <row r="54" spans="1:49" ht="30" customHeight="1">
      <c r="A54" s="414">
        <v>47</v>
      </c>
      <c r="B54" s="409"/>
      <c r="C54" s="420"/>
      <c r="D54" s="410"/>
      <c r="E54" s="417"/>
      <c r="F54" s="411"/>
      <c r="G54" s="411"/>
      <c r="H54" s="411"/>
      <c r="I54" s="411"/>
      <c r="J54" s="668"/>
      <c r="K54" s="669"/>
      <c r="L54" s="412"/>
      <c r="M54" s="412"/>
      <c r="N54" s="412"/>
      <c r="O54" s="670"/>
      <c r="P54" s="671"/>
      <c r="Q54" s="409"/>
      <c r="R54" s="409"/>
      <c r="S54" s="409"/>
      <c r="T54" s="409"/>
      <c r="U54" s="409"/>
      <c r="V54" s="413"/>
      <c r="W54" s="406"/>
      <c r="X54" s="407"/>
      <c r="AA54" s="384" t="str">
        <f t="shared" si="0"/>
        <v>OK</v>
      </c>
      <c r="AG54" s="384" t="b">
        <f>IF(D54=Data!$OL$3,Data!$AP$1, IF(D54=Data!$OL$4,Data!$AP$1, IF(D54=Data!$OL$5,Data!$AQ$1, IF(D54=Data!$OL$6,Data!$AQ$1, IF(D54=Data!$OL$7,Data!$AR$1)))))</f>
        <v>0</v>
      </c>
      <c r="AT54" s="384" t="e">
        <f t="shared" si="1"/>
        <v>#N/A</v>
      </c>
      <c r="AW54" s="384" t="str">
        <f t="shared" si="2"/>
        <v>CordlockNoCordless</v>
      </c>
    </row>
    <row r="55" spans="1:49" ht="30" customHeight="1">
      <c r="A55" s="414">
        <v>48</v>
      </c>
      <c r="B55" s="409"/>
      <c r="C55" s="420"/>
      <c r="D55" s="410"/>
      <c r="E55" s="417"/>
      <c r="F55" s="411"/>
      <c r="G55" s="411"/>
      <c r="H55" s="411"/>
      <c r="I55" s="411"/>
      <c r="J55" s="668"/>
      <c r="K55" s="669"/>
      <c r="L55" s="412"/>
      <c r="M55" s="412"/>
      <c r="N55" s="412"/>
      <c r="O55" s="670"/>
      <c r="P55" s="671"/>
      <c r="Q55" s="409"/>
      <c r="R55" s="409"/>
      <c r="S55" s="409"/>
      <c r="T55" s="409"/>
      <c r="U55" s="409"/>
      <c r="V55" s="413"/>
      <c r="W55" s="406"/>
      <c r="X55" s="407"/>
      <c r="AA55" s="384" t="str">
        <f t="shared" si="0"/>
        <v>OK</v>
      </c>
      <c r="AG55" s="384" t="b">
        <f>IF(D55=Data!$OL$3,Data!$AP$1, IF(D55=Data!$OL$4,Data!$AP$1, IF(D55=Data!$OL$5,Data!$AQ$1, IF(D55=Data!$OL$6,Data!$AQ$1, IF(D55=Data!$OL$7,Data!$AR$1)))))</f>
        <v>0</v>
      </c>
      <c r="AT55" s="384" t="e">
        <f t="shared" si="1"/>
        <v>#N/A</v>
      </c>
      <c r="AW55" s="384" t="str">
        <f t="shared" si="2"/>
        <v>CordlockNoCordless</v>
      </c>
    </row>
    <row r="56" spans="1:49" ht="30" customHeight="1">
      <c r="A56" s="414">
        <v>49</v>
      </c>
      <c r="B56" s="409"/>
      <c r="C56" s="420"/>
      <c r="D56" s="410"/>
      <c r="E56" s="409"/>
      <c r="F56" s="411"/>
      <c r="G56" s="411"/>
      <c r="H56" s="411"/>
      <c r="I56" s="411"/>
      <c r="J56" s="668"/>
      <c r="K56" s="669"/>
      <c r="L56" s="412"/>
      <c r="M56" s="412"/>
      <c r="N56" s="412"/>
      <c r="O56" s="670"/>
      <c r="P56" s="671"/>
      <c r="Q56" s="409"/>
      <c r="R56" s="409"/>
      <c r="S56" s="409"/>
      <c r="T56" s="409"/>
      <c r="U56" s="409"/>
      <c r="V56" s="413"/>
      <c r="W56" s="406"/>
      <c r="X56" s="407"/>
      <c r="AA56" s="384" t="str">
        <f t="shared" si="0"/>
        <v>OK</v>
      </c>
      <c r="AG56" s="384" t="b">
        <f>IF(D56=Data!$OL$3,Data!$AP$1, IF(D56=Data!$OL$4,Data!$AP$1, IF(D56=Data!$OL$5,Data!$AQ$1, IF(D56=Data!$OL$6,Data!$AQ$1, IF(D56=Data!$OL$7,Data!$AR$1)))))</f>
        <v>0</v>
      </c>
      <c r="AT56" s="384" t="e">
        <f t="shared" si="1"/>
        <v>#N/A</v>
      </c>
      <c r="AW56" s="384" t="str">
        <f t="shared" si="2"/>
        <v>CordlockNoCordless</v>
      </c>
    </row>
    <row r="57" spans="1:49" ht="30" customHeight="1" thickBot="1">
      <c r="A57" s="421">
        <v>50</v>
      </c>
      <c r="B57" s="422"/>
      <c r="C57" s="423"/>
      <c r="D57" s="424"/>
      <c r="E57" s="422"/>
      <c r="F57" s="425"/>
      <c r="G57" s="425"/>
      <c r="H57" s="425"/>
      <c r="I57" s="425"/>
      <c r="J57" s="672"/>
      <c r="K57" s="673"/>
      <c r="L57" s="426"/>
      <c r="M57" s="426"/>
      <c r="N57" s="426"/>
      <c r="O57" s="674"/>
      <c r="P57" s="675"/>
      <c r="Q57" s="422"/>
      <c r="R57" s="422"/>
      <c r="S57" s="422"/>
      <c r="T57" s="422"/>
      <c r="U57" s="422"/>
      <c r="V57" s="427"/>
      <c r="W57" s="406"/>
      <c r="X57" s="407"/>
      <c r="AA57" s="384" t="str">
        <f t="shared" si="0"/>
        <v>OK</v>
      </c>
      <c r="AG57" s="384" t="b">
        <f>IF(D57=Data!$OL$3,Data!$AP$1, IF(D57=Data!$OL$4,Data!$AP$1, IF(D57=Data!$OL$5,Data!$AQ$1, IF(D57=Data!$OL$6,Data!$AQ$1, IF(D57=Data!$OL$7,Data!$AR$1)))))</f>
        <v>0</v>
      </c>
      <c r="AT57" s="384" t="e">
        <f t="shared" si="1"/>
        <v>#N/A</v>
      </c>
      <c r="AW57" s="384" t="str">
        <f t="shared" si="2"/>
        <v>CordlockNoCordless</v>
      </c>
    </row>
    <row r="58" spans="1:49" ht="15.75" thickTop="1"/>
  </sheetData>
  <sheetProtection algorithmName="SHA-512" hashValue="bxf31l9se5WAYkzUVzZebKW1I0jHWUg10LgscaybFWhQHW0S8EuwEYGNwwunSFDHiMl4r7ZgnTDbpzTkRh1Qtg==" saltValue="O4J9daLffp6/+Qi8rF7gLA==" spinCount="100000" sheet="1" objects="1" scenarios="1"/>
  <mergeCells count="129">
    <mergeCell ref="J57:K57"/>
    <mergeCell ref="O57:P57"/>
    <mergeCell ref="J53:K53"/>
    <mergeCell ref="O53:P53"/>
    <mergeCell ref="J54:K54"/>
    <mergeCell ref="O54:P54"/>
    <mergeCell ref="J55:K55"/>
    <mergeCell ref="O55:P55"/>
    <mergeCell ref="J51:K51"/>
    <mergeCell ref="O51:P51"/>
    <mergeCell ref="J52:K52"/>
    <mergeCell ref="O52:P52"/>
    <mergeCell ref="J56:K56"/>
    <mergeCell ref="O56:P56"/>
    <mergeCell ref="J48:K48"/>
    <mergeCell ref="O48:P48"/>
    <mergeCell ref="J49:K49"/>
    <mergeCell ref="O49:P49"/>
    <mergeCell ref="J50:K50"/>
    <mergeCell ref="O50:P50"/>
    <mergeCell ref="J45:K45"/>
    <mergeCell ref="O45:P45"/>
    <mergeCell ref="J46:K46"/>
    <mergeCell ref="O46:P46"/>
    <mergeCell ref="J47:K47"/>
    <mergeCell ref="O47:P47"/>
    <mergeCell ref="J42:K42"/>
    <mergeCell ref="O42:P42"/>
    <mergeCell ref="J43:K43"/>
    <mergeCell ref="O43:P43"/>
    <mergeCell ref="J44:K44"/>
    <mergeCell ref="O44:P44"/>
    <mergeCell ref="J39:K39"/>
    <mergeCell ref="O39:P39"/>
    <mergeCell ref="J40:K40"/>
    <mergeCell ref="O40:P40"/>
    <mergeCell ref="J41:K41"/>
    <mergeCell ref="O41:P41"/>
    <mergeCell ref="J36:K36"/>
    <mergeCell ref="O36:P36"/>
    <mergeCell ref="J37:K37"/>
    <mergeCell ref="O37:P37"/>
    <mergeCell ref="J38:K38"/>
    <mergeCell ref="O38:P38"/>
    <mergeCell ref="J33:K33"/>
    <mergeCell ref="O33:P33"/>
    <mergeCell ref="J34:K34"/>
    <mergeCell ref="O34:P34"/>
    <mergeCell ref="J35:K35"/>
    <mergeCell ref="O35:P35"/>
    <mergeCell ref="J30:K30"/>
    <mergeCell ref="O30:P30"/>
    <mergeCell ref="J31:K31"/>
    <mergeCell ref="O31:P31"/>
    <mergeCell ref="J32:K32"/>
    <mergeCell ref="O32:P32"/>
    <mergeCell ref="J27:K27"/>
    <mergeCell ref="O27:P27"/>
    <mergeCell ref="J28:K28"/>
    <mergeCell ref="O28:P28"/>
    <mergeCell ref="J29:K29"/>
    <mergeCell ref="O29:P29"/>
    <mergeCell ref="J24:K24"/>
    <mergeCell ref="O24:P24"/>
    <mergeCell ref="J25:K25"/>
    <mergeCell ref="O25:P25"/>
    <mergeCell ref="J26:K26"/>
    <mergeCell ref="O26:P26"/>
    <mergeCell ref="J21:K21"/>
    <mergeCell ref="O21:P21"/>
    <mergeCell ref="J22:K22"/>
    <mergeCell ref="O22:P22"/>
    <mergeCell ref="J23:K23"/>
    <mergeCell ref="O23:P23"/>
    <mergeCell ref="J18:K18"/>
    <mergeCell ref="O18:P18"/>
    <mergeCell ref="J19:K19"/>
    <mergeCell ref="O19:P19"/>
    <mergeCell ref="J20:K20"/>
    <mergeCell ref="O20:P20"/>
    <mergeCell ref="J15:K15"/>
    <mergeCell ref="O15:P15"/>
    <mergeCell ref="J16:K16"/>
    <mergeCell ref="O16:P16"/>
    <mergeCell ref="J17:K17"/>
    <mergeCell ref="O17:P17"/>
    <mergeCell ref="J12:K12"/>
    <mergeCell ref="O12:P12"/>
    <mergeCell ref="J13:K13"/>
    <mergeCell ref="O13:P13"/>
    <mergeCell ref="J14:K14"/>
    <mergeCell ref="O14:P14"/>
    <mergeCell ref="J9:K9"/>
    <mergeCell ref="O9:P9"/>
    <mergeCell ref="J10:K10"/>
    <mergeCell ref="O10:P10"/>
    <mergeCell ref="J11:K11"/>
    <mergeCell ref="O11:P11"/>
    <mergeCell ref="J7:K7"/>
    <mergeCell ref="O7:P7"/>
    <mergeCell ref="J8:K8"/>
    <mergeCell ref="O8:P8"/>
    <mergeCell ref="F3:I3"/>
    <mergeCell ref="L3:M3"/>
    <mergeCell ref="N3:U3"/>
    <mergeCell ref="L4:M4"/>
    <mergeCell ref="L6:M6"/>
    <mergeCell ref="N6:U6"/>
    <mergeCell ref="J4:K4"/>
    <mergeCell ref="J5:K5"/>
    <mergeCell ref="A6:K6"/>
    <mergeCell ref="A1:E3"/>
    <mergeCell ref="F1:I1"/>
    <mergeCell ref="J1:K3"/>
    <mergeCell ref="A4:C4"/>
    <mergeCell ref="W1:W2"/>
    <mergeCell ref="W4:W5"/>
    <mergeCell ref="X1:X2"/>
    <mergeCell ref="X4:X5"/>
    <mergeCell ref="L1:M1"/>
    <mergeCell ref="N1:U1"/>
    <mergeCell ref="F2:I2"/>
    <mergeCell ref="L2:M2"/>
    <mergeCell ref="N2:U2"/>
    <mergeCell ref="D5:I5"/>
    <mergeCell ref="L5:M5"/>
    <mergeCell ref="N5:U5"/>
    <mergeCell ref="N4:U4"/>
    <mergeCell ref="D4:I4"/>
  </mergeCells>
  <conditionalFormatting sqref="Q8:Q57">
    <cfRule type="containsText" dxfId="94" priority="9" stopIfTrue="1" operator="containsText" text="Yes">
      <formula>NOT(ISERROR(SEARCH("Yes",Q8)))</formula>
    </cfRule>
  </conditionalFormatting>
  <conditionalFormatting sqref="C8:C47">
    <cfRule type="cellIs" dxfId="93" priority="8" stopIfTrue="1" operator="greaterThan">
      <formula>1</formula>
    </cfRule>
  </conditionalFormatting>
  <conditionalFormatting sqref="N8:N57">
    <cfRule type="expression" dxfId="92" priority="4">
      <formula>AA8="Enter"</formula>
    </cfRule>
  </conditionalFormatting>
  <conditionalFormatting sqref="D8:D57">
    <cfRule type="containsText" dxfId="91" priority="1" operator="containsText" text="63mm PS Privacy Blind">
      <formula>NOT(ISERROR(SEARCH("63mm PS Privacy Blind",D8)))</formula>
    </cfRule>
    <cfRule type="containsText" dxfId="90" priority="3" operator="containsText" text="50mm PS Privacy Blind">
      <formula>NOT(ISERROR(SEARCH("50mm PS Privacy Blind",D8)))</formula>
    </cfRule>
  </conditionalFormatting>
  <conditionalFormatting sqref="N6:U6">
    <cfRule type="notContainsBlanks" dxfId="89" priority="2">
      <formula>LEN(TRIM(N6))&gt;0</formula>
    </cfRule>
  </conditionalFormatting>
  <dataValidations count="16">
    <dataValidation allowBlank="1" showInputMessage="1" errorTitle="Invalid Enrty" error="Please select from List!" sqref="V8:V57" xr:uid="{00000000-0002-0000-0300-000000000000}"/>
    <dataValidation type="list" allowBlank="1" showInputMessage="1" showErrorMessage="1" sqref="I8:I57" xr:uid="{00000000-0002-0000-0300-000001000000}">
      <formula1>"Face Fit, Recess Fit"</formula1>
    </dataValidation>
    <dataValidation type="list" errorStyle="warning" allowBlank="1" showInputMessage="1" showErrorMessage="1" errorTitle="Invalid Entry" error="This is not a standard colour._x000a_Please select from List!" sqref="J8:K57" xr:uid="{00000000-0002-0000-0300-000002000000}">
      <formula1>"NAM, ACT"</formula1>
    </dataValidation>
    <dataValidation type="list" allowBlank="1" showInputMessage="1" showErrorMessage="1" errorTitle="Invalid Entry" error="Please select from List!" sqref="O8:P57" xr:uid="{00000000-0002-0000-0300-000004000000}">
      <formula1>"Standard, Common"</formula1>
    </dataValidation>
    <dataValidation allowBlank="1" showInputMessage="1" showErrorMessage="1" errorTitle="Invalid Entry" error="Please select from List!" sqref="R8:R57 T8:T57" xr:uid="{00000000-0002-0000-0300-000005000000}"/>
    <dataValidation type="list" allowBlank="1" showInputMessage="1" showErrorMessage="1" errorTitle="Invalid Entry" error="Invalid Entry" sqref="D8:D57" xr:uid="{00000000-0002-0000-0300-000006000000}">
      <formula1>VenetianProduct</formula1>
    </dataValidation>
    <dataValidation type="list" allowBlank="1" showInputMessage="1" showErrorMessage="1" errorTitle="Invalid Entry" error="Invalid Entry" sqref="E8:E57" xr:uid="{00000000-0002-0000-0300-000007000000}">
      <formula1>INDIRECT(AG8)</formula1>
    </dataValidation>
    <dataValidation type="list" allowBlank="1" showInputMessage="1" showErrorMessage="1" errorTitle="Invalid Entry" error="Invalid Entry" sqref="Q8:Q57" xr:uid="{00000000-0002-0000-0300-000008000000}">
      <formula1>"No, Yes"</formula1>
    </dataValidation>
    <dataValidation type="whole" errorStyle="warning" allowBlank="1" showInputMessage="1" showErrorMessage="1" errorTitle="Be Aware" error="The Minimum Width is 222mm._x000a__x000a_The Maximum Standard Width is 3000mm. _x000a__x000a_The Maximum Cordless or Timber Width is 2400mm. _x000a__x000a_All openings over the Maximum Widths will require Multiple Blinds." sqref="F8:F57" xr:uid="{00000000-0002-0000-0300-000009000000}">
      <formula1>222</formula1>
      <formula2>3000</formula2>
    </dataValidation>
    <dataValidation type="whole" errorStyle="warning" allowBlank="1" showInputMessage="1" showErrorMessage="1" errorTitle="Be Aware" error="The Minimum Height/Drop is 200mm._x000a__x000a_The Maximum Standard Height/Drop is 3000mm. _x000a__x000a_The Maximum Cordless or Timber Height/Drop is 2400mm. " sqref="G8:G57" xr:uid="{00000000-0002-0000-0300-00000A000000}">
      <formula1>200</formula1>
      <formula2>3000</formula2>
    </dataValidation>
    <dataValidation type="list" allowBlank="1" showInputMessage="1" showErrorMessage="1" errorTitle="Invalid Entry" error="Invalid Entry" sqref="H8:H57" xr:uid="{00000000-0002-0000-0300-00000B000000}">
      <formula1>WindowType</formula1>
    </dataValidation>
    <dataValidation type="whole" errorStyle="warning" allowBlank="1" showInputMessage="1" showErrorMessage="1" errorTitle="Invalid Entry" error="Maximum Cut Out Width is 130mm." sqref="S8:S57 U8:U57" xr:uid="{00000000-0002-0000-0300-00000C000000}">
      <formula1>0</formula1>
      <formula2>130</formula2>
    </dataValidation>
    <dataValidation type="list" allowBlank="1" showInputMessage="1" showErrorMessage="1" errorTitle="Invalid Entry" error="Invalid Entry" sqref="N8:N57" xr:uid="{00000000-0002-0000-0300-00000D000000}">
      <formula1>HoldDown</formula1>
    </dataValidation>
    <dataValidation allowBlank="1" sqref="W1:X57" xr:uid="{00000000-0002-0000-0300-00000E000000}"/>
    <dataValidation type="list" allowBlank="1" showInputMessage="1" showErrorMessage="1" errorTitle="Invalid Entry" error="Invalid Entry" sqref="L8:L57" xr:uid="{A2E17E68-725B-417D-9B92-CB375E9AC666}">
      <formula1>INDIRECT(SUBSTITUTE(AT8," ","_"))</formula1>
    </dataValidation>
    <dataValidation type="list" allowBlank="1" showInputMessage="1" showErrorMessage="1" errorTitle="Invalid Entry" error="Invalid Entry" sqref="M8:M57" xr:uid="{3C87B468-06A4-42B9-A47F-7F20D48B3D4C}">
      <formula1>INDIRECT(SUBSTITUTE(AW8," ","_"))</formula1>
    </dataValidation>
  </dataValidations>
  <printOptions horizontalCentered="1"/>
  <pageMargins left="0.23622047244094491" right="0.23622047244094491" top="0.23622047244094491" bottom="0.23622047244094491" header="0.19685039370078741" footer="0.19685039370078741"/>
  <pageSetup paperSize="9" scale="42" fitToHeight="2"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DZ58"/>
  <sheetViews>
    <sheetView view="pageBreakPreview" zoomScale="85" zoomScaleSheetLayoutView="85" workbookViewId="0">
      <selection activeCell="B8" sqref="B8"/>
    </sheetView>
  </sheetViews>
  <sheetFormatPr defaultRowHeight="15"/>
  <cols>
    <col min="1" max="1" width="7.42578125" style="54" customWidth="1"/>
    <col min="2" max="2" width="13" style="54" customWidth="1"/>
    <col min="3" max="3" width="6.28515625" style="54" customWidth="1"/>
    <col min="4" max="4" width="32.5703125" style="54" customWidth="1"/>
    <col min="5" max="5" width="31" style="54" customWidth="1"/>
    <col min="6" max="6" width="37.42578125" style="54" customWidth="1"/>
    <col min="7" max="7" width="31.7109375" style="54" customWidth="1"/>
    <col min="8" max="8" width="32.5703125" style="54" customWidth="1"/>
    <col min="9" max="9" width="13" style="54" customWidth="1"/>
    <col min="10" max="10" width="12.42578125" style="54" customWidth="1"/>
    <col min="11" max="11" width="16.28515625" style="54" customWidth="1"/>
    <col min="12" max="12" width="14.7109375" style="54" customWidth="1"/>
    <col min="13" max="13" width="10.42578125" style="54" customWidth="1"/>
    <col min="14" max="14" width="4.28515625" style="54" customWidth="1"/>
    <col min="15" max="15" width="28.85546875" style="54" customWidth="1"/>
    <col min="16" max="16" width="67.5703125" style="54" customWidth="1"/>
    <col min="17" max="19" width="20.28515625" style="54" customWidth="1"/>
    <col min="20" max="20" width="17.5703125" style="54" customWidth="1"/>
    <col min="21" max="21" width="14.42578125" style="54" customWidth="1"/>
    <col min="22" max="22" width="57.140625" style="54" customWidth="1"/>
    <col min="23" max="23" width="17" style="54" customWidth="1"/>
    <col min="24" max="24" width="43.42578125" style="54" customWidth="1"/>
    <col min="25" max="25" width="15.140625" style="33" hidden="1" customWidth="1"/>
    <col min="26" max="26" width="9.140625" style="33" hidden="1" customWidth="1"/>
    <col min="27" max="27" width="19.85546875" style="33" hidden="1" customWidth="1"/>
    <col min="28" max="28" width="9.140625" style="33" hidden="1" customWidth="1"/>
    <col min="29" max="29" width="40.42578125" style="33" hidden="1" customWidth="1"/>
    <col min="30" max="30" width="42.28515625" style="33" hidden="1" customWidth="1"/>
    <col min="31" max="32" width="24.28515625" style="172" hidden="1" customWidth="1"/>
    <col min="33" max="33" width="46.7109375" style="172" hidden="1" customWidth="1"/>
    <col min="34" max="34" width="43.28515625" style="33" hidden="1" customWidth="1"/>
    <col min="35" max="35" width="33.5703125" style="33" hidden="1" customWidth="1"/>
    <col min="36" max="38" width="33.5703125" style="484" hidden="1" customWidth="1"/>
    <col min="39" max="40" width="25.5703125" style="33" hidden="1" customWidth="1"/>
    <col min="41" max="41" width="37" style="33" hidden="1" customWidth="1"/>
    <col min="42" max="42" width="26.42578125" style="33" hidden="1" customWidth="1"/>
    <col min="43" max="44" width="22.85546875" style="33" hidden="1" customWidth="1"/>
    <col min="45" max="45" width="40.7109375" style="33" hidden="1" customWidth="1"/>
    <col min="46" max="46" width="45.7109375" style="172" hidden="1" customWidth="1"/>
    <col min="47" max="47" width="18.28515625" style="172" hidden="1" customWidth="1"/>
    <col min="48" max="49" width="24" style="33" hidden="1" customWidth="1"/>
    <col min="50" max="50" width="15.42578125" style="33" hidden="1" customWidth="1"/>
    <col min="51" max="59" width="9.140625" style="33" hidden="1" customWidth="1"/>
    <col min="60" max="60" width="35.42578125" style="33" hidden="1" customWidth="1"/>
    <col min="61" max="62" width="22.5703125" style="33" hidden="1" customWidth="1"/>
    <col min="63" max="63" width="22.42578125" style="33" hidden="1" customWidth="1"/>
    <col min="64" max="65" width="30.7109375" style="33" hidden="1" customWidth="1"/>
    <col min="66" max="66" width="15.140625" style="475" hidden="1" customWidth="1"/>
    <col min="67" max="68" width="28.28515625" style="475" hidden="1" customWidth="1"/>
    <col min="69" max="69" width="19.7109375" style="475" hidden="1" customWidth="1"/>
    <col min="70" max="70" width="29.85546875" style="475" hidden="1" customWidth="1"/>
    <col min="71" max="72" width="26.28515625" style="475" hidden="1" customWidth="1"/>
    <col min="73" max="73" width="19.7109375" style="172" hidden="1" customWidth="1"/>
    <col min="74" max="74" width="9.140625" style="172" hidden="1" customWidth="1"/>
    <col min="75" max="75" width="9.140625" style="33" hidden="1" customWidth="1"/>
    <col min="76" max="76" width="31.140625" style="33" hidden="1" customWidth="1"/>
    <col min="77" max="77" width="23.42578125" style="33" hidden="1" customWidth="1"/>
    <col min="78" max="78" width="21.7109375" style="33" hidden="1" customWidth="1"/>
    <col min="79" max="79" width="9.140625" style="33" hidden="1" customWidth="1"/>
    <col min="80" max="80" width="17.7109375" style="33" hidden="1" customWidth="1"/>
    <col min="81" max="81" width="24.85546875" style="172" hidden="1" customWidth="1"/>
    <col min="82" max="85" width="22.5703125" style="172" hidden="1" customWidth="1"/>
    <col min="86" max="89" width="9.140625" style="33" hidden="1" customWidth="1"/>
    <col min="90" max="98" width="14.140625" style="33" hidden="1" customWidth="1"/>
    <col min="99" max="107" width="16.140625" style="33" hidden="1" customWidth="1"/>
    <col min="108" max="130" width="9.140625" style="33" hidden="1" customWidth="1"/>
    <col min="131" max="156" width="9.140625" style="33" customWidth="1"/>
    <col min="157" max="16384" width="9.140625" style="33"/>
  </cols>
  <sheetData>
    <row r="1" spans="1:107" ht="26.25">
      <c r="A1" s="542"/>
      <c r="B1" s="676"/>
      <c r="C1" s="676"/>
      <c r="D1" s="676"/>
      <c r="E1" s="34"/>
      <c r="F1" s="246"/>
      <c r="G1" s="257"/>
      <c r="H1" s="240" t="s">
        <v>0</v>
      </c>
      <c r="I1" s="682">
        <f>Summary!D3</f>
        <v>0</v>
      </c>
      <c r="J1" s="683"/>
      <c r="K1" s="683"/>
      <c r="L1" s="683"/>
      <c r="M1" s="683"/>
      <c r="N1" s="683"/>
      <c r="O1" s="683"/>
      <c r="P1" s="683"/>
      <c r="Q1" s="683"/>
      <c r="R1" s="683"/>
      <c r="S1" s="683"/>
      <c r="T1" s="683"/>
      <c r="U1" s="684"/>
      <c r="V1" s="476" t="s">
        <v>2342</v>
      </c>
      <c r="W1" s="477" t="s">
        <v>2315</v>
      </c>
      <c r="X1" s="519"/>
      <c r="AL1" s="348" t="s">
        <v>1174</v>
      </c>
      <c r="CC1" s="172" t="s">
        <v>69</v>
      </c>
    </row>
    <row r="2" spans="1:107" ht="19.5">
      <c r="A2" s="677"/>
      <c r="B2" s="678"/>
      <c r="C2" s="678"/>
      <c r="D2" s="678"/>
      <c r="E2" s="685" t="s">
        <v>1172</v>
      </c>
      <c r="F2" s="686"/>
      <c r="G2" s="49"/>
      <c r="H2" s="240" t="s">
        <v>141</v>
      </c>
      <c r="I2" s="556">
        <f>Summary!D6</f>
        <v>0</v>
      </c>
      <c r="J2" s="557"/>
      <c r="K2" s="557"/>
      <c r="L2" s="557"/>
      <c r="M2" s="557"/>
      <c r="N2" s="557"/>
      <c r="O2" s="557"/>
      <c r="P2" s="557"/>
      <c r="Q2" s="557"/>
      <c r="R2" s="557"/>
      <c r="S2" s="557"/>
      <c r="T2" s="557"/>
      <c r="U2" s="558"/>
      <c r="V2" s="473" t="s">
        <v>377</v>
      </c>
      <c r="W2" s="478">
        <f>CD58</f>
        <v>0</v>
      </c>
      <c r="X2" s="519"/>
      <c r="AL2" s="348" t="s">
        <v>1175</v>
      </c>
      <c r="CC2" s="172" t="s">
        <v>2307</v>
      </c>
    </row>
    <row r="3" spans="1:107" ht="17.25" customHeight="1">
      <c r="A3" s="679"/>
      <c r="B3" s="680"/>
      <c r="C3" s="680"/>
      <c r="D3" s="680"/>
      <c r="E3" s="8"/>
      <c r="F3" s="249"/>
      <c r="G3" s="8"/>
      <c r="H3" s="240" t="s">
        <v>143</v>
      </c>
      <c r="I3" s="537">
        <f>Summary!D4</f>
        <v>0</v>
      </c>
      <c r="J3" s="687"/>
      <c r="K3" s="687"/>
      <c r="L3" s="687"/>
      <c r="M3" s="687"/>
      <c r="N3" s="687"/>
      <c r="O3" s="687"/>
      <c r="P3" s="687"/>
      <c r="Q3" s="687"/>
      <c r="R3" s="687"/>
      <c r="S3" s="687"/>
      <c r="T3" s="687"/>
      <c r="U3" s="688"/>
      <c r="V3" s="473" t="s">
        <v>2345</v>
      </c>
      <c r="W3" s="478">
        <f>CE58</f>
        <v>0</v>
      </c>
      <c r="X3" s="63"/>
      <c r="AL3" s="348" t="s">
        <v>1851</v>
      </c>
      <c r="CC3" s="172" t="s">
        <v>2308</v>
      </c>
    </row>
    <row r="4" spans="1:107" ht="17.25" customHeight="1">
      <c r="A4" s="554" t="s">
        <v>452</v>
      </c>
      <c r="B4" s="601"/>
      <c r="C4" s="601"/>
      <c r="D4" s="555"/>
      <c r="E4" s="552"/>
      <c r="F4" s="553"/>
      <c r="G4" s="256"/>
      <c r="H4" s="240" t="s">
        <v>978</v>
      </c>
      <c r="I4" s="556">
        <f>Summary!D7</f>
        <v>0</v>
      </c>
      <c r="J4" s="557"/>
      <c r="K4" s="557"/>
      <c r="L4" s="557"/>
      <c r="M4" s="557"/>
      <c r="N4" s="557"/>
      <c r="O4" s="557"/>
      <c r="P4" s="557"/>
      <c r="Q4" s="557"/>
      <c r="R4" s="557"/>
      <c r="S4" s="557"/>
      <c r="T4" s="557"/>
      <c r="U4" s="558"/>
      <c r="V4" s="473" t="s">
        <v>2346</v>
      </c>
      <c r="W4" s="478">
        <f>CF58</f>
        <v>0</v>
      </c>
      <c r="X4" s="541"/>
      <c r="AL4" s="348" t="s">
        <v>1176</v>
      </c>
      <c r="AY4" s="33" t="s">
        <v>2176</v>
      </c>
      <c r="CC4" s="172" t="s">
        <v>332</v>
      </c>
    </row>
    <row r="5" spans="1:107" ht="17.25" customHeight="1">
      <c r="A5" s="96" t="s">
        <v>2526</v>
      </c>
      <c r="B5" s="97"/>
      <c r="C5" s="97"/>
      <c r="D5" s="104"/>
      <c r="E5" s="104"/>
      <c r="F5" s="247"/>
      <c r="G5" s="288" t="s">
        <v>1036</v>
      </c>
      <c r="H5" s="240" t="s">
        <v>144</v>
      </c>
      <c r="I5" s="689">
        <f>Summary!D8</f>
        <v>0</v>
      </c>
      <c r="J5" s="690"/>
      <c r="K5" s="690"/>
      <c r="L5" s="690"/>
      <c r="M5" s="690"/>
      <c r="N5" s="690"/>
      <c r="O5" s="690"/>
      <c r="P5" s="690"/>
      <c r="Q5" s="690"/>
      <c r="R5" s="690"/>
      <c r="S5" s="690"/>
      <c r="T5" s="690"/>
      <c r="U5" s="691"/>
      <c r="V5" s="473" t="s">
        <v>2344</v>
      </c>
      <c r="W5" s="478">
        <f>CG58</f>
        <v>0</v>
      </c>
      <c r="X5" s="541"/>
      <c r="AL5" s="348" t="s">
        <v>2136</v>
      </c>
      <c r="BP5" s="475" t="s">
        <v>20</v>
      </c>
      <c r="BQ5" s="475" t="s">
        <v>23</v>
      </c>
    </row>
    <row r="6" spans="1:107" ht="15.75" thickBot="1">
      <c r="A6" s="596" t="s">
        <v>723</v>
      </c>
      <c r="B6" s="596"/>
      <c r="C6" s="596"/>
      <c r="D6" s="596"/>
      <c r="E6" s="596"/>
      <c r="F6" s="597"/>
      <c r="G6" s="298">
        <v>26</v>
      </c>
      <c r="H6" s="250" t="s">
        <v>654</v>
      </c>
      <c r="I6" s="592" t="str">
        <f>AC18</f>
        <v/>
      </c>
      <c r="J6" s="606"/>
      <c r="K6" s="606"/>
      <c r="L6" s="606"/>
      <c r="M6" s="606"/>
      <c r="N6" s="606"/>
      <c r="O6" s="606"/>
      <c r="P6" s="606"/>
      <c r="Q6" s="606"/>
      <c r="R6" s="606"/>
      <c r="S6" s="606"/>
      <c r="T6" s="606"/>
      <c r="U6" s="607"/>
      <c r="W6" s="479"/>
      <c r="X6" s="65"/>
      <c r="AQ6" s="681" t="s">
        <v>1253</v>
      </c>
      <c r="AR6" s="681"/>
      <c r="AS6" s="681"/>
      <c r="BP6" s="475" t="s">
        <v>27</v>
      </c>
      <c r="BQ6" s="475" t="s">
        <v>29</v>
      </c>
      <c r="BU6" s="172" t="s">
        <v>69</v>
      </c>
      <c r="CL6" s="33" t="s">
        <v>2333</v>
      </c>
      <c r="CP6" s="33" t="s">
        <v>2333</v>
      </c>
      <c r="CU6" s="33" t="s">
        <v>2339</v>
      </c>
      <c r="CY6" s="33" t="s">
        <v>2339</v>
      </c>
    </row>
    <row r="7" spans="1:107" ht="45" customHeight="1" thickTop="1" thickBot="1">
      <c r="A7" s="66" t="s">
        <v>146</v>
      </c>
      <c r="B7" s="67" t="s">
        <v>147</v>
      </c>
      <c r="C7" s="67" t="s">
        <v>164</v>
      </c>
      <c r="D7" s="67" t="s">
        <v>1179</v>
      </c>
      <c r="E7" s="67" t="s">
        <v>181</v>
      </c>
      <c r="F7" s="67" t="s">
        <v>1208</v>
      </c>
      <c r="G7" s="67" t="s">
        <v>1210</v>
      </c>
      <c r="H7" s="67" t="s">
        <v>1211</v>
      </c>
      <c r="I7" s="457" t="s">
        <v>148</v>
      </c>
      <c r="J7" s="458" t="s">
        <v>149</v>
      </c>
      <c r="K7" s="69" t="s">
        <v>14</v>
      </c>
      <c r="L7" s="69" t="s">
        <v>165</v>
      </c>
      <c r="M7" s="571" t="s">
        <v>13</v>
      </c>
      <c r="N7" s="572"/>
      <c r="O7" s="67" t="s">
        <v>1464</v>
      </c>
      <c r="P7" s="457" t="s">
        <v>1299</v>
      </c>
      <c r="Q7" s="457" t="s">
        <v>2190</v>
      </c>
      <c r="R7" s="457" t="s">
        <v>2340</v>
      </c>
      <c r="S7" s="457" t="s">
        <v>2341</v>
      </c>
      <c r="T7" s="67" t="s">
        <v>1209</v>
      </c>
      <c r="U7" s="238" t="s">
        <v>162</v>
      </c>
      <c r="V7" s="67" t="s">
        <v>203</v>
      </c>
      <c r="W7" s="480" t="s">
        <v>2343</v>
      </c>
      <c r="X7" s="228"/>
      <c r="Y7" s="238"/>
      <c r="AA7" s="33" t="s">
        <v>14</v>
      </c>
      <c r="AE7" s="239" t="s">
        <v>1249</v>
      </c>
      <c r="AF7" s="239" t="s">
        <v>1250</v>
      </c>
      <c r="AG7" s="239" t="s">
        <v>1251</v>
      </c>
      <c r="AH7" s="33" t="s">
        <v>181</v>
      </c>
      <c r="AI7" s="33" t="s">
        <v>2323</v>
      </c>
      <c r="AJ7" s="239" t="s">
        <v>1387</v>
      </c>
      <c r="AK7" s="239" t="s">
        <v>1249</v>
      </c>
      <c r="AL7" s="239" t="s">
        <v>1388</v>
      </c>
      <c r="AM7" s="239" t="s">
        <v>1387</v>
      </c>
      <c r="AN7" s="239" t="s">
        <v>1249</v>
      </c>
      <c r="AO7" s="239" t="s">
        <v>1388</v>
      </c>
      <c r="AP7" s="33" t="s">
        <v>2196</v>
      </c>
      <c r="AQ7" s="239" t="s">
        <v>1249</v>
      </c>
      <c r="AR7" s="239" t="s">
        <v>1250</v>
      </c>
      <c r="AS7" s="239" t="s">
        <v>1251</v>
      </c>
      <c r="AT7" s="239" t="s">
        <v>1403</v>
      </c>
      <c r="AU7" s="239" t="s">
        <v>1444</v>
      </c>
      <c r="AV7" s="239" t="s">
        <v>1405</v>
      </c>
      <c r="AW7" s="239" t="s">
        <v>1406</v>
      </c>
      <c r="AX7" s="239" t="s">
        <v>1407</v>
      </c>
      <c r="AY7" s="33" t="s">
        <v>2299</v>
      </c>
      <c r="AZ7" s="33" t="s">
        <v>2300</v>
      </c>
      <c r="BA7" s="33" t="s">
        <v>2301</v>
      </c>
      <c r="BH7" t="s">
        <v>2304</v>
      </c>
      <c r="BI7"/>
      <c r="BJ7"/>
      <c r="BK7" t="s">
        <v>2305</v>
      </c>
      <c r="BL7" t="s">
        <v>2306</v>
      </c>
      <c r="BM7"/>
      <c r="BN7" s="475" t="s">
        <v>2317</v>
      </c>
      <c r="BO7" s="475" t="s">
        <v>2318</v>
      </c>
      <c r="BP7" s="475" t="s">
        <v>2316</v>
      </c>
      <c r="BQ7" s="475" t="s">
        <v>2319</v>
      </c>
      <c r="BR7" s="475" t="s">
        <v>1179</v>
      </c>
      <c r="BU7" s="172" t="s">
        <v>2320</v>
      </c>
      <c r="BY7" s="33" t="s">
        <v>2312</v>
      </c>
      <c r="BZ7" s="33" t="s">
        <v>2309</v>
      </c>
      <c r="CA7" s="33" t="s">
        <v>2310</v>
      </c>
      <c r="CB7" s="33" t="s">
        <v>2311</v>
      </c>
      <c r="CC7" s="172" t="s">
        <v>2313</v>
      </c>
      <c r="CD7" s="172" t="s">
        <v>377</v>
      </c>
      <c r="CE7" s="172" t="s">
        <v>2345</v>
      </c>
      <c r="CF7" s="172" t="s">
        <v>2346</v>
      </c>
      <c r="CG7" s="172" t="s">
        <v>2344</v>
      </c>
      <c r="CL7" s="239" t="s">
        <v>2332</v>
      </c>
      <c r="CM7" s="239" t="s">
        <v>1405</v>
      </c>
      <c r="CN7" s="239" t="s">
        <v>1406</v>
      </c>
      <c r="CO7" s="239" t="s">
        <v>1407</v>
      </c>
      <c r="CP7" s="239" t="s">
        <v>1444</v>
      </c>
      <c r="CQ7" s="239" t="s">
        <v>1405</v>
      </c>
      <c r="CR7" s="239" t="s">
        <v>1406</v>
      </c>
      <c r="CS7" s="239" t="s">
        <v>1407</v>
      </c>
      <c r="CT7" s="311" t="s">
        <v>2334</v>
      </c>
      <c r="CU7" s="239" t="s">
        <v>2332</v>
      </c>
      <c r="CV7" s="239" t="s">
        <v>1405</v>
      </c>
      <c r="CW7" s="239" t="s">
        <v>1406</v>
      </c>
      <c r="CX7" s="239" t="s">
        <v>1407</v>
      </c>
      <c r="CY7" s="239" t="s">
        <v>1444</v>
      </c>
      <c r="CZ7" s="239" t="s">
        <v>1405</v>
      </c>
      <c r="DA7" s="239" t="s">
        <v>1406</v>
      </c>
      <c r="DB7" s="239" t="s">
        <v>1407</v>
      </c>
      <c r="DC7" s="311" t="s">
        <v>2334</v>
      </c>
    </row>
    <row r="8" spans="1:107" ht="30" customHeight="1" thickTop="1">
      <c r="A8" s="50">
        <v>1</v>
      </c>
      <c r="B8" s="95"/>
      <c r="C8" s="23"/>
      <c r="D8" s="25"/>
      <c r="E8" s="244"/>
      <c r="F8" s="244"/>
      <c r="G8" s="244"/>
      <c r="H8" s="244"/>
      <c r="I8" s="24"/>
      <c r="J8" s="24"/>
      <c r="K8" s="24"/>
      <c r="L8" s="42"/>
      <c r="M8" s="559"/>
      <c r="N8" s="560"/>
      <c r="O8" s="11"/>
      <c r="P8" s="11"/>
      <c r="Q8" s="11"/>
      <c r="R8" s="11"/>
      <c r="S8" s="469"/>
      <c r="T8" s="25" t="str">
        <f>AX8</f>
        <v/>
      </c>
      <c r="U8" s="252" t="str">
        <f>IF(SUM(I8)=0,"",SUM(((I8*J8)/1000000)))</f>
        <v/>
      </c>
      <c r="V8" s="474"/>
      <c r="W8" s="481" t="b">
        <f>IF(CC8&lt;&gt;"",CC8,"")</f>
        <v>0</v>
      </c>
      <c r="X8" s="230"/>
      <c r="Y8" s="252"/>
      <c r="AA8" s="33" t="str">
        <f>IF(SUM(--ISNUMBER(SEARCH({"Skylight"}, D8))),Data!$AJ$19,Data!$AJ$1)</f>
        <v>WindowType</v>
      </c>
      <c r="AB8" s="33" t="str">
        <f t="shared" ref="AB8:AB39" si="0">IF(AND(C8&gt;0,P8=""),"Enter","OK")</f>
        <v>OK</v>
      </c>
      <c r="AC8" s="33" t="str">
        <f>IF(COUNTIF($K$8:$K$57,Data!KF3),Data!KG3,"")</f>
        <v/>
      </c>
      <c r="AD8" s="33" t="str">
        <f>IF(SUM(--ISNUMBER(SEARCH({"Bay","Corner"}, K8:K17))),"Yes","No")</f>
        <v>No</v>
      </c>
      <c r="AE8" s="239" t="e">
        <f>MATCH(E8, Data!$TB$2:$TB$6,0)</f>
        <v>#N/A</v>
      </c>
      <c r="AF8" s="239" t="e">
        <f>MATCH(F8,Data!$TC$1:$UB$1,0)</f>
        <v>#N/A</v>
      </c>
      <c r="AG8" s="239" t="e">
        <f>INDEX(Data!$TC$2:$UB$6,'Cellular Blinds'!AE8,'Cellular Blinds'!AF8)</f>
        <v>#N/A</v>
      </c>
      <c r="AH8" s="33" t="e">
        <f>VLOOKUP(D8,Data!$RU$2:$RV$15,2,FALSE)</f>
        <v>#N/A</v>
      </c>
      <c r="AI8" s="33" t="b">
        <f>IF(D8=Data!$UT$2,Data!$UU$1,IF(D8=Data!$UT$3,Data!$UV$1,IF(D8=Data!$UT$4,Data!$UW$1,IF(D8=Data!$UT$5,Data!$UX$1,IF(D8=Data!$UT$6,Data!$UY$1,IF(D8=Data!$UT$7,Data!$UZ$1,IF(D8=Data!$UT$8,Data!$VA$1,IF(D8=Data!$UT$9,Data!$VB$1,IF(D8=Data!$UT$10,Data!$VC$1,IF(D8=Data!$UT$11,Data!$VD$1,IF(D8=Data!$UT$12,Data!$VD$22,IF(D8=Data!$UT$13,Data!$VD$22,IF(D8=Data!$UT$14,Data!$UU$13,IF(D8=Data!$UT$15,Data!$UV$13))))))))))))))</f>
        <v>0</v>
      </c>
      <c r="AJ8" s="239" t="e">
        <f>MATCH(D8,Data!$VL$27:$VL$40,0)</f>
        <v>#N/A</v>
      </c>
      <c r="AK8" s="239" t="e">
        <f>MATCH(E8,Data!$VM$26:$VQ$26,0)</f>
        <v>#N/A</v>
      </c>
      <c r="AL8" s="239" t="e">
        <f>INDEX(Data!$VM$27:$VQ$40,'Cellular Blinds'!AJ8,'Cellular Blinds'!AK8)</f>
        <v>#N/A</v>
      </c>
      <c r="AM8" s="239" t="e">
        <f>MATCH(D8, Data!$VL$2:$VL$16,0)</f>
        <v>#N/A</v>
      </c>
      <c r="AN8" s="239" t="e">
        <f>MATCH(E8,Data!$VM$1:$VQ$1,0)</f>
        <v>#N/A</v>
      </c>
      <c r="AO8" s="239" t="e">
        <f>INDEX(Data!$VM$2:$VQ$16,'Cellular Blinds'!AM8,'Cellular Blinds'!AN8)</f>
        <v>#N/A</v>
      </c>
      <c r="AP8" s="33" t="e">
        <f>VLOOKUP(P8,Data!$UW$14:$UX$28,2,FALSE)</f>
        <v>#N/A</v>
      </c>
      <c r="AQ8" s="239" t="e">
        <f>MATCH(E8, Data!$XS$2:$XS$6,0)</f>
        <v>#N/A</v>
      </c>
      <c r="AR8" s="239" t="e">
        <f>MATCH(F8,Data!$XT$1:$YR$1,0)</f>
        <v>#N/A</v>
      </c>
      <c r="AS8" s="239" t="e">
        <f>INDEX(Data!$XT$2:$YR$6,'Cellular Blinds'!AQ8,'Cellular Blinds'!AR8)</f>
        <v>#N/A</v>
      </c>
      <c r="AT8" s="239" t="b">
        <f>IF(D8=Data!$YU$2,Data!$YV$1,IF(D8=Data!$YU$3,Data!$YW$1,IF(D8=Data!$YU$4,Data!$YX$1,IF(D8=Data!$YU$5,Data!$YY$1,IF(D8=Data!$YU$6,Data!$YZ$1,IF(D8=Data!$YU$7,Data!$ZA$1,IF(D8=Data!$YU$8,Data!$ZB$1,IF(D8=Data!$YU$9,Data!$ZC$1,IF(D8=Data!$YU$10,Data!$ZD$1,IF(D8=Data!$YU$11,Data!$ZE$1,IF(D8=Data!$YU$12,Data!$ZE$1,IF(D8=Data!$YU$13,Data!$ZE$1,IF(D8=Data!$YU$14,Data!$ZG$11,IF(D8=Data!$YU$15,Data!$ZF$11))))))))))))))</f>
        <v>0</v>
      </c>
      <c r="AU8" s="239" t="str">
        <f>IF(D8="","",IF(E8=Data!$ZI$2,VLOOKUP(D8,Data!$ZK$2:$ZL$15,2,FALSE),IF(E8=Data!$ZI$1,VLOOKUP(D8,Data!$ZQ$2:$ZR$13,2,FALSE),IF(E8=Data!$ZI$3,VLOOKUP(D8,Data!$ZW$2:$ZX$13,2,FALSE),IF(E8=Data!$ZI$4,VLOOKUP(D8,Data!$AAC$2:$AAD$13,2,FALSE),IF(E8=Data!$ZI$5,VLOOKUP(D8,Data!$AAC$26:$AAD$37,2,FALSE)))))))</f>
        <v/>
      </c>
      <c r="AV8" s="251" t="str">
        <f>U8</f>
        <v/>
      </c>
      <c r="AW8" s="251" t="str">
        <f>IF(AV8="","",AV8-AU8)</f>
        <v/>
      </c>
      <c r="AX8" s="239" t="str">
        <f>IF(AW8="","",IF(AW8&gt;0,"Check Size",""))</f>
        <v/>
      </c>
      <c r="AY8" s="33" t="s">
        <v>27</v>
      </c>
      <c r="AZ8" s="33" t="s">
        <v>20</v>
      </c>
      <c r="BA8" s="33" t="str">
        <f>IF(D8=$AY$4,$AZ$7,$AY$7)</f>
        <v>FittingBoth</v>
      </c>
      <c r="BH8" t="s">
        <v>1174</v>
      </c>
      <c r="BI8" t="s">
        <v>22</v>
      </c>
      <c r="BJ8"/>
      <c r="BK8" t="s">
        <v>332</v>
      </c>
      <c r="BL8" t="s">
        <v>69</v>
      </c>
      <c r="BM8"/>
      <c r="BN8" s="475" t="str">
        <f t="shared" ref="BN8:BN39" si="1">IF(BU8&lt;&gt;0,$BK$7,$BL$7)</f>
        <v>UChannelNA</v>
      </c>
      <c r="BO8" s="475" t="e">
        <f>VLOOKUP(E8,$BH$8:$BI$12,2,FALSE)</f>
        <v>#N/A</v>
      </c>
      <c r="BP8" s="475" t="str">
        <f>IF(L8=$BP$5, "Yes", "No")</f>
        <v>No</v>
      </c>
      <c r="BQ8" s="475" t="str">
        <f>IF(M8=$BQ$5,"Yes", "No")</f>
        <v>No</v>
      </c>
      <c r="BR8" s="475" t="e">
        <f t="shared" ref="BR8:BR39" si="2">VLOOKUP(D8,$BS$8:$BT$21,2,FALSE)</f>
        <v>#N/A</v>
      </c>
      <c r="BS8" s="475" t="s">
        <v>1206</v>
      </c>
      <c r="BT8" s="475" t="s">
        <v>22</v>
      </c>
      <c r="BU8" s="172">
        <f>COUNTIF(BO8:BR8,$BU$6)</f>
        <v>2</v>
      </c>
      <c r="BX8" s="33" t="s">
        <v>69</v>
      </c>
      <c r="BY8" s="33" t="str">
        <f>$CA$7</f>
        <v>ChannelNo</v>
      </c>
      <c r="BZ8" t="s">
        <v>377</v>
      </c>
      <c r="CA8" s="33" t="s">
        <v>332</v>
      </c>
      <c r="CB8" s="33" t="e">
        <f t="shared" ref="CB8:CB39" si="3">VLOOKUP(R8,$BX$8:$BY$11,2,FALSE)</f>
        <v>#N/A</v>
      </c>
      <c r="CC8" s="172" t="b">
        <f t="shared" ref="CC8:CC39" si="4">IF(R8=$CC$2,((C8*J8*2)/1000),IF(R8=$CC$3,(((C8*J8*2)+C8*I8)/1000)))</f>
        <v>0</v>
      </c>
      <c r="CD8" s="172">
        <f t="shared" ref="CD8:CD39" si="5">IF(S8=$CD$7,CC8,0)</f>
        <v>0</v>
      </c>
      <c r="CE8" s="172">
        <f t="shared" ref="CE8:CE39" si="6">IF(S8=$CE$7,CC8,0)</f>
        <v>0</v>
      </c>
      <c r="CF8" s="172">
        <f t="shared" ref="CF8:CF39" si="7">IF(S8=$CF$7,CC8,0)</f>
        <v>0</v>
      </c>
      <c r="CG8" s="172">
        <f t="shared" ref="CG8:CG39" si="8">IF(S8=$CG$7,CC8,0)</f>
        <v>0</v>
      </c>
      <c r="CL8" s="239" t="str">
        <f>IF(D8="","",IF(E8=Data!$ZI$2,VLOOKUP(D8,Data!$ZK$2:$ZP$15,3,FALSE),IF(E8=Data!$ZI$1,VLOOKUP(D8,Data!$ZQ$2:$ZS$13,3,FALSE),IF(E8=Data!$ZI$3,VLOOKUP(D8,Data!$ZW$2:$AAB$13,3,FALSE),IF(E8=Data!$ZI$4,VLOOKUP(D8,Data!$AAC$2:$AAI$13,3,FALSE),IF(E8=Data!$ZI$5,VLOOKUP(D8,Data!$AAC$26:$AAI$37,3,FALSE)))))))</f>
        <v/>
      </c>
      <c r="CM8" s="251">
        <f>I8</f>
        <v>0</v>
      </c>
      <c r="CN8" s="251" t="e">
        <f>IF(CM8="","",CM8-CL8)</f>
        <v>#VALUE!</v>
      </c>
      <c r="CO8" s="239" t="e">
        <f>IF(CN8="","",IF(CN8&lt;0,1,0))</f>
        <v>#VALUE!</v>
      </c>
      <c r="CP8" s="239" t="str">
        <f>IF(D8="","",IF(E8=Data!$ZI$2,VLOOKUP(D8,Data!$ZK$2:$ZN$15,4,FALSE),IF(E8=Data!$ZI$1,VLOOKUP(D8,Data!$ZQ$2:$ZT$13,4,FALSE),IF(E8=Data!$ZI$3,VLOOKUP(D8,Data!$ZW$2:$AAC$13,4,FALSE),IF(E8=Data!$ZI$4,VLOOKUP(D8,Data!$AAC$2:$AAJ$13,4,FALSE),IF(E8=Data!$ZI$5,VLOOKUP(D8,Data!$AAC$26:$AAJ$37,4,FALSE)))))))</f>
        <v/>
      </c>
      <c r="CQ8" s="251">
        <f>I8</f>
        <v>0</v>
      </c>
      <c r="CR8" s="251" t="e">
        <f>IF(CQ8="","",CQ8-CP8)</f>
        <v>#VALUE!</v>
      </c>
      <c r="CS8" s="239" t="e">
        <f>IF(CR8="","",IF(CR8&gt;0,1,0))</f>
        <v>#VALUE!</v>
      </c>
      <c r="CT8" s="311">
        <f>IF(I8="",0,CO8+CS8)</f>
        <v>0</v>
      </c>
      <c r="CU8" s="239" t="str">
        <f>IF(D8="","",IF(E8=Data!$ZI$2,VLOOKUP(D8,Data!$ZK$2:$ZO$15,5,FALSE),IF(E8=Data!$ZI$1,VLOOKUP(D8,Data!$ZQ$2:$ZU$13,5,FALSE),IF(E8=Data!$ZI$3,VLOOKUP(D8,Data!$ZW$2:$AAD$13,5,FALSE),IF(E8=Data!$ZI$4,VLOOKUP(D8,Data!$AAC$2:$AAK$13,5,FALSE),IF(E8=Data!$ZI$5,VLOOKUP(D8,Data!$AAC$26:$AAK$37,5,FALSE)))))))</f>
        <v/>
      </c>
      <c r="CV8" s="251">
        <f>J8</f>
        <v>0</v>
      </c>
      <c r="CW8" s="251" t="e">
        <f>IF(CV8="","",CV8-CU8)</f>
        <v>#VALUE!</v>
      </c>
      <c r="CX8" s="239" t="e">
        <f>IF(CW8="","",IF(CW8&lt;0,1,0))</f>
        <v>#VALUE!</v>
      </c>
      <c r="CY8" s="239" t="str">
        <f>IF(D8="","",IF(E8=Data!$ZI$2,VLOOKUP(D8,Data!$ZK$2:$ZP$15,6,FALSE),IF(E8=Data!$ZI$1,VLOOKUP(D8,Data!$ZQ$2:$ZV$13,6,FALSE),IF(E8=Data!$ZI$3,VLOOKUP(D8,Data!$ZW$2:$AAE$13,6,FALSE),IF(E8=Data!$ZI$4,VLOOKUP(D8,Data!$AAC$2:$AAL$13,6,FALSE),IF(E8=Data!$ZI$5,VLOOKUP(D8,Data!$AAC$26:$AAL$37,6,FALSE)))))))</f>
        <v/>
      </c>
      <c r="CZ8" s="251">
        <f>J8</f>
        <v>0</v>
      </c>
      <c r="DA8" s="251" t="e">
        <f>IF(CZ8="","",CZ8-CY8)</f>
        <v>#VALUE!</v>
      </c>
      <c r="DB8" s="239" t="e">
        <f>IF(DA8="","",IF(DA8&gt;0,1,0))</f>
        <v>#VALUE!</v>
      </c>
      <c r="DC8" s="311">
        <f>IF(J8="",0,CX8+DB8)</f>
        <v>0</v>
      </c>
    </row>
    <row r="9" spans="1:107" ht="30" customHeight="1">
      <c r="A9" s="51">
        <v>2</v>
      </c>
      <c r="B9" s="19"/>
      <c r="C9" s="27"/>
      <c r="D9" s="13"/>
      <c r="E9" s="235"/>
      <c r="F9" s="235"/>
      <c r="G9" s="235"/>
      <c r="H9" s="235"/>
      <c r="I9" s="14"/>
      <c r="J9" s="14"/>
      <c r="K9" s="14"/>
      <c r="L9" s="14"/>
      <c r="M9" s="563"/>
      <c r="N9" s="564"/>
      <c r="O9" s="15"/>
      <c r="P9" s="15"/>
      <c r="Q9" s="15"/>
      <c r="R9" s="15"/>
      <c r="S9" s="15"/>
      <c r="T9" s="13" t="str">
        <f t="shared" ref="T9:T57" si="9">AX9</f>
        <v/>
      </c>
      <c r="U9" s="253" t="str">
        <f t="shared" ref="U9:U57" si="10">IF(SUM(I9)=0,"",SUM(((I9*J9)/1000000)))</f>
        <v/>
      </c>
      <c r="V9" s="470"/>
      <c r="W9" s="481" t="b">
        <f t="shared" ref="W9:W57" si="11">IF(CC9&lt;&gt;"",CC9,"")</f>
        <v>0</v>
      </c>
      <c r="X9" s="230"/>
      <c r="Y9" s="253"/>
      <c r="AA9" s="33" t="str">
        <f>IF(SUM(--ISNUMBER(SEARCH({"Skylight"}, D9))),Data!$AJ$19,Data!$AJ$1)</f>
        <v>WindowType</v>
      </c>
      <c r="AB9" s="33" t="str">
        <f t="shared" si="0"/>
        <v>OK</v>
      </c>
      <c r="AC9" s="33" t="str">
        <f>IF(COUNTIF($K$8:$K$57,Data!KF4),Data!KG4,"")</f>
        <v/>
      </c>
      <c r="AE9" s="239" t="e">
        <f>MATCH(E9, Data!$TB$2:$TB$6,0)</f>
        <v>#N/A</v>
      </c>
      <c r="AF9" s="239" t="e">
        <f>MATCH(F9,Data!$TC$1:$UB$1,0)</f>
        <v>#N/A</v>
      </c>
      <c r="AG9" s="239" t="e">
        <f>INDEX(Data!$TC$2:$UB$6,'Cellular Blinds'!AE9,'Cellular Blinds'!AF9)</f>
        <v>#N/A</v>
      </c>
      <c r="AH9" s="33" t="e">
        <f>VLOOKUP(D9,Data!$RU$2:$RV$15,2,FALSE)</f>
        <v>#N/A</v>
      </c>
      <c r="AI9" s="33" t="b">
        <f>IF(D9=Data!$UT$2,Data!$UU$1,IF(D9=Data!$UT$3,Data!$UV$1,IF(D9=Data!$UT$4,Data!$UW$1,IF(D9=Data!$UT$5,Data!$UX$1,IF(D9=Data!$UT$6,Data!$UY$1,IF(D9=Data!$UT$7,Data!$UZ$1,IF(D9=Data!$UT$8,Data!$VA$1,IF(D9=Data!$UT$9,Data!$VB$1,IF(D9=Data!$UT$10,Data!$VC$1,IF(D9=Data!$UT$11,Data!$VD$1,IF(D9=Data!$UT$12,Data!$VD$22,IF(D9=Data!$UT$13,Data!$VD$22,IF(D9=Data!$UT$14,Data!$UU$13,IF(D9=Data!$UT$15,Data!$UV$13))))))))))))))</f>
        <v>0</v>
      </c>
      <c r="AJ9" s="239" t="e">
        <f>MATCH(D9,Data!$VL$27:$VL$40,0)</f>
        <v>#N/A</v>
      </c>
      <c r="AK9" s="239" t="e">
        <f>MATCH(E9,Data!$VM$26:$VQ$26,0)</f>
        <v>#N/A</v>
      </c>
      <c r="AL9" s="239" t="e">
        <f>INDEX(Data!$VM$27:$VQ$40,'Cellular Blinds'!AJ9,'Cellular Blinds'!AK9)</f>
        <v>#N/A</v>
      </c>
      <c r="AM9" s="239" t="e">
        <f>MATCH(D9, Data!$VL$2:$VL$16,0)</f>
        <v>#N/A</v>
      </c>
      <c r="AN9" s="239" t="e">
        <f>MATCH(E9,Data!$VM$1:$VQ$1,0)</f>
        <v>#N/A</v>
      </c>
      <c r="AO9" s="239" t="e">
        <f>INDEX(Data!$VM$2:$VQ$16,'Cellular Blinds'!AM9,'Cellular Blinds'!AN9)</f>
        <v>#N/A</v>
      </c>
      <c r="AP9" s="33" t="e">
        <f>VLOOKUP(P9,Data!$UW$14:$UX$28,2,FALSE)</f>
        <v>#N/A</v>
      </c>
      <c r="AQ9" s="239" t="e">
        <f>MATCH(E9, Data!$XS$2:$XS$6,0)</f>
        <v>#N/A</v>
      </c>
      <c r="AR9" s="239" t="e">
        <f>MATCH(F9,Data!$XT$1:$YR$1,0)</f>
        <v>#N/A</v>
      </c>
      <c r="AS9" s="239" t="e">
        <f>INDEX(Data!$XT$2:$YR$6,'Cellular Blinds'!AQ9,'Cellular Blinds'!AR9)</f>
        <v>#N/A</v>
      </c>
      <c r="AT9" s="239" t="b">
        <f>IF(D9=Data!$YU$2,Data!$YV$1,IF(D9=Data!$YU$3,Data!$YW$1,IF(D9=Data!$YU$4,Data!$YX$1,IF(D9=Data!$YU$5,Data!$YY$1,IF(D9=Data!$YU$6,Data!$YZ$1,IF(D9=Data!$YU$7,Data!$ZA$1,IF(D9=Data!$YU$8,Data!$ZB$1,IF(D9=Data!$YU$9,Data!$ZC$1,IF(D9=Data!$YU$10,Data!$ZD$1,IF(D9=Data!$YU$11,Data!$ZE$1,IF(D9=Data!$YU$12,Data!$ZE$1,IF(D9=Data!$YU$13,Data!$ZE$1,IF(D9=Data!$YU$14,Data!$ZG$11,IF(D9=Data!$YU$15,Data!$ZF$11))))))))))))))</f>
        <v>0</v>
      </c>
      <c r="AU9" s="239" t="str">
        <f>IF(D9="","",IF(E9=Data!$ZI$2,VLOOKUP(D9,Data!$ZK$2:$ZL$15,2,FALSE),IF(E9=Data!$ZI$1,VLOOKUP(D9,Data!$ZQ$2:$ZR$13,2,FALSE),IF(E9=Data!$ZI$3,VLOOKUP(D9,Data!$ZW$2:$ZX$13,2,FALSE),IF(E9=Data!$ZI$4,VLOOKUP(D9,Data!$AAC$2:$AAD$13,2,FALSE),IF(E9=Data!$ZI$5,VLOOKUP(D9,Data!$AAC$26:$AAD$37,2,FALSE)))))))</f>
        <v/>
      </c>
      <c r="AV9" s="251" t="str">
        <f t="shared" ref="AV9:AV57" si="12">U9</f>
        <v/>
      </c>
      <c r="AW9" s="251" t="str">
        <f t="shared" ref="AW9:AW57" si="13">IF(AV9="","",AV9-AU9)</f>
        <v/>
      </c>
      <c r="AX9" s="239" t="str">
        <f t="shared" ref="AX9:AX57" si="14">IF(AW9="","",IF(AW9&gt;0,"Check Size",""))</f>
        <v/>
      </c>
      <c r="AY9" s="33" t="s">
        <v>20</v>
      </c>
      <c r="BA9" s="33" t="str">
        <f t="shared" ref="BA9:BA57" si="15">IF(D9=$AY$4,$AZ$7,$AY$7)</f>
        <v>FittingBoth</v>
      </c>
      <c r="BH9" t="s">
        <v>1175</v>
      </c>
      <c r="BI9" t="s">
        <v>22</v>
      </c>
      <c r="BJ9"/>
      <c r="BK9"/>
      <c r="BL9" t="s">
        <v>2307</v>
      </c>
      <c r="BM9"/>
      <c r="BN9" s="475" t="str">
        <f t="shared" si="1"/>
        <v>UChannelNA</v>
      </c>
      <c r="BO9" s="475" t="e">
        <f t="shared" ref="BO9:BO58" si="16">VLOOKUP(E9,$BH$8:$BI$12,2,FALSE)</f>
        <v>#N/A</v>
      </c>
      <c r="BP9" s="475" t="str">
        <f t="shared" ref="BP9:BP58" si="17">IF(L9=$BP$5, "Yes", "No")</f>
        <v>No</v>
      </c>
      <c r="BQ9" s="475" t="str">
        <f t="shared" ref="BQ9:BQ58" si="18">IF(M9=$BQ$5,"Yes", "No")</f>
        <v>No</v>
      </c>
      <c r="BR9" s="475" t="e">
        <f t="shared" si="2"/>
        <v>#N/A</v>
      </c>
      <c r="BS9" s="475" t="s">
        <v>1213</v>
      </c>
      <c r="BT9" s="475" t="s">
        <v>69</v>
      </c>
      <c r="BU9" s="172">
        <f t="shared" ref="BU9:BU58" si="19">COUNTIF(BO9:BR9,$BU$6)</f>
        <v>2</v>
      </c>
      <c r="BX9" s="33" t="s">
        <v>2307</v>
      </c>
      <c r="BY9" s="33" t="str">
        <f>$BZ$7</f>
        <v>ChannelYes</v>
      </c>
      <c r="BZ9" t="s">
        <v>2345</v>
      </c>
      <c r="CB9" s="33" t="e">
        <f t="shared" si="3"/>
        <v>#N/A</v>
      </c>
      <c r="CC9" s="172" t="b">
        <f t="shared" si="4"/>
        <v>0</v>
      </c>
      <c r="CD9" s="172">
        <f t="shared" si="5"/>
        <v>0</v>
      </c>
      <c r="CE9" s="172">
        <f t="shared" si="6"/>
        <v>0</v>
      </c>
      <c r="CF9" s="172">
        <f t="shared" si="7"/>
        <v>0</v>
      </c>
      <c r="CG9" s="172">
        <f t="shared" si="8"/>
        <v>0</v>
      </c>
      <c r="CL9" s="239" t="str">
        <f>IF(D9="","",IF(E9=Data!$ZI$2,VLOOKUP(D9,Data!$ZK$2:$ZP$15,3,FALSE),IF(E9=Data!$ZI$1,VLOOKUP(D9,Data!$ZQ$2:$ZS$13,3,FALSE),IF(E9=Data!$ZI$3,VLOOKUP(D9,Data!$ZW$2:$AAB$13,3,FALSE),IF(E9=Data!$ZI$4,VLOOKUP(D9,Data!$AAC$2:$AAI$13,3,FALSE),IF(E9=Data!$ZI$5,VLOOKUP(D9,Data!$AAC$26:$AAI$37,3,FALSE)))))))</f>
        <v/>
      </c>
      <c r="CM9" s="251">
        <f t="shared" ref="CM9:CM57" si="20">I9</f>
        <v>0</v>
      </c>
      <c r="CN9" s="251" t="e">
        <f t="shared" ref="CN9:CN57" si="21">IF(CM9="","",CM9-CL9)</f>
        <v>#VALUE!</v>
      </c>
      <c r="CO9" s="239" t="e">
        <f t="shared" ref="CO9:CO57" si="22">IF(CN9="","",IF(CN9&lt;0,1,0))</f>
        <v>#VALUE!</v>
      </c>
      <c r="CP9" s="239" t="str">
        <f>IF(D9="","",IF(E9=Data!$ZI$2,VLOOKUP(D9,Data!$ZK$2:$ZN$15,4,FALSE),IF(E9=Data!$ZI$1,VLOOKUP(D9,Data!$ZQ$2:$ZT$13,4,FALSE),IF(E9=Data!$ZI$3,VLOOKUP(D9,Data!$ZW$2:$AAC$13,4,FALSE),IF(E9=Data!$ZI$4,VLOOKUP(D9,Data!$AAC$2:$AAJ$13,4,FALSE),IF(E9=Data!$ZI$5,VLOOKUP(D9,Data!$AAC$26:$AAJ$37,4,FALSE)))))))</f>
        <v/>
      </c>
      <c r="CQ9" s="251">
        <f t="shared" ref="CQ9:CQ57" si="23">I9</f>
        <v>0</v>
      </c>
      <c r="CR9" s="251" t="e">
        <f t="shared" ref="CR9:CR57" si="24">IF(CQ9="","",CQ9-CP9)</f>
        <v>#VALUE!</v>
      </c>
      <c r="CS9" s="239" t="e">
        <f t="shared" ref="CS9:CS57" si="25">IF(CR9="","",IF(CR9&gt;0,1,0))</f>
        <v>#VALUE!</v>
      </c>
      <c r="CT9" s="311">
        <f t="shared" ref="CT9:CT57" si="26">IF(I9="",0,CO9+CS9)</f>
        <v>0</v>
      </c>
      <c r="CU9" s="239" t="str">
        <f>IF(D9="","",IF(E9=Data!$ZI$2,VLOOKUP(D9,Data!$ZK$2:$ZO$15,5,FALSE),IF(E9=Data!$ZI$1,VLOOKUP(D9,Data!$ZQ$2:$ZU$13,5,FALSE),IF(E9=Data!$ZI$3,VLOOKUP(D9,Data!$ZW$2:$AAD$13,5,FALSE),IF(E9=Data!$ZI$4,VLOOKUP(D9,Data!$AAC$2:$AAK$13,5,FALSE),IF(E9=Data!$ZI$5,VLOOKUP(D9,Data!$AAC$26:$AAK$37,5,FALSE)))))))</f>
        <v/>
      </c>
      <c r="CV9" s="251">
        <f t="shared" ref="CV9:CV57" si="27">J9</f>
        <v>0</v>
      </c>
      <c r="CW9" s="251" t="e">
        <f t="shared" ref="CW9:CW57" si="28">IF(CV9="","",CV9-CU9)</f>
        <v>#VALUE!</v>
      </c>
      <c r="CX9" s="239" t="e">
        <f t="shared" ref="CX9:CX57" si="29">IF(CW9="","",IF(CW9&lt;0,1,0))</f>
        <v>#VALUE!</v>
      </c>
      <c r="CY9" s="239" t="str">
        <f>IF(D9="","",IF(E9=Data!$ZI$2,VLOOKUP(D9,Data!$ZK$2:$ZP$15,6,FALSE),IF(E9=Data!$ZI$1,VLOOKUP(D9,Data!$ZQ$2:$ZV$13,6,FALSE),IF(E9=Data!$ZI$3,VLOOKUP(D9,Data!$ZW$2:$AAE$13,6,FALSE),IF(E9=Data!$ZI$4,VLOOKUP(D9,Data!$AAC$2:$AAL$13,6,FALSE),IF(E9=Data!$ZI$5,VLOOKUP(D9,Data!$AAC$26:$AAL$37,6,FALSE)))))))</f>
        <v/>
      </c>
      <c r="CZ9" s="251">
        <f t="shared" ref="CZ9:CZ57" si="30">J9</f>
        <v>0</v>
      </c>
      <c r="DA9" s="251" t="e">
        <f t="shared" ref="DA9:DA57" si="31">IF(CZ9="","",CZ9-CY9)</f>
        <v>#VALUE!</v>
      </c>
      <c r="DB9" s="239" t="e">
        <f t="shared" ref="DB9:DB57" si="32">IF(DA9="","",IF(DA9&gt;0,1,0))</f>
        <v>#VALUE!</v>
      </c>
      <c r="DC9" s="311">
        <f t="shared" ref="DC9:DC57" si="33">IF(J9="",0,CX9+DB9)</f>
        <v>0</v>
      </c>
    </row>
    <row r="10" spans="1:107" ht="30" customHeight="1">
      <c r="A10" s="52">
        <v>3</v>
      </c>
      <c r="B10" s="17"/>
      <c r="C10" s="17"/>
      <c r="D10" s="13"/>
      <c r="E10" s="235"/>
      <c r="F10" s="235"/>
      <c r="G10" s="13"/>
      <c r="H10" s="235"/>
      <c r="I10" s="14"/>
      <c r="J10" s="14"/>
      <c r="K10" s="14"/>
      <c r="L10" s="14"/>
      <c r="M10" s="563"/>
      <c r="N10" s="564"/>
      <c r="O10" s="15"/>
      <c r="P10" s="15"/>
      <c r="Q10" s="15"/>
      <c r="R10" s="15"/>
      <c r="S10" s="15"/>
      <c r="T10" s="13" t="str">
        <f t="shared" si="9"/>
        <v/>
      </c>
      <c r="U10" s="253" t="str">
        <f t="shared" si="10"/>
        <v/>
      </c>
      <c r="V10" s="470"/>
      <c r="W10" s="481" t="b">
        <f t="shared" si="11"/>
        <v>0</v>
      </c>
      <c r="X10" s="230"/>
      <c r="Y10" s="253"/>
      <c r="AA10" s="33" t="str">
        <f>IF(SUM(--ISNUMBER(SEARCH({"Skylight"}, D10))),Data!$AJ$19,Data!$AJ$1)</f>
        <v>WindowType</v>
      </c>
      <c r="AB10" s="33" t="str">
        <f t="shared" si="0"/>
        <v>OK</v>
      </c>
      <c r="AC10" s="33" t="str">
        <f>IF(COUNTIF($K$8:$K$57,Data!KF5),Data!KG5,"")</f>
        <v/>
      </c>
      <c r="AE10" s="239" t="e">
        <f>MATCH(E10, Data!$TB$2:$TB$6,0)</f>
        <v>#N/A</v>
      </c>
      <c r="AF10" s="239" t="e">
        <f>MATCH(F10,Data!$TC$1:$UB$1,0)</f>
        <v>#N/A</v>
      </c>
      <c r="AG10" s="239" t="e">
        <f>INDEX(Data!$TC$2:$UB$6,'Cellular Blinds'!AE10,'Cellular Blinds'!AF10)</f>
        <v>#N/A</v>
      </c>
      <c r="AH10" s="33" t="e">
        <f>VLOOKUP(D10,Data!$RU$2:$RV$15,2,FALSE)</f>
        <v>#N/A</v>
      </c>
      <c r="AI10" s="33" t="b">
        <f>IF(D10=Data!$UT$2,Data!$UU$1,IF(D10=Data!$UT$3,Data!$UV$1,IF(D10=Data!$UT$4,Data!$UW$1,IF(D10=Data!$UT$5,Data!$UX$1,IF(D10=Data!$UT$6,Data!$UY$1,IF(D10=Data!$UT$7,Data!$UZ$1,IF(D10=Data!$UT$8,Data!$VA$1,IF(D10=Data!$UT$9,Data!$VB$1,IF(D10=Data!$UT$10,Data!$VC$1,IF(D10=Data!$UT$11,Data!$VD$1,IF(D10=Data!$UT$12,Data!$VD$22,IF(D10=Data!$UT$13,Data!$VD$22,IF(D10=Data!$UT$14,Data!$UU$13,IF(D10=Data!$UT$15,Data!$UV$13))))))))))))))</f>
        <v>0</v>
      </c>
      <c r="AJ10" s="239" t="e">
        <f>MATCH(D10,Data!$VL$27:$VL$40,0)</f>
        <v>#N/A</v>
      </c>
      <c r="AK10" s="239" t="e">
        <f>MATCH(E10,Data!$VM$26:$VQ$26,0)</f>
        <v>#N/A</v>
      </c>
      <c r="AL10" s="239" t="e">
        <f>INDEX(Data!$VM$27:$VQ$40,'Cellular Blinds'!AJ10,'Cellular Blinds'!AK10)</f>
        <v>#N/A</v>
      </c>
      <c r="AM10" s="239" t="e">
        <f>MATCH(D10, Data!$VL$2:$VL$16,0)</f>
        <v>#N/A</v>
      </c>
      <c r="AN10" s="239" t="e">
        <f>MATCH(E10,Data!$VM$1:$VQ$1,0)</f>
        <v>#N/A</v>
      </c>
      <c r="AO10" s="239" t="e">
        <f>INDEX(Data!$VM$2:$VQ$16,'Cellular Blinds'!AM10,'Cellular Blinds'!AN10)</f>
        <v>#N/A</v>
      </c>
      <c r="AP10" s="33" t="e">
        <f>VLOOKUP(P10,Data!$UW$14:$UX$28,2,FALSE)</f>
        <v>#N/A</v>
      </c>
      <c r="AQ10" s="239" t="e">
        <f>MATCH(E10, Data!$XS$2:$XS$6,0)</f>
        <v>#N/A</v>
      </c>
      <c r="AR10" s="239" t="e">
        <f>MATCH(F10,Data!$XT$1:$YR$1,0)</f>
        <v>#N/A</v>
      </c>
      <c r="AS10" s="239" t="e">
        <f>INDEX(Data!$XT$2:$YR$6,'Cellular Blinds'!AQ10,'Cellular Blinds'!AR10)</f>
        <v>#N/A</v>
      </c>
      <c r="AT10" s="239" t="b">
        <f>IF(D10=Data!$YU$2,Data!$YV$1,IF(D10=Data!$YU$3,Data!$YW$1,IF(D10=Data!$YU$4,Data!$YX$1,IF(D10=Data!$YU$5,Data!$YY$1,IF(D10=Data!$YU$6,Data!$YZ$1,IF(D10=Data!$YU$7,Data!$ZA$1,IF(D10=Data!$YU$8,Data!$ZB$1,IF(D10=Data!$YU$9,Data!$ZC$1,IF(D10=Data!$YU$10,Data!$ZD$1,IF(D10=Data!$YU$11,Data!$ZE$1,IF(D10=Data!$YU$12,Data!$ZE$1,IF(D10=Data!$YU$13,Data!$ZE$1,IF(D10=Data!$YU$14,Data!$ZG$11,IF(D10=Data!$YU$15,Data!$ZF$11))))))))))))))</f>
        <v>0</v>
      </c>
      <c r="AU10" s="239" t="str">
        <f>IF(D10="","",IF(E10=Data!$ZI$2,VLOOKUP(D10,Data!$ZK$2:$ZL$15,2,FALSE),IF(E10=Data!$ZI$1,VLOOKUP(D10,Data!$ZQ$2:$ZR$13,2,FALSE),IF(E10=Data!$ZI$3,VLOOKUP(D10,Data!$ZW$2:$ZX$13,2,FALSE),IF(E10=Data!$ZI$4,VLOOKUP(D10,Data!$AAC$2:$AAD$13,2,FALSE),IF(E10=Data!$ZI$5,VLOOKUP(D10,Data!$AAC$26:$AAD$37,2,FALSE)))))))</f>
        <v/>
      </c>
      <c r="AV10" s="251" t="str">
        <f t="shared" si="12"/>
        <v/>
      </c>
      <c r="AW10" s="251" t="str">
        <f t="shared" si="13"/>
        <v/>
      </c>
      <c r="AX10" s="239" t="str">
        <f t="shared" si="14"/>
        <v/>
      </c>
      <c r="BA10" s="33" t="str">
        <f t="shared" si="15"/>
        <v>FittingBoth</v>
      </c>
      <c r="BH10" t="s">
        <v>1851</v>
      </c>
      <c r="BI10" t="s">
        <v>69</v>
      </c>
      <c r="BJ10"/>
      <c r="BK10"/>
      <c r="BL10" t="s">
        <v>2308</v>
      </c>
      <c r="BM10"/>
      <c r="BN10" s="475" t="str">
        <f t="shared" si="1"/>
        <v>UChannelNA</v>
      </c>
      <c r="BO10" s="475" t="e">
        <f t="shared" si="16"/>
        <v>#N/A</v>
      </c>
      <c r="BP10" s="475" t="str">
        <f t="shared" si="17"/>
        <v>No</v>
      </c>
      <c r="BQ10" s="475" t="str">
        <f t="shared" si="18"/>
        <v>No</v>
      </c>
      <c r="BR10" s="475" t="e">
        <f t="shared" si="2"/>
        <v>#N/A</v>
      </c>
      <c r="BS10" s="475" t="s">
        <v>1207</v>
      </c>
      <c r="BT10" s="475" t="s">
        <v>69</v>
      </c>
      <c r="BU10" s="172">
        <f t="shared" si="19"/>
        <v>2</v>
      </c>
      <c r="BX10" s="33" t="s">
        <v>2308</v>
      </c>
      <c r="BY10" s="33" t="str">
        <f>$BZ$7</f>
        <v>ChannelYes</v>
      </c>
      <c r="BZ10" t="s">
        <v>2346</v>
      </c>
      <c r="CB10" s="33" t="e">
        <f t="shared" si="3"/>
        <v>#N/A</v>
      </c>
      <c r="CC10" s="172" t="b">
        <f t="shared" si="4"/>
        <v>0</v>
      </c>
      <c r="CD10" s="172">
        <f t="shared" si="5"/>
        <v>0</v>
      </c>
      <c r="CE10" s="172">
        <f t="shared" si="6"/>
        <v>0</v>
      </c>
      <c r="CF10" s="172">
        <f t="shared" si="7"/>
        <v>0</v>
      </c>
      <c r="CG10" s="172">
        <f t="shared" si="8"/>
        <v>0</v>
      </c>
      <c r="CL10" s="239" t="str">
        <f>IF(D10="","",IF(E10=Data!$ZI$2,VLOOKUP(D10,Data!$ZK$2:$ZP$15,3,FALSE),IF(E10=Data!$ZI$1,VLOOKUP(D10,Data!$ZQ$2:$ZS$13,3,FALSE),IF(E10=Data!$ZI$3,VLOOKUP(D10,Data!$ZW$2:$AAB$13,3,FALSE),IF(E10=Data!$ZI$4,VLOOKUP(D10,Data!$AAC$2:$AAI$13,3,FALSE),IF(E10=Data!$ZI$5,VLOOKUP(D10,Data!$AAC$26:$AAI$37,3,FALSE)))))))</f>
        <v/>
      </c>
      <c r="CM10" s="251">
        <f t="shared" si="20"/>
        <v>0</v>
      </c>
      <c r="CN10" s="251" t="e">
        <f t="shared" si="21"/>
        <v>#VALUE!</v>
      </c>
      <c r="CO10" s="239" t="e">
        <f t="shared" si="22"/>
        <v>#VALUE!</v>
      </c>
      <c r="CP10" s="239" t="str">
        <f>IF(D10="","",IF(E10=Data!$ZI$2,VLOOKUP(D10,Data!$ZK$2:$ZN$15,4,FALSE),IF(E10=Data!$ZI$1,VLOOKUP(D10,Data!$ZQ$2:$ZT$13,4,FALSE),IF(E10=Data!$ZI$3,VLOOKUP(D10,Data!$ZW$2:$AAC$13,4,FALSE),IF(E10=Data!$ZI$4,VLOOKUP(D10,Data!$AAC$2:$AAJ$13,4,FALSE),IF(E10=Data!$ZI$5,VLOOKUP(D10,Data!$AAC$26:$AAJ$37,4,FALSE)))))))</f>
        <v/>
      </c>
      <c r="CQ10" s="251">
        <f t="shared" si="23"/>
        <v>0</v>
      </c>
      <c r="CR10" s="251" t="e">
        <f t="shared" si="24"/>
        <v>#VALUE!</v>
      </c>
      <c r="CS10" s="239" t="e">
        <f t="shared" si="25"/>
        <v>#VALUE!</v>
      </c>
      <c r="CT10" s="311">
        <f t="shared" si="26"/>
        <v>0</v>
      </c>
      <c r="CU10" s="239" t="str">
        <f>IF(D10="","",IF(E10=Data!$ZI$2,VLOOKUP(D10,Data!$ZK$2:$ZO$15,5,FALSE),IF(E10=Data!$ZI$1,VLOOKUP(D10,Data!$ZQ$2:$ZU$13,5,FALSE),IF(E10=Data!$ZI$3,VLOOKUP(D10,Data!$ZW$2:$AAD$13,5,FALSE),IF(E10=Data!$ZI$4,VLOOKUP(D10,Data!$AAC$2:$AAK$13,5,FALSE),IF(E10=Data!$ZI$5,VLOOKUP(D10,Data!$AAC$26:$AAK$37,5,FALSE)))))))</f>
        <v/>
      </c>
      <c r="CV10" s="251">
        <f t="shared" si="27"/>
        <v>0</v>
      </c>
      <c r="CW10" s="251" t="e">
        <f t="shared" si="28"/>
        <v>#VALUE!</v>
      </c>
      <c r="CX10" s="239" t="e">
        <f t="shared" si="29"/>
        <v>#VALUE!</v>
      </c>
      <c r="CY10" s="239" t="str">
        <f>IF(D10="","",IF(E10=Data!$ZI$2,VLOOKUP(D10,Data!$ZK$2:$ZP$15,6,FALSE),IF(E10=Data!$ZI$1,VLOOKUP(D10,Data!$ZQ$2:$ZV$13,6,FALSE),IF(E10=Data!$ZI$3,VLOOKUP(D10,Data!$ZW$2:$AAE$13,6,FALSE),IF(E10=Data!$ZI$4,VLOOKUP(D10,Data!$AAC$2:$AAL$13,6,FALSE),IF(E10=Data!$ZI$5,VLOOKUP(D10,Data!$AAC$26:$AAL$37,6,FALSE)))))))</f>
        <v/>
      </c>
      <c r="CZ10" s="251">
        <f t="shared" si="30"/>
        <v>0</v>
      </c>
      <c r="DA10" s="251" t="e">
        <f t="shared" si="31"/>
        <v>#VALUE!</v>
      </c>
      <c r="DB10" s="239" t="e">
        <f t="shared" si="32"/>
        <v>#VALUE!</v>
      </c>
      <c r="DC10" s="311">
        <f t="shared" si="33"/>
        <v>0</v>
      </c>
    </row>
    <row r="11" spans="1:107" ht="30" customHeight="1">
      <c r="A11" s="52">
        <v>4</v>
      </c>
      <c r="B11" s="17"/>
      <c r="C11" s="17"/>
      <c r="D11" s="13"/>
      <c r="E11" s="235"/>
      <c r="F11" s="235"/>
      <c r="G11" s="235"/>
      <c r="H11" s="235"/>
      <c r="I11" s="14"/>
      <c r="J11" s="14"/>
      <c r="K11" s="14"/>
      <c r="L11" s="14"/>
      <c r="M11" s="563"/>
      <c r="N11" s="564"/>
      <c r="O11" s="15"/>
      <c r="P11" s="15"/>
      <c r="Q11" s="15"/>
      <c r="R11" s="15"/>
      <c r="S11" s="15"/>
      <c r="T11" s="13" t="str">
        <f t="shared" si="9"/>
        <v/>
      </c>
      <c r="U11" s="253" t="str">
        <f t="shared" si="10"/>
        <v/>
      </c>
      <c r="V11" s="470"/>
      <c r="W11" s="481" t="b">
        <f t="shared" si="11"/>
        <v>0</v>
      </c>
      <c r="X11" s="230"/>
      <c r="Y11" s="253"/>
      <c r="AA11" s="33" t="str">
        <f>IF(SUM(--ISNUMBER(SEARCH({"Skylight"}, D11))),Data!$AJ$19,Data!$AJ$1)</f>
        <v>WindowType</v>
      </c>
      <c r="AB11" s="33" t="str">
        <f t="shared" si="0"/>
        <v>OK</v>
      </c>
      <c r="AC11" s="33" t="str">
        <f>IF(COUNTIF($K$8:$K$57,Data!KF6),Data!KG6,"")</f>
        <v/>
      </c>
      <c r="AE11" s="239" t="e">
        <f>MATCH(E11, Data!$TB$2:$TB$6,0)</f>
        <v>#N/A</v>
      </c>
      <c r="AF11" s="239" t="e">
        <f>MATCH(F11,Data!$TC$1:$UB$1,0)</f>
        <v>#N/A</v>
      </c>
      <c r="AG11" s="239" t="e">
        <f>INDEX(Data!$TC$2:$UB$6,'Cellular Blinds'!AE11,'Cellular Blinds'!AF11)</f>
        <v>#N/A</v>
      </c>
      <c r="AH11" s="33" t="e">
        <f>VLOOKUP(D11,Data!$RU$2:$RV$15,2,FALSE)</f>
        <v>#N/A</v>
      </c>
      <c r="AI11" s="33" t="b">
        <f>IF(D11=Data!$UT$2,Data!$UU$1,IF(D11=Data!$UT$3,Data!$UV$1,IF(D11=Data!$UT$4,Data!$UW$1,IF(D11=Data!$UT$5,Data!$UX$1,IF(D11=Data!$UT$6,Data!$UY$1,IF(D11=Data!$UT$7,Data!$UZ$1,IF(D11=Data!$UT$8,Data!$VA$1,IF(D11=Data!$UT$9,Data!$VB$1,IF(D11=Data!$UT$10,Data!$VC$1,IF(D11=Data!$UT$11,Data!$VD$1,IF(D11=Data!$UT$12,Data!$VD$22,IF(D11=Data!$UT$13,Data!$VD$22,IF(D11=Data!$UT$14,Data!$UU$13,IF(D11=Data!$UT$15,Data!$UV$13))))))))))))))</f>
        <v>0</v>
      </c>
      <c r="AJ11" s="239" t="e">
        <f>MATCH(D11,Data!$VL$27:$VL$40,0)</f>
        <v>#N/A</v>
      </c>
      <c r="AK11" s="239" t="e">
        <f>MATCH(E11,Data!$VM$26:$VQ$26,0)</f>
        <v>#N/A</v>
      </c>
      <c r="AL11" s="239" t="e">
        <f>INDEX(Data!$VM$27:$VQ$40,'Cellular Blinds'!AJ11,'Cellular Blinds'!AK11)</f>
        <v>#N/A</v>
      </c>
      <c r="AM11" s="239" t="e">
        <f>MATCH(D11, Data!$VL$2:$VL$16,0)</f>
        <v>#N/A</v>
      </c>
      <c r="AN11" s="239" t="e">
        <f>MATCH(E11,Data!$VM$1:$VQ$1,0)</f>
        <v>#N/A</v>
      </c>
      <c r="AO11" s="239" t="e">
        <f>INDEX(Data!$VM$2:$VQ$16,'Cellular Blinds'!AM11,'Cellular Blinds'!AN11)</f>
        <v>#N/A</v>
      </c>
      <c r="AP11" s="33" t="e">
        <f>VLOOKUP(P11,Data!$UW$14:$UX$28,2,FALSE)</f>
        <v>#N/A</v>
      </c>
      <c r="AQ11" s="239" t="e">
        <f>MATCH(E11, Data!$XS$2:$XS$6,0)</f>
        <v>#N/A</v>
      </c>
      <c r="AR11" s="239" t="e">
        <f>MATCH(F11,Data!$XT$1:$YR$1,0)</f>
        <v>#N/A</v>
      </c>
      <c r="AS11" s="239" t="e">
        <f>INDEX(Data!$XT$2:$YR$6,'Cellular Blinds'!AQ11,'Cellular Blinds'!AR11)</f>
        <v>#N/A</v>
      </c>
      <c r="AT11" s="239" t="b">
        <f>IF(D11=Data!$YU$2,Data!$YV$1,IF(D11=Data!$YU$3,Data!$YW$1,IF(D11=Data!$YU$4,Data!$YX$1,IF(D11=Data!$YU$5,Data!$YY$1,IF(D11=Data!$YU$6,Data!$YZ$1,IF(D11=Data!$YU$7,Data!$ZA$1,IF(D11=Data!$YU$8,Data!$ZB$1,IF(D11=Data!$YU$9,Data!$ZC$1,IF(D11=Data!$YU$10,Data!$ZD$1,IF(D11=Data!$YU$11,Data!$ZE$1,IF(D11=Data!$YU$12,Data!$ZE$1,IF(D11=Data!$YU$13,Data!$ZE$1,IF(D11=Data!$YU$14,Data!$ZG$11,IF(D11=Data!$YU$15,Data!$ZF$11))))))))))))))</f>
        <v>0</v>
      </c>
      <c r="AU11" s="239" t="str">
        <f>IF(D11="","",IF(E11=Data!$ZI$2,VLOOKUP(D11,Data!$ZK$2:$ZL$15,2,FALSE),IF(E11=Data!$ZI$1,VLOOKUP(D11,Data!$ZQ$2:$ZR$13,2,FALSE),IF(E11=Data!$ZI$3,VLOOKUP(D11,Data!$ZW$2:$ZX$13,2,FALSE),IF(E11=Data!$ZI$4,VLOOKUP(D11,Data!$AAC$2:$AAD$13,2,FALSE),IF(E11=Data!$ZI$5,VLOOKUP(D11,Data!$AAC$26:$AAD$37,2,FALSE)))))))</f>
        <v/>
      </c>
      <c r="AV11" s="251" t="str">
        <f t="shared" si="12"/>
        <v/>
      </c>
      <c r="AW11" s="251" t="str">
        <f t="shared" si="13"/>
        <v/>
      </c>
      <c r="AX11" s="239" t="str">
        <f t="shared" si="14"/>
        <v/>
      </c>
      <c r="BA11" s="33" t="str">
        <f t="shared" si="15"/>
        <v>FittingBoth</v>
      </c>
      <c r="BH11" t="s">
        <v>1176</v>
      </c>
      <c r="BI11" t="s">
        <v>69</v>
      </c>
      <c r="BJ11"/>
      <c r="BK11"/>
      <c r="BL11"/>
      <c r="BM11"/>
      <c r="BN11" s="475" t="str">
        <f t="shared" si="1"/>
        <v>UChannelNA</v>
      </c>
      <c r="BO11" s="475" t="e">
        <f t="shared" si="16"/>
        <v>#N/A</v>
      </c>
      <c r="BP11" s="475" t="str">
        <f t="shared" si="17"/>
        <v>No</v>
      </c>
      <c r="BQ11" s="475" t="str">
        <f t="shared" si="18"/>
        <v>No</v>
      </c>
      <c r="BR11" s="475" t="e">
        <f t="shared" si="2"/>
        <v>#N/A</v>
      </c>
      <c r="BS11" s="475" t="s">
        <v>1201</v>
      </c>
      <c r="BT11" s="475" t="s">
        <v>22</v>
      </c>
      <c r="BU11" s="172">
        <f t="shared" si="19"/>
        <v>2</v>
      </c>
      <c r="BX11" s="33" t="s">
        <v>332</v>
      </c>
      <c r="BY11" s="33" t="str">
        <f>$CA$7</f>
        <v>ChannelNo</v>
      </c>
      <c r="BZ11" t="s">
        <v>2344</v>
      </c>
      <c r="CB11" s="33" t="e">
        <f t="shared" si="3"/>
        <v>#N/A</v>
      </c>
      <c r="CC11" s="172" t="b">
        <f t="shared" si="4"/>
        <v>0</v>
      </c>
      <c r="CD11" s="172">
        <f t="shared" si="5"/>
        <v>0</v>
      </c>
      <c r="CE11" s="172">
        <f t="shared" si="6"/>
        <v>0</v>
      </c>
      <c r="CF11" s="172">
        <f t="shared" si="7"/>
        <v>0</v>
      </c>
      <c r="CG11" s="172">
        <f t="shared" si="8"/>
        <v>0</v>
      </c>
      <c r="CL11" s="239" t="str">
        <f>IF(D11="","",IF(E11=Data!$ZI$2,VLOOKUP(D11,Data!$ZK$2:$ZP$15,3,FALSE),IF(E11=Data!$ZI$1,VLOOKUP(D11,Data!$ZQ$2:$ZS$13,3,FALSE),IF(E11=Data!$ZI$3,VLOOKUP(D11,Data!$ZW$2:$AAB$13,3,FALSE),IF(E11=Data!$ZI$4,VLOOKUP(D11,Data!$AAC$2:$AAI$13,3,FALSE),IF(E11=Data!$ZI$5,VLOOKUP(D11,Data!$AAC$26:$AAI$37,3,FALSE)))))))</f>
        <v/>
      </c>
      <c r="CM11" s="251">
        <f t="shared" si="20"/>
        <v>0</v>
      </c>
      <c r="CN11" s="251" t="e">
        <f t="shared" si="21"/>
        <v>#VALUE!</v>
      </c>
      <c r="CO11" s="239" t="e">
        <f t="shared" si="22"/>
        <v>#VALUE!</v>
      </c>
      <c r="CP11" s="239" t="str">
        <f>IF(D11="","",IF(E11=Data!$ZI$2,VLOOKUP(D11,Data!$ZK$2:$ZN$15,4,FALSE),IF(E11=Data!$ZI$1,VLOOKUP(D11,Data!$ZQ$2:$ZT$13,4,FALSE),IF(E11=Data!$ZI$3,VLOOKUP(D11,Data!$ZW$2:$AAC$13,4,FALSE),IF(E11=Data!$ZI$4,VLOOKUP(D11,Data!$AAC$2:$AAJ$13,4,FALSE),IF(E11=Data!$ZI$5,VLOOKUP(D11,Data!$AAC$26:$AAJ$37,4,FALSE)))))))</f>
        <v/>
      </c>
      <c r="CQ11" s="251">
        <f t="shared" si="23"/>
        <v>0</v>
      </c>
      <c r="CR11" s="251" t="e">
        <f t="shared" si="24"/>
        <v>#VALUE!</v>
      </c>
      <c r="CS11" s="239" t="e">
        <f t="shared" si="25"/>
        <v>#VALUE!</v>
      </c>
      <c r="CT11" s="311">
        <f t="shared" si="26"/>
        <v>0</v>
      </c>
      <c r="CU11" s="239" t="str">
        <f>IF(D11="","",IF(E11=Data!$ZI$2,VLOOKUP(D11,Data!$ZK$2:$ZO$15,5,FALSE),IF(E11=Data!$ZI$1,VLOOKUP(D11,Data!$ZQ$2:$ZU$13,5,FALSE),IF(E11=Data!$ZI$3,VLOOKUP(D11,Data!$ZW$2:$AAD$13,5,FALSE),IF(E11=Data!$ZI$4,VLOOKUP(D11,Data!$AAC$2:$AAK$13,5,FALSE),IF(E11=Data!$ZI$5,VLOOKUP(D11,Data!$AAC$26:$AAK$37,5,FALSE)))))))</f>
        <v/>
      </c>
      <c r="CV11" s="251">
        <f t="shared" si="27"/>
        <v>0</v>
      </c>
      <c r="CW11" s="251" t="e">
        <f t="shared" si="28"/>
        <v>#VALUE!</v>
      </c>
      <c r="CX11" s="239" t="e">
        <f t="shared" si="29"/>
        <v>#VALUE!</v>
      </c>
      <c r="CY11" s="239" t="str">
        <f>IF(D11="","",IF(E11=Data!$ZI$2,VLOOKUP(D11,Data!$ZK$2:$ZP$15,6,FALSE),IF(E11=Data!$ZI$1,VLOOKUP(D11,Data!$ZQ$2:$ZV$13,6,FALSE),IF(E11=Data!$ZI$3,VLOOKUP(D11,Data!$ZW$2:$AAE$13,6,FALSE),IF(E11=Data!$ZI$4,VLOOKUP(D11,Data!$AAC$2:$AAL$13,6,FALSE),IF(E11=Data!$ZI$5,VLOOKUP(D11,Data!$AAC$26:$AAL$37,6,FALSE)))))))</f>
        <v/>
      </c>
      <c r="CZ11" s="251">
        <f t="shared" si="30"/>
        <v>0</v>
      </c>
      <c r="DA11" s="251" t="e">
        <f t="shared" si="31"/>
        <v>#VALUE!</v>
      </c>
      <c r="DB11" s="239" t="e">
        <f t="shared" si="32"/>
        <v>#VALUE!</v>
      </c>
      <c r="DC11" s="311">
        <f t="shared" si="33"/>
        <v>0</v>
      </c>
    </row>
    <row r="12" spans="1:107" ht="30" customHeight="1">
      <c r="A12" s="52">
        <v>5</v>
      </c>
      <c r="B12" s="17"/>
      <c r="C12" s="17"/>
      <c r="D12" s="13"/>
      <c r="E12" s="235"/>
      <c r="F12" s="235"/>
      <c r="G12" s="235"/>
      <c r="H12" s="235"/>
      <c r="I12" s="14"/>
      <c r="J12" s="14"/>
      <c r="K12" s="14"/>
      <c r="L12" s="14"/>
      <c r="M12" s="563"/>
      <c r="N12" s="564"/>
      <c r="O12" s="15"/>
      <c r="P12" s="15"/>
      <c r="Q12" s="15"/>
      <c r="R12" s="15"/>
      <c r="S12" s="15"/>
      <c r="T12" s="13" t="str">
        <f t="shared" si="9"/>
        <v/>
      </c>
      <c r="U12" s="253" t="str">
        <f t="shared" si="10"/>
        <v/>
      </c>
      <c r="V12" s="470"/>
      <c r="W12" s="481" t="b">
        <f t="shared" si="11"/>
        <v>0</v>
      </c>
      <c r="X12" s="230"/>
      <c r="Y12" s="253"/>
      <c r="AA12" s="33" t="str">
        <f>IF(SUM(--ISNUMBER(SEARCH({"Skylight"}, D12))),Data!$AJ$19,Data!$AJ$1)</f>
        <v>WindowType</v>
      </c>
      <c r="AB12" s="33" t="str">
        <f t="shared" si="0"/>
        <v>OK</v>
      </c>
      <c r="AC12" s="33" t="str">
        <f>IF(COUNTIF($K$8:$K$57,Data!KF7),Data!KG7,"")</f>
        <v/>
      </c>
      <c r="AE12" s="239" t="e">
        <f>MATCH(E12, Data!$TB$2:$TB$6,0)</f>
        <v>#N/A</v>
      </c>
      <c r="AF12" s="239" t="e">
        <f>MATCH(F12,Data!$TC$1:$UB$1,0)</f>
        <v>#N/A</v>
      </c>
      <c r="AG12" s="239" t="e">
        <f>INDEX(Data!$TC$2:$UB$6,'Cellular Blinds'!AE12,'Cellular Blinds'!AF12)</f>
        <v>#N/A</v>
      </c>
      <c r="AH12" s="33" t="e">
        <f>VLOOKUP(D12,Data!$RU$2:$RV$15,2,FALSE)</f>
        <v>#N/A</v>
      </c>
      <c r="AI12" s="33" t="b">
        <f>IF(D12=Data!$UT$2,Data!$UU$1,IF(D12=Data!$UT$3,Data!$UV$1,IF(D12=Data!$UT$4,Data!$UW$1,IF(D12=Data!$UT$5,Data!$UX$1,IF(D12=Data!$UT$6,Data!$UY$1,IF(D12=Data!$UT$7,Data!$UZ$1,IF(D12=Data!$UT$8,Data!$VA$1,IF(D12=Data!$UT$9,Data!$VB$1,IF(D12=Data!$UT$10,Data!$VC$1,IF(D12=Data!$UT$11,Data!$VD$1,IF(D12=Data!$UT$12,Data!$VD$22,IF(D12=Data!$UT$13,Data!$VD$22,IF(D12=Data!$UT$14,Data!$UU$13,IF(D12=Data!$UT$15,Data!$UV$13))))))))))))))</f>
        <v>0</v>
      </c>
      <c r="AJ12" s="239" t="e">
        <f>MATCH(D12,Data!$VL$27:$VL$40,0)</f>
        <v>#N/A</v>
      </c>
      <c r="AK12" s="239" t="e">
        <f>MATCH(E12,Data!$VM$26:$VQ$26,0)</f>
        <v>#N/A</v>
      </c>
      <c r="AL12" s="239" t="e">
        <f>INDEX(Data!$VM$27:$VQ$40,'Cellular Blinds'!AJ12,'Cellular Blinds'!AK12)</f>
        <v>#N/A</v>
      </c>
      <c r="AM12" s="239" t="e">
        <f>MATCH(D12, Data!$VL$2:$VL$16,0)</f>
        <v>#N/A</v>
      </c>
      <c r="AN12" s="239" t="e">
        <f>MATCH(E12,Data!$VM$1:$VQ$1,0)</f>
        <v>#N/A</v>
      </c>
      <c r="AO12" s="239" t="e">
        <f>INDEX(Data!$VM$2:$VQ$16,'Cellular Blinds'!AM12,'Cellular Blinds'!AN12)</f>
        <v>#N/A</v>
      </c>
      <c r="AP12" s="33" t="e">
        <f>VLOOKUP(P12,Data!$UW$14:$UX$28,2,FALSE)</f>
        <v>#N/A</v>
      </c>
      <c r="AQ12" s="239" t="e">
        <f>MATCH(E12, Data!$XS$2:$XS$6,0)</f>
        <v>#N/A</v>
      </c>
      <c r="AR12" s="239" t="e">
        <f>MATCH(F12,Data!$XT$1:$YR$1,0)</f>
        <v>#N/A</v>
      </c>
      <c r="AS12" s="239" t="e">
        <f>INDEX(Data!$XT$2:$YR$6,'Cellular Blinds'!AQ12,'Cellular Blinds'!AR12)</f>
        <v>#N/A</v>
      </c>
      <c r="AT12" s="239" t="b">
        <f>IF(D12=Data!$YU$2,Data!$YV$1,IF(D12=Data!$YU$3,Data!$YW$1,IF(D12=Data!$YU$4,Data!$YX$1,IF(D12=Data!$YU$5,Data!$YY$1,IF(D12=Data!$YU$6,Data!$YZ$1,IF(D12=Data!$YU$7,Data!$ZA$1,IF(D12=Data!$YU$8,Data!$ZB$1,IF(D12=Data!$YU$9,Data!$ZC$1,IF(D12=Data!$YU$10,Data!$ZD$1,IF(D12=Data!$YU$11,Data!$ZE$1,IF(D12=Data!$YU$12,Data!$ZE$1,IF(D12=Data!$YU$13,Data!$ZE$1,IF(D12=Data!$YU$14,Data!$ZG$11,IF(D12=Data!$YU$15,Data!$ZF$11))))))))))))))</f>
        <v>0</v>
      </c>
      <c r="AU12" s="239" t="str">
        <f>IF(D12="","",IF(E12=Data!$ZI$2,VLOOKUP(D12,Data!$ZK$2:$ZL$15,2,FALSE),IF(E12=Data!$ZI$1,VLOOKUP(D12,Data!$ZQ$2:$ZR$13,2,FALSE),IF(E12=Data!$ZI$3,VLOOKUP(D12,Data!$ZW$2:$ZX$13,2,FALSE),IF(E12=Data!$ZI$4,VLOOKUP(D12,Data!$AAC$2:$AAD$13,2,FALSE),IF(E12=Data!$ZI$5,VLOOKUP(D12,Data!$AAC$26:$AAD$37,2,FALSE)))))))</f>
        <v/>
      </c>
      <c r="AV12" s="251" t="str">
        <f t="shared" si="12"/>
        <v/>
      </c>
      <c r="AW12" s="251" t="str">
        <f t="shared" si="13"/>
        <v/>
      </c>
      <c r="AX12" s="239" t="str">
        <f t="shared" si="14"/>
        <v/>
      </c>
      <c r="BA12" s="33" t="str">
        <f t="shared" si="15"/>
        <v>FittingBoth</v>
      </c>
      <c r="BH12" t="s">
        <v>2136</v>
      </c>
      <c r="BI12" t="s">
        <v>69</v>
      </c>
      <c r="BJ12"/>
      <c r="BK12"/>
      <c r="BL12"/>
      <c r="BM12"/>
      <c r="BN12" s="475" t="str">
        <f t="shared" si="1"/>
        <v>UChannelNA</v>
      </c>
      <c r="BO12" s="475" t="e">
        <f t="shared" si="16"/>
        <v>#N/A</v>
      </c>
      <c r="BP12" s="475" t="str">
        <f t="shared" si="17"/>
        <v>No</v>
      </c>
      <c r="BQ12" s="475" t="str">
        <f t="shared" si="18"/>
        <v>No</v>
      </c>
      <c r="BR12" s="475" t="e">
        <f t="shared" si="2"/>
        <v>#N/A</v>
      </c>
      <c r="BS12" s="475" t="s">
        <v>1212</v>
      </c>
      <c r="BT12" s="475" t="s">
        <v>69</v>
      </c>
      <c r="BU12" s="172">
        <f t="shared" si="19"/>
        <v>2</v>
      </c>
      <c r="CB12" s="33" t="e">
        <f t="shared" si="3"/>
        <v>#N/A</v>
      </c>
      <c r="CC12" s="172" t="b">
        <f t="shared" si="4"/>
        <v>0</v>
      </c>
      <c r="CD12" s="172">
        <f t="shared" si="5"/>
        <v>0</v>
      </c>
      <c r="CE12" s="172">
        <f t="shared" si="6"/>
        <v>0</v>
      </c>
      <c r="CF12" s="172">
        <f t="shared" si="7"/>
        <v>0</v>
      </c>
      <c r="CG12" s="172">
        <f t="shared" si="8"/>
        <v>0</v>
      </c>
      <c r="CL12" s="239" t="str">
        <f>IF(D12="","",IF(E12=Data!$ZI$2,VLOOKUP(D12,Data!$ZK$2:$ZP$15,3,FALSE),IF(E12=Data!$ZI$1,VLOOKUP(D12,Data!$ZQ$2:$ZS$13,3,FALSE),IF(E12=Data!$ZI$3,VLOOKUP(D12,Data!$ZW$2:$AAB$13,3,FALSE),IF(E12=Data!$ZI$4,VLOOKUP(D12,Data!$AAC$2:$AAI$13,3,FALSE),IF(E12=Data!$ZI$5,VLOOKUP(D12,Data!$AAC$26:$AAI$37,3,FALSE)))))))</f>
        <v/>
      </c>
      <c r="CM12" s="251">
        <f t="shared" si="20"/>
        <v>0</v>
      </c>
      <c r="CN12" s="251" t="e">
        <f t="shared" si="21"/>
        <v>#VALUE!</v>
      </c>
      <c r="CO12" s="239" t="e">
        <f t="shared" si="22"/>
        <v>#VALUE!</v>
      </c>
      <c r="CP12" s="239" t="str">
        <f>IF(D12="","",IF(E12=Data!$ZI$2,VLOOKUP(D12,Data!$ZK$2:$ZN$15,4,FALSE),IF(E12=Data!$ZI$1,VLOOKUP(D12,Data!$ZQ$2:$ZT$13,4,FALSE),IF(E12=Data!$ZI$3,VLOOKUP(D12,Data!$ZW$2:$AAC$13,4,FALSE),IF(E12=Data!$ZI$4,VLOOKUP(D12,Data!$AAC$2:$AAJ$13,4,FALSE),IF(E12=Data!$ZI$5,VLOOKUP(D12,Data!$AAC$26:$AAJ$37,4,FALSE)))))))</f>
        <v/>
      </c>
      <c r="CQ12" s="251">
        <f t="shared" si="23"/>
        <v>0</v>
      </c>
      <c r="CR12" s="251" t="e">
        <f t="shared" si="24"/>
        <v>#VALUE!</v>
      </c>
      <c r="CS12" s="239" t="e">
        <f t="shared" si="25"/>
        <v>#VALUE!</v>
      </c>
      <c r="CT12" s="311">
        <f t="shared" si="26"/>
        <v>0</v>
      </c>
      <c r="CU12" s="239" t="str">
        <f>IF(D12="","",IF(E12=Data!$ZI$2,VLOOKUP(D12,Data!$ZK$2:$ZO$15,5,FALSE),IF(E12=Data!$ZI$1,VLOOKUP(D12,Data!$ZQ$2:$ZU$13,5,FALSE),IF(E12=Data!$ZI$3,VLOOKUP(D12,Data!$ZW$2:$AAD$13,5,FALSE),IF(E12=Data!$ZI$4,VLOOKUP(D12,Data!$AAC$2:$AAK$13,5,FALSE),IF(E12=Data!$ZI$5,VLOOKUP(D12,Data!$AAC$26:$AAK$37,5,FALSE)))))))</f>
        <v/>
      </c>
      <c r="CV12" s="251">
        <f t="shared" si="27"/>
        <v>0</v>
      </c>
      <c r="CW12" s="251" t="e">
        <f t="shared" si="28"/>
        <v>#VALUE!</v>
      </c>
      <c r="CX12" s="239" t="e">
        <f t="shared" si="29"/>
        <v>#VALUE!</v>
      </c>
      <c r="CY12" s="239" t="str">
        <f>IF(D12="","",IF(E12=Data!$ZI$2,VLOOKUP(D12,Data!$ZK$2:$ZP$15,6,FALSE),IF(E12=Data!$ZI$1,VLOOKUP(D12,Data!$ZQ$2:$ZV$13,6,FALSE),IF(E12=Data!$ZI$3,VLOOKUP(D12,Data!$ZW$2:$AAE$13,6,FALSE),IF(E12=Data!$ZI$4,VLOOKUP(D12,Data!$AAC$2:$AAL$13,6,FALSE),IF(E12=Data!$ZI$5,VLOOKUP(D12,Data!$AAC$26:$AAL$37,6,FALSE)))))))</f>
        <v/>
      </c>
      <c r="CZ12" s="251">
        <f t="shared" si="30"/>
        <v>0</v>
      </c>
      <c r="DA12" s="251" t="e">
        <f t="shared" si="31"/>
        <v>#VALUE!</v>
      </c>
      <c r="DB12" s="239" t="e">
        <f t="shared" si="32"/>
        <v>#VALUE!</v>
      </c>
      <c r="DC12" s="311">
        <f t="shared" si="33"/>
        <v>0</v>
      </c>
    </row>
    <row r="13" spans="1:107" ht="30" customHeight="1">
      <c r="A13" s="52">
        <v>6</v>
      </c>
      <c r="B13" s="17"/>
      <c r="C13" s="17"/>
      <c r="D13" s="13"/>
      <c r="E13" s="235"/>
      <c r="F13" s="235"/>
      <c r="G13" s="235"/>
      <c r="H13" s="235"/>
      <c r="I13" s="14"/>
      <c r="J13" s="14"/>
      <c r="K13" s="14"/>
      <c r="L13" s="14"/>
      <c r="M13" s="563"/>
      <c r="N13" s="564"/>
      <c r="O13" s="15"/>
      <c r="P13" s="15"/>
      <c r="Q13" s="15"/>
      <c r="R13" s="15"/>
      <c r="S13" s="15"/>
      <c r="T13" s="13" t="str">
        <f t="shared" si="9"/>
        <v/>
      </c>
      <c r="U13" s="253" t="str">
        <f t="shared" si="10"/>
        <v/>
      </c>
      <c r="V13" s="470"/>
      <c r="W13" s="481" t="b">
        <f t="shared" si="11"/>
        <v>0</v>
      </c>
      <c r="X13" s="230"/>
      <c r="Y13" s="253"/>
      <c r="AA13" s="33" t="str">
        <f>IF(SUM(--ISNUMBER(SEARCH({"Skylight"}, D13))),Data!$AJ$19,Data!$AJ$1)</f>
        <v>WindowType</v>
      </c>
      <c r="AB13" s="33" t="str">
        <f t="shared" si="0"/>
        <v>OK</v>
      </c>
      <c r="AC13" s="33" t="str">
        <f>IF(COUNTIF($K$8:$K$57,Data!KF8),Data!KG8,"")</f>
        <v/>
      </c>
      <c r="AE13" s="239" t="e">
        <f>MATCH(E13, Data!$TB$2:$TB$6,0)</f>
        <v>#N/A</v>
      </c>
      <c r="AF13" s="239" t="e">
        <f>MATCH(F13,Data!$TC$1:$UB$1,0)</f>
        <v>#N/A</v>
      </c>
      <c r="AG13" s="239" t="e">
        <f>INDEX(Data!$TC$2:$UB$6,'Cellular Blinds'!AE13,'Cellular Blinds'!AF13)</f>
        <v>#N/A</v>
      </c>
      <c r="AH13" s="33" t="e">
        <f>VLOOKUP(D13,Data!$RU$2:$RV$15,2,FALSE)</f>
        <v>#N/A</v>
      </c>
      <c r="AI13" s="33" t="b">
        <f>IF(D13=Data!$UT$2,Data!$UU$1,IF(D13=Data!$UT$3,Data!$UV$1,IF(D13=Data!$UT$4,Data!$UW$1,IF(D13=Data!$UT$5,Data!$UX$1,IF(D13=Data!$UT$6,Data!$UY$1,IF(D13=Data!$UT$7,Data!$UZ$1,IF(D13=Data!$UT$8,Data!$VA$1,IF(D13=Data!$UT$9,Data!$VB$1,IF(D13=Data!$UT$10,Data!$VC$1,IF(D13=Data!$UT$11,Data!$VD$1,IF(D13=Data!$UT$12,Data!$VD$22,IF(D13=Data!$UT$13,Data!$VD$22,IF(D13=Data!$UT$14,Data!$UU$13,IF(D13=Data!$UT$15,Data!$UV$13))))))))))))))</f>
        <v>0</v>
      </c>
      <c r="AJ13" s="239" t="e">
        <f>MATCH(D13,Data!$VL$27:$VL$40,0)</f>
        <v>#N/A</v>
      </c>
      <c r="AK13" s="239" t="e">
        <f>MATCH(E13,Data!$VM$26:$VQ$26,0)</f>
        <v>#N/A</v>
      </c>
      <c r="AL13" s="239" t="e">
        <f>INDEX(Data!$VM$27:$VQ$40,'Cellular Blinds'!AJ13,'Cellular Blinds'!AK13)</f>
        <v>#N/A</v>
      </c>
      <c r="AM13" s="239" t="e">
        <f>MATCH(D13, Data!$VL$2:$VL$16,0)</f>
        <v>#N/A</v>
      </c>
      <c r="AN13" s="239" t="e">
        <f>MATCH(E13,Data!$VM$1:$VQ$1,0)</f>
        <v>#N/A</v>
      </c>
      <c r="AO13" s="239" t="e">
        <f>INDEX(Data!$VM$2:$VQ$16,'Cellular Blinds'!AM13,'Cellular Blinds'!AN13)</f>
        <v>#N/A</v>
      </c>
      <c r="AP13" s="33" t="e">
        <f>VLOOKUP(P13,Data!$UW$14:$UX$28,2,FALSE)</f>
        <v>#N/A</v>
      </c>
      <c r="AQ13" s="239" t="e">
        <f>MATCH(E13, Data!$XS$2:$XS$6,0)</f>
        <v>#N/A</v>
      </c>
      <c r="AR13" s="239" t="e">
        <f>MATCH(F13,Data!$XT$1:$YR$1,0)</f>
        <v>#N/A</v>
      </c>
      <c r="AS13" s="239" t="e">
        <f>INDEX(Data!$XT$2:$YR$6,'Cellular Blinds'!AQ13,'Cellular Blinds'!AR13)</f>
        <v>#N/A</v>
      </c>
      <c r="AT13" s="239" t="b">
        <f>IF(D13=Data!$YU$2,Data!$YV$1,IF(D13=Data!$YU$3,Data!$YW$1,IF(D13=Data!$YU$4,Data!$YX$1,IF(D13=Data!$YU$5,Data!$YY$1,IF(D13=Data!$YU$6,Data!$YZ$1,IF(D13=Data!$YU$7,Data!$ZA$1,IF(D13=Data!$YU$8,Data!$ZB$1,IF(D13=Data!$YU$9,Data!$ZC$1,IF(D13=Data!$YU$10,Data!$ZD$1,IF(D13=Data!$YU$11,Data!$ZE$1,IF(D13=Data!$YU$12,Data!$ZE$1,IF(D13=Data!$YU$13,Data!$ZE$1,IF(D13=Data!$YU$14,Data!$ZG$11,IF(D13=Data!$YU$15,Data!$ZF$11))))))))))))))</f>
        <v>0</v>
      </c>
      <c r="AU13" s="239" t="str">
        <f>IF(D13="","",IF(E13=Data!$ZI$2,VLOOKUP(D13,Data!$ZK$2:$ZL$15,2,FALSE),IF(E13=Data!$ZI$1,VLOOKUP(D13,Data!$ZQ$2:$ZR$13,2,FALSE),IF(E13=Data!$ZI$3,VLOOKUP(D13,Data!$ZW$2:$ZX$13,2,FALSE),IF(E13=Data!$ZI$4,VLOOKUP(D13,Data!$AAC$2:$AAD$13,2,FALSE),IF(E13=Data!$ZI$5,VLOOKUP(D13,Data!$AAC$26:$AAD$37,2,FALSE)))))))</f>
        <v/>
      </c>
      <c r="AV13" s="251" t="str">
        <f t="shared" si="12"/>
        <v/>
      </c>
      <c r="AW13" s="251" t="str">
        <f t="shared" si="13"/>
        <v/>
      </c>
      <c r="AX13" s="239" t="str">
        <f t="shared" si="14"/>
        <v/>
      </c>
      <c r="BA13" s="33" t="str">
        <f t="shared" si="15"/>
        <v>FittingBoth</v>
      </c>
      <c r="BN13" s="475" t="str">
        <f t="shared" si="1"/>
        <v>UChannelNA</v>
      </c>
      <c r="BO13" s="475" t="e">
        <f t="shared" si="16"/>
        <v>#N/A</v>
      </c>
      <c r="BP13" s="475" t="str">
        <f t="shared" si="17"/>
        <v>No</v>
      </c>
      <c r="BQ13" s="475" t="str">
        <f t="shared" si="18"/>
        <v>No</v>
      </c>
      <c r="BR13" s="475" t="e">
        <f t="shared" si="2"/>
        <v>#N/A</v>
      </c>
      <c r="BS13" s="475" t="s">
        <v>1184</v>
      </c>
      <c r="BT13" s="475" t="s">
        <v>69</v>
      </c>
      <c r="BU13" s="172">
        <f t="shared" si="19"/>
        <v>2</v>
      </c>
      <c r="CB13" s="33" t="e">
        <f t="shared" si="3"/>
        <v>#N/A</v>
      </c>
      <c r="CC13" s="172" t="b">
        <f t="shared" si="4"/>
        <v>0</v>
      </c>
      <c r="CD13" s="172">
        <f t="shared" si="5"/>
        <v>0</v>
      </c>
      <c r="CE13" s="172">
        <f t="shared" si="6"/>
        <v>0</v>
      </c>
      <c r="CF13" s="172">
        <f t="shared" si="7"/>
        <v>0</v>
      </c>
      <c r="CG13" s="172">
        <f t="shared" si="8"/>
        <v>0</v>
      </c>
      <c r="CL13" s="239" t="str">
        <f>IF(D13="","",IF(E13=Data!$ZI$2,VLOOKUP(D13,Data!$ZK$2:$ZP$15,3,FALSE),IF(E13=Data!$ZI$1,VLOOKUP(D13,Data!$ZQ$2:$ZS$13,3,FALSE),IF(E13=Data!$ZI$3,VLOOKUP(D13,Data!$ZW$2:$AAB$13,3,FALSE),IF(E13=Data!$ZI$4,VLOOKUP(D13,Data!$AAC$2:$AAI$13,3,FALSE),IF(E13=Data!$ZI$5,VLOOKUP(D13,Data!$AAC$26:$AAI$37,3,FALSE)))))))</f>
        <v/>
      </c>
      <c r="CM13" s="251">
        <f t="shared" si="20"/>
        <v>0</v>
      </c>
      <c r="CN13" s="251" t="e">
        <f t="shared" si="21"/>
        <v>#VALUE!</v>
      </c>
      <c r="CO13" s="239" t="e">
        <f t="shared" si="22"/>
        <v>#VALUE!</v>
      </c>
      <c r="CP13" s="239" t="str">
        <f>IF(D13="","",IF(E13=Data!$ZI$2,VLOOKUP(D13,Data!$ZK$2:$ZN$15,4,FALSE),IF(E13=Data!$ZI$1,VLOOKUP(D13,Data!$ZQ$2:$ZT$13,4,FALSE),IF(E13=Data!$ZI$3,VLOOKUP(D13,Data!$ZW$2:$AAC$13,4,FALSE),IF(E13=Data!$ZI$4,VLOOKUP(D13,Data!$AAC$2:$AAJ$13,4,FALSE),IF(E13=Data!$ZI$5,VLOOKUP(D13,Data!$AAC$26:$AAJ$37,4,FALSE)))))))</f>
        <v/>
      </c>
      <c r="CQ13" s="251">
        <f t="shared" si="23"/>
        <v>0</v>
      </c>
      <c r="CR13" s="251" t="e">
        <f t="shared" si="24"/>
        <v>#VALUE!</v>
      </c>
      <c r="CS13" s="239" t="e">
        <f t="shared" si="25"/>
        <v>#VALUE!</v>
      </c>
      <c r="CT13" s="311">
        <f t="shared" si="26"/>
        <v>0</v>
      </c>
      <c r="CU13" s="239" t="str">
        <f>IF(D13="","",IF(E13=Data!$ZI$2,VLOOKUP(D13,Data!$ZK$2:$ZO$15,5,FALSE),IF(E13=Data!$ZI$1,VLOOKUP(D13,Data!$ZQ$2:$ZU$13,5,FALSE),IF(E13=Data!$ZI$3,VLOOKUP(D13,Data!$ZW$2:$AAD$13,5,FALSE),IF(E13=Data!$ZI$4,VLOOKUP(D13,Data!$AAC$2:$AAK$13,5,FALSE),IF(E13=Data!$ZI$5,VLOOKUP(D13,Data!$AAC$26:$AAK$37,5,FALSE)))))))</f>
        <v/>
      </c>
      <c r="CV13" s="251">
        <f t="shared" si="27"/>
        <v>0</v>
      </c>
      <c r="CW13" s="251" t="e">
        <f t="shared" si="28"/>
        <v>#VALUE!</v>
      </c>
      <c r="CX13" s="239" t="e">
        <f t="shared" si="29"/>
        <v>#VALUE!</v>
      </c>
      <c r="CY13" s="239" t="str">
        <f>IF(D13="","",IF(E13=Data!$ZI$2,VLOOKUP(D13,Data!$ZK$2:$ZP$15,6,FALSE),IF(E13=Data!$ZI$1,VLOOKUP(D13,Data!$ZQ$2:$ZV$13,6,FALSE),IF(E13=Data!$ZI$3,VLOOKUP(D13,Data!$ZW$2:$AAE$13,6,FALSE),IF(E13=Data!$ZI$4,VLOOKUP(D13,Data!$AAC$2:$AAL$13,6,FALSE),IF(E13=Data!$ZI$5,VLOOKUP(D13,Data!$AAC$26:$AAL$37,6,FALSE)))))))</f>
        <v/>
      </c>
      <c r="CZ13" s="251">
        <f t="shared" si="30"/>
        <v>0</v>
      </c>
      <c r="DA13" s="251" t="e">
        <f t="shared" si="31"/>
        <v>#VALUE!</v>
      </c>
      <c r="DB13" s="239" t="e">
        <f t="shared" si="32"/>
        <v>#VALUE!</v>
      </c>
      <c r="DC13" s="311">
        <f t="shared" si="33"/>
        <v>0</v>
      </c>
    </row>
    <row r="14" spans="1:107" ht="30" customHeight="1">
      <c r="A14" s="52">
        <v>7</v>
      </c>
      <c r="B14" s="20"/>
      <c r="C14" s="17"/>
      <c r="D14" s="19"/>
      <c r="E14" s="235"/>
      <c r="F14" s="235"/>
      <c r="G14" s="235"/>
      <c r="H14" s="235"/>
      <c r="I14" s="14"/>
      <c r="J14" s="14"/>
      <c r="K14" s="14"/>
      <c r="L14" s="14"/>
      <c r="M14" s="563"/>
      <c r="N14" s="564"/>
      <c r="O14" s="15"/>
      <c r="P14" s="15"/>
      <c r="Q14" s="15"/>
      <c r="R14" s="15"/>
      <c r="S14" s="15"/>
      <c r="T14" s="13" t="str">
        <f t="shared" si="9"/>
        <v/>
      </c>
      <c r="U14" s="253" t="str">
        <f t="shared" si="10"/>
        <v/>
      </c>
      <c r="V14" s="470"/>
      <c r="W14" s="481" t="b">
        <f t="shared" si="11"/>
        <v>0</v>
      </c>
      <c r="X14" s="230"/>
      <c r="Y14" s="253"/>
      <c r="AA14" s="33" t="str">
        <f>IF(SUM(--ISNUMBER(SEARCH({"Skylight"}, D14))),Data!$AJ$19,Data!$AJ$1)</f>
        <v>WindowType</v>
      </c>
      <c r="AB14" s="33" t="str">
        <f t="shared" si="0"/>
        <v>OK</v>
      </c>
      <c r="AC14" s="33" t="str">
        <f>IF(COUNTIF($K$8:$K$57,Data!KF9),Data!KG9,"")</f>
        <v/>
      </c>
      <c r="AE14" s="239" t="e">
        <f>MATCH(E14, Data!$TB$2:$TB$6,0)</f>
        <v>#N/A</v>
      </c>
      <c r="AF14" s="239" t="e">
        <f>MATCH(F14,Data!$TC$1:$UB$1,0)</f>
        <v>#N/A</v>
      </c>
      <c r="AG14" s="239" t="e">
        <f>INDEX(Data!$TC$2:$UB$6,'Cellular Blinds'!AE14,'Cellular Blinds'!AF14)</f>
        <v>#N/A</v>
      </c>
      <c r="AH14" s="33" t="e">
        <f>VLOOKUP(D14,Data!$RU$2:$RV$15,2,FALSE)</f>
        <v>#N/A</v>
      </c>
      <c r="AI14" s="33" t="b">
        <f>IF(D14=Data!$UT$2,Data!$UU$1,IF(D14=Data!$UT$3,Data!$UV$1,IF(D14=Data!$UT$4,Data!$UW$1,IF(D14=Data!$UT$5,Data!$UX$1,IF(D14=Data!$UT$6,Data!$UY$1,IF(D14=Data!$UT$7,Data!$UZ$1,IF(D14=Data!$UT$8,Data!$VA$1,IF(D14=Data!$UT$9,Data!$VB$1,IF(D14=Data!$UT$10,Data!$VC$1,IF(D14=Data!$UT$11,Data!$VD$1,IF(D14=Data!$UT$12,Data!$VD$22,IF(D14=Data!$UT$13,Data!$VD$22,IF(D14=Data!$UT$14,Data!$UU$13,IF(D14=Data!$UT$15,Data!$UV$13))))))))))))))</f>
        <v>0</v>
      </c>
      <c r="AJ14" s="239" t="e">
        <f>MATCH(D14,Data!$VL$27:$VL$40,0)</f>
        <v>#N/A</v>
      </c>
      <c r="AK14" s="239" t="e">
        <f>MATCH(E14,Data!$VM$26:$VQ$26,0)</f>
        <v>#N/A</v>
      </c>
      <c r="AL14" s="239" t="e">
        <f>INDEX(Data!$VM$27:$VQ$40,'Cellular Blinds'!AJ14,'Cellular Blinds'!AK14)</f>
        <v>#N/A</v>
      </c>
      <c r="AM14" s="239" t="e">
        <f>MATCH(D14, Data!$VL$2:$VL$16,0)</f>
        <v>#N/A</v>
      </c>
      <c r="AN14" s="239" t="e">
        <f>MATCH(E14,Data!$VM$1:$VQ$1,0)</f>
        <v>#N/A</v>
      </c>
      <c r="AO14" s="239" t="e">
        <f>INDEX(Data!$VM$2:$VQ$16,'Cellular Blinds'!AM14,'Cellular Blinds'!AN14)</f>
        <v>#N/A</v>
      </c>
      <c r="AP14" s="33" t="e">
        <f>VLOOKUP(P14,Data!$UW$14:$UX$28,2,FALSE)</f>
        <v>#N/A</v>
      </c>
      <c r="AQ14" s="239" t="e">
        <f>MATCH(E14, Data!$XS$2:$XS$6,0)</f>
        <v>#N/A</v>
      </c>
      <c r="AR14" s="239" t="e">
        <f>MATCH(F14,Data!$XT$1:$YR$1,0)</f>
        <v>#N/A</v>
      </c>
      <c r="AS14" s="239" t="e">
        <f>INDEX(Data!$XT$2:$YR$6,'Cellular Blinds'!AQ14,'Cellular Blinds'!AR14)</f>
        <v>#N/A</v>
      </c>
      <c r="AT14" s="239" t="b">
        <f>IF(D14=Data!$YU$2,Data!$YV$1,IF(D14=Data!$YU$3,Data!$YW$1,IF(D14=Data!$YU$4,Data!$YX$1,IF(D14=Data!$YU$5,Data!$YY$1,IF(D14=Data!$YU$6,Data!$YZ$1,IF(D14=Data!$YU$7,Data!$ZA$1,IF(D14=Data!$YU$8,Data!$ZB$1,IF(D14=Data!$YU$9,Data!$ZC$1,IF(D14=Data!$YU$10,Data!$ZD$1,IF(D14=Data!$YU$11,Data!$ZE$1,IF(D14=Data!$YU$12,Data!$ZE$1,IF(D14=Data!$YU$13,Data!$ZE$1,IF(D14=Data!$YU$14,Data!$ZG$11,IF(D14=Data!$YU$15,Data!$ZF$11))))))))))))))</f>
        <v>0</v>
      </c>
      <c r="AU14" s="239" t="str">
        <f>IF(D14="","",IF(E14=Data!$ZI$2,VLOOKUP(D14,Data!$ZK$2:$ZL$15,2,FALSE),IF(E14=Data!$ZI$1,VLOOKUP(D14,Data!$ZQ$2:$ZR$13,2,FALSE),IF(E14=Data!$ZI$3,VLOOKUP(D14,Data!$ZW$2:$ZX$13,2,FALSE),IF(E14=Data!$ZI$4,VLOOKUP(D14,Data!$AAC$2:$AAD$13,2,FALSE),IF(E14=Data!$ZI$5,VLOOKUP(D14,Data!$AAC$26:$AAD$37,2,FALSE)))))))</f>
        <v/>
      </c>
      <c r="AV14" s="251" t="str">
        <f t="shared" si="12"/>
        <v/>
      </c>
      <c r="AW14" s="251" t="str">
        <f t="shared" si="13"/>
        <v/>
      </c>
      <c r="AX14" s="239" t="str">
        <f t="shared" si="14"/>
        <v/>
      </c>
      <c r="BA14" s="33" t="str">
        <f t="shared" si="15"/>
        <v>FittingBoth</v>
      </c>
      <c r="BN14" s="475" t="str">
        <f t="shared" si="1"/>
        <v>UChannelNA</v>
      </c>
      <c r="BO14" s="475" t="e">
        <f t="shared" si="16"/>
        <v>#N/A</v>
      </c>
      <c r="BP14" s="475" t="str">
        <f t="shared" si="17"/>
        <v>No</v>
      </c>
      <c r="BQ14" s="475" t="str">
        <f t="shared" si="18"/>
        <v>No</v>
      </c>
      <c r="BR14" s="475" t="e">
        <f t="shared" si="2"/>
        <v>#N/A</v>
      </c>
      <c r="BS14" s="475" t="s">
        <v>1202</v>
      </c>
      <c r="BT14" s="475" t="s">
        <v>69</v>
      </c>
      <c r="BU14" s="172">
        <f t="shared" si="19"/>
        <v>2</v>
      </c>
      <c r="CB14" s="33" t="e">
        <f t="shared" si="3"/>
        <v>#N/A</v>
      </c>
      <c r="CC14" s="172" t="b">
        <f t="shared" si="4"/>
        <v>0</v>
      </c>
      <c r="CD14" s="172">
        <f t="shared" si="5"/>
        <v>0</v>
      </c>
      <c r="CE14" s="172">
        <f t="shared" si="6"/>
        <v>0</v>
      </c>
      <c r="CF14" s="172">
        <f t="shared" si="7"/>
        <v>0</v>
      </c>
      <c r="CG14" s="172">
        <f t="shared" si="8"/>
        <v>0</v>
      </c>
      <c r="CL14" s="239" t="str">
        <f>IF(D14="","",IF(E14=Data!$ZI$2,VLOOKUP(D14,Data!$ZK$2:$ZP$15,3,FALSE),IF(E14=Data!$ZI$1,VLOOKUP(D14,Data!$ZQ$2:$ZS$13,3,FALSE),IF(E14=Data!$ZI$3,VLOOKUP(D14,Data!$ZW$2:$AAB$13,3,FALSE),IF(E14=Data!$ZI$4,VLOOKUP(D14,Data!$AAC$2:$AAI$13,3,FALSE),IF(E14=Data!$ZI$5,VLOOKUP(D14,Data!$AAC$26:$AAI$37,3,FALSE)))))))</f>
        <v/>
      </c>
      <c r="CM14" s="251">
        <f t="shared" si="20"/>
        <v>0</v>
      </c>
      <c r="CN14" s="251" t="e">
        <f t="shared" si="21"/>
        <v>#VALUE!</v>
      </c>
      <c r="CO14" s="239" t="e">
        <f t="shared" si="22"/>
        <v>#VALUE!</v>
      </c>
      <c r="CP14" s="239" t="str">
        <f>IF(D14="","",IF(E14=Data!$ZI$2,VLOOKUP(D14,Data!$ZK$2:$ZN$15,4,FALSE),IF(E14=Data!$ZI$1,VLOOKUP(D14,Data!$ZQ$2:$ZT$13,4,FALSE),IF(E14=Data!$ZI$3,VLOOKUP(D14,Data!$ZW$2:$AAC$13,4,FALSE),IF(E14=Data!$ZI$4,VLOOKUP(D14,Data!$AAC$2:$AAJ$13,4,FALSE),IF(E14=Data!$ZI$5,VLOOKUP(D14,Data!$AAC$26:$AAJ$37,4,FALSE)))))))</f>
        <v/>
      </c>
      <c r="CQ14" s="251">
        <f t="shared" si="23"/>
        <v>0</v>
      </c>
      <c r="CR14" s="251" t="e">
        <f t="shared" si="24"/>
        <v>#VALUE!</v>
      </c>
      <c r="CS14" s="239" t="e">
        <f t="shared" si="25"/>
        <v>#VALUE!</v>
      </c>
      <c r="CT14" s="311">
        <f t="shared" si="26"/>
        <v>0</v>
      </c>
      <c r="CU14" s="239" t="str">
        <f>IF(D14="","",IF(E14=Data!$ZI$2,VLOOKUP(D14,Data!$ZK$2:$ZO$15,5,FALSE),IF(E14=Data!$ZI$1,VLOOKUP(D14,Data!$ZQ$2:$ZU$13,5,FALSE),IF(E14=Data!$ZI$3,VLOOKUP(D14,Data!$ZW$2:$AAD$13,5,FALSE),IF(E14=Data!$ZI$4,VLOOKUP(D14,Data!$AAC$2:$AAK$13,5,FALSE),IF(E14=Data!$ZI$5,VLOOKUP(D14,Data!$AAC$26:$AAK$37,5,FALSE)))))))</f>
        <v/>
      </c>
      <c r="CV14" s="251">
        <f t="shared" si="27"/>
        <v>0</v>
      </c>
      <c r="CW14" s="251" t="e">
        <f t="shared" si="28"/>
        <v>#VALUE!</v>
      </c>
      <c r="CX14" s="239" t="e">
        <f t="shared" si="29"/>
        <v>#VALUE!</v>
      </c>
      <c r="CY14" s="239" t="str">
        <f>IF(D14="","",IF(E14=Data!$ZI$2,VLOOKUP(D14,Data!$ZK$2:$ZP$15,6,FALSE),IF(E14=Data!$ZI$1,VLOOKUP(D14,Data!$ZQ$2:$ZV$13,6,FALSE),IF(E14=Data!$ZI$3,VLOOKUP(D14,Data!$ZW$2:$AAE$13,6,FALSE),IF(E14=Data!$ZI$4,VLOOKUP(D14,Data!$AAC$2:$AAL$13,6,FALSE),IF(E14=Data!$ZI$5,VLOOKUP(D14,Data!$AAC$26:$AAL$37,6,FALSE)))))))</f>
        <v/>
      </c>
      <c r="CZ14" s="251">
        <f t="shared" si="30"/>
        <v>0</v>
      </c>
      <c r="DA14" s="251" t="e">
        <f t="shared" si="31"/>
        <v>#VALUE!</v>
      </c>
      <c r="DB14" s="239" t="e">
        <f t="shared" si="32"/>
        <v>#VALUE!</v>
      </c>
      <c r="DC14" s="311">
        <f t="shared" si="33"/>
        <v>0</v>
      </c>
    </row>
    <row r="15" spans="1:107" ht="30" customHeight="1">
      <c r="A15" s="52">
        <v>8</v>
      </c>
      <c r="B15" s="20"/>
      <c r="C15" s="17"/>
      <c r="D15" s="13"/>
      <c r="E15" s="235"/>
      <c r="F15" s="235"/>
      <c r="G15" s="235"/>
      <c r="H15" s="235"/>
      <c r="I15" s="14"/>
      <c r="J15" s="14"/>
      <c r="K15" s="14"/>
      <c r="L15" s="14"/>
      <c r="M15" s="563"/>
      <c r="N15" s="564"/>
      <c r="O15" s="15"/>
      <c r="P15" s="15"/>
      <c r="Q15" s="15"/>
      <c r="R15" s="15"/>
      <c r="S15" s="15"/>
      <c r="T15" s="13" t="str">
        <f t="shared" si="9"/>
        <v/>
      </c>
      <c r="U15" s="253" t="str">
        <f t="shared" si="10"/>
        <v/>
      </c>
      <c r="V15" s="470"/>
      <c r="W15" s="481" t="b">
        <f t="shared" si="11"/>
        <v>0</v>
      </c>
      <c r="X15" s="230"/>
      <c r="Y15" s="253"/>
      <c r="AA15" s="33" t="str">
        <f>IF(SUM(--ISNUMBER(SEARCH({"Skylight"}, D15))),Data!$AJ$19,Data!$AJ$1)</f>
        <v>WindowType</v>
      </c>
      <c r="AB15" s="33" t="str">
        <f t="shared" si="0"/>
        <v>OK</v>
      </c>
      <c r="AC15" s="33" t="str">
        <f>IF(COUNTIF(AC8:AC14,Data!KG6),Data!KH6,"")</f>
        <v/>
      </c>
      <c r="AE15" s="239" t="e">
        <f>MATCH(E15, Data!$TB$2:$TB$6,0)</f>
        <v>#N/A</v>
      </c>
      <c r="AF15" s="239" t="e">
        <f>MATCH(F15,Data!$TC$1:$UB$1,0)</f>
        <v>#N/A</v>
      </c>
      <c r="AG15" s="239" t="e">
        <f>INDEX(Data!$TC$2:$UB$6,'Cellular Blinds'!AE15,'Cellular Blinds'!AF15)</f>
        <v>#N/A</v>
      </c>
      <c r="AH15" s="33" t="e">
        <f>VLOOKUP(D15,Data!$RU$2:$RV$15,2,FALSE)</f>
        <v>#N/A</v>
      </c>
      <c r="AI15" s="33" t="b">
        <f>IF(D15=Data!$UT$2,Data!$UU$1,IF(D15=Data!$UT$3,Data!$UV$1,IF(D15=Data!$UT$4,Data!$UW$1,IF(D15=Data!$UT$5,Data!$UX$1,IF(D15=Data!$UT$6,Data!$UY$1,IF(D15=Data!$UT$7,Data!$UZ$1,IF(D15=Data!$UT$8,Data!$VA$1,IF(D15=Data!$UT$9,Data!$VB$1,IF(D15=Data!$UT$10,Data!$VC$1,IF(D15=Data!$UT$11,Data!$VD$1,IF(D15=Data!$UT$12,Data!$VD$22,IF(D15=Data!$UT$13,Data!$VD$22,IF(D15=Data!$UT$14,Data!$UU$13,IF(D15=Data!$UT$15,Data!$UV$13))))))))))))))</f>
        <v>0</v>
      </c>
      <c r="AJ15" s="239" t="e">
        <f>MATCH(D15,Data!$VL$27:$VL$40,0)</f>
        <v>#N/A</v>
      </c>
      <c r="AK15" s="239" t="e">
        <f>MATCH(E15,Data!$VM$26:$VQ$26,0)</f>
        <v>#N/A</v>
      </c>
      <c r="AL15" s="239" t="e">
        <f>INDEX(Data!$VM$27:$VQ$40,'Cellular Blinds'!AJ15,'Cellular Blinds'!AK15)</f>
        <v>#N/A</v>
      </c>
      <c r="AM15" s="239" t="e">
        <f>MATCH(D15, Data!$VL$2:$VL$16,0)</f>
        <v>#N/A</v>
      </c>
      <c r="AN15" s="239" t="e">
        <f>MATCH(E15,Data!$VM$1:$VQ$1,0)</f>
        <v>#N/A</v>
      </c>
      <c r="AO15" s="239" t="e">
        <f>INDEX(Data!$VM$2:$VQ$16,'Cellular Blinds'!AM15,'Cellular Blinds'!AN15)</f>
        <v>#N/A</v>
      </c>
      <c r="AP15" s="33" t="e">
        <f>VLOOKUP(P15,Data!$UW$14:$UX$28,2,FALSE)</f>
        <v>#N/A</v>
      </c>
      <c r="AQ15" s="239" t="e">
        <f>MATCH(E15, Data!$XS$2:$XS$6,0)</f>
        <v>#N/A</v>
      </c>
      <c r="AR15" s="239" t="e">
        <f>MATCH(F15,Data!$XT$1:$YR$1,0)</f>
        <v>#N/A</v>
      </c>
      <c r="AS15" s="239" t="e">
        <f>INDEX(Data!$XT$2:$YR$6,'Cellular Blinds'!AQ15,'Cellular Blinds'!AR15)</f>
        <v>#N/A</v>
      </c>
      <c r="AT15" s="239" t="b">
        <f>IF(D15=Data!$YU$2,Data!$YV$1,IF(D15=Data!$YU$3,Data!$YW$1,IF(D15=Data!$YU$4,Data!$YX$1,IF(D15=Data!$YU$5,Data!$YY$1,IF(D15=Data!$YU$6,Data!$YZ$1,IF(D15=Data!$YU$7,Data!$ZA$1,IF(D15=Data!$YU$8,Data!$ZB$1,IF(D15=Data!$YU$9,Data!$ZC$1,IF(D15=Data!$YU$10,Data!$ZD$1,IF(D15=Data!$YU$11,Data!$ZE$1,IF(D15=Data!$YU$12,Data!$ZE$1,IF(D15=Data!$YU$13,Data!$ZE$1,IF(D15=Data!$YU$14,Data!$ZG$11,IF(D15=Data!$YU$15,Data!$ZF$11))))))))))))))</f>
        <v>0</v>
      </c>
      <c r="AU15" s="239" t="str">
        <f>IF(D15="","",IF(E15=Data!$ZI$2,VLOOKUP(D15,Data!$ZK$2:$ZL$15,2,FALSE),IF(E15=Data!$ZI$1,VLOOKUP(D15,Data!$ZQ$2:$ZR$13,2,FALSE),IF(E15=Data!$ZI$3,VLOOKUP(D15,Data!$ZW$2:$ZX$13,2,FALSE),IF(E15=Data!$ZI$4,VLOOKUP(D15,Data!$AAC$2:$AAD$13,2,FALSE),IF(E15=Data!$ZI$5,VLOOKUP(D15,Data!$AAC$26:$AAD$37,2,FALSE)))))))</f>
        <v/>
      </c>
      <c r="AV15" s="251" t="str">
        <f t="shared" si="12"/>
        <v/>
      </c>
      <c r="AW15" s="251" t="str">
        <f t="shared" si="13"/>
        <v/>
      </c>
      <c r="AX15" s="239" t="str">
        <f t="shared" si="14"/>
        <v/>
      </c>
      <c r="BA15" s="33" t="str">
        <f t="shared" si="15"/>
        <v>FittingBoth</v>
      </c>
      <c r="BN15" s="475" t="str">
        <f t="shared" si="1"/>
        <v>UChannelNA</v>
      </c>
      <c r="BO15" s="475" t="e">
        <f t="shared" si="16"/>
        <v>#N/A</v>
      </c>
      <c r="BP15" s="475" t="str">
        <f t="shared" si="17"/>
        <v>No</v>
      </c>
      <c r="BQ15" s="475" t="str">
        <f t="shared" si="18"/>
        <v>No</v>
      </c>
      <c r="BR15" s="475" t="e">
        <f t="shared" si="2"/>
        <v>#N/A</v>
      </c>
      <c r="BS15" s="475" t="s">
        <v>1214</v>
      </c>
      <c r="BT15" s="475" t="s">
        <v>69</v>
      </c>
      <c r="BU15" s="172">
        <f t="shared" si="19"/>
        <v>2</v>
      </c>
      <c r="CB15" s="33" t="e">
        <f t="shared" si="3"/>
        <v>#N/A</v>
      </c>
      <c r="CC15" s="172" t="b">
        <f t="shared" si="4"/>
        <v>0</v>
      </c>
      <c r="CD15" s="172">
        <f t="shared" si="5"/>
        <v>0</v>
      </c>
      <c r="CE15" s="172">
        <f t="shared" si="6"/>
        <v>0</v>
      </c>
      <c r="CF15" s="172">
        <f t="shared" si="7"/>
        <v>0</v>
      </c>
      <c r="CG15" s="172">
        <f t="shared" si="8"/>
        <v>0</v>
      </c>
      <c r="CL15" s="239" t="str">
        <f>IF(D15="","",IF(E15=Data!$ZI$2,VLOOKUP(D15,Data!$ZK$2:$ZP$15,3,FALSE),IF(E15=Data!$ZI$1,VLOOKUP(D15,Data!$ZQ$2:$ZS$13,3,FALSE),IF(E15=Data!$ZI$3,VLOOKUP(D15,Data!$ZW$2:$AAB$13,3,FALSE),IF(E15=Data!$ZI$4,VLOOKUP(D15,Data!$AAC$2:$AAI$13,3,FALSE),IF(E15=Data!$ZI$5,VLOOKUP(D15,Data!$AAC$26:$AAI$37,3,FALSE)))))))</f>
        <v/>
      </c>
      <c r="CM15" s="251">
        <f t="shared" si="20"/>
        <v>0</v>
      </c>
      <c r="CN15" s="251" t="e">
        <f t="shared" si="21"/>
        <v>#VALUE!</v>
      </c>
      <c r="CO15" s="239" t="e">
        <f t="shared" si="22"/>
        <v>#VALUE!</v>
      </c>
      <c r="CP15" s="239" t="str">
        <f>IF(D15="","",IF(E15=Data!$ZI$2,VLOOKUP(D15,Data!$ZK$2:$ZN$15,4,FALSE),IF(E15=Data!$ZI$1,VLOOKUP(D15,Data!$ZQ$2:$ZT$13,4,FALSE),IF(E15=Data!$ZI$3,VLOOKUP(D15,Data!$ZW$2:$AAC$13,4,FALSE),IF(E15=Data!$ZI$4,VLOOKUP(D15,Data!$AAC$2:$AAJ$13,4,FALSE),IF(E15=Data!$ZI$5,VLOOKUP(D15,Data!$AAC$26:$AAJ$37,4,FALSE)))))))</f>
        <v/>
      </c>
      <c r="CQ15" s="251">
        <f t="shared" si="23"/>
        <v>0</v>
      </c>
      <c r="CR15" s="251" t="e">
        <f t="shared" si="24"/>
        <v>#VALUE!</v>
      </c>
      <c r="CS15" s="239" t="e">
        <f t="shared" si="25"/>
        <v>#VALUE!</v>
      </c>
      <c r="CT15" s="311">
        <f t="shared" si="26"/>
        <v>0</v>
      </c>
      <c r="CU15" s="239" t="str">
        <f>IF(D15="","",IF(E15=Data!$ZI$2,VLOOKUP(D15,Data!$ZK$2:$ZO$15,5,FALSE),IF(E15=Data!$ZI$1,VLOOKUP(D15,Data!$ZQ$2:$ZU$13,5,FALSE),IF(E15=Data!$ZI$3,VLOOKUP(D15,Data!$ZW$2:$AAD$13,5,FALSE),IF(E15=Data!$ZI$4,VLOOKUP(D15,Data!$AAC$2:$AAK$13,5,FALSE),IF(E15=Data!$ZI$5,VLOOKUP(D15,Data!$AAC$26:$AAK$37,5,FALSE)))))))</f>
        <v/>
      </c>
      <c r="CV15" s="251">
        <f t="shared" si="27"/>
        <v>0</v>
      </c>
      <c r="CW15" s="251" t="e">
        <f t="shared" si="28"/>
        <v>#VALUE!</v>
      </c>
      <c r="CX15" s="239" t="e">
        <f t="shared" si="29"/>
        <v>#VALUE!</v>
      </c>
      <c r="CY15" s="239" t="str">
        <f>IF(D15="","",IF(E15=Data!$ZI$2,VLOOKUP(D15,Data!$ZK$2:$ZP$15,6,FALSE),IF(E15=Data!$ZI$1,VLOOKUP(D15,Data!$ZQ$2:$ZV$13,6,FALSE),IF(E15=Data!$ZI$3,VLOOKUP(D15,Data!$ZW$2:$AAE$13,6,FALSE),IF(E15=Data!$ZI$4,VLOOKUP(D15,Data!$AAC$2:$AAL$13,6,FALSE),IF(E15=Data!$ZI$5,VLOOKUP(D15,Data!$AAC$26:$AAL$37,6,FALSE)))))))</f>
        <v/>
      </c>
      <c r="CZ15" s="251">
        <f t="shared" si="30"/>
        <v>0</v>
      </c>
      <c r="DA15" s="251" t="e">
        <f t="shared" si="31"/>
        <v>#VALUE!</v>
      </c>
      <c r="DB15" s="239" t="e">
        <f t="shared" si="32"/>
        <v>#VALUE!</v>
      </c>
      <c r="DC15" s="311">
        <f t="shared" si="33"/>
        <v>0</v>
      </c>
    </row>
    <row r="16" spans="1:107" ht="30" customHeight="1">
      <c r="A16" s="52">
        <v>9</v>
      </c>
      <c r="B16" s="17"/>
      <c r="C16" s="17"/>
      <c r="D16" s="13"/>
      <c r="E16" s="235"/>
      <c r="F16" s="235"/>
      <c r="G16" s="235"/>
      <c r="H16" s="235"/>
      <c r="I16" s="14"/>
      <c r="J16" s="14"/>
      <c r="K16" s="14"/>
      <c r="L16" s="14"/>
      <c r="M16" s="563"/>
      <c r="N16" s="564"/>
      <c r="O16" s="15"/>
      <c r="P16" s="15"/>
      <c r="Q16" s="15"/>
      <c r="R16" s="15"/>
      <c r="S16" s="15"/>
      <c r="T16" s="13" t="str">
        <f t="shared" si="9"/>
        <v/>
      </c>
      <c r="U16" s="253" t="str">
        <f t="shared" si="10"/>
        <v/>
      </c>
      <c r="V16" s="470"/>
      <c r="W16" s="481" t="b">
        <f t="shared" si="11"/>
        <v>0</v>
      </c>
      <c r="X16" s="230"/>
      <c r="Y16" s="253"/>
      <c r="AA16" s="33" t="str">
        <f>IF(SUM(--ISNUMBER(SEARCH({"Skylight"}, D16))),Data!$AJ$19,Data!$AJ$1)</f>
        <v>WindowType</v>
      </c>
      <c r="AB16" s="33" t="str">
        <f t="shared" si="0"/>
        <v>OK</v>
      </c>
      <c r="AC16" s="33" t="str">
        <f>IF(COUNTIF(AC8:AC14,Data!KG7),Data!KH7,"")</f>
        <v/>
      </c>
      <c r="AE16" s="239" t="e">
        <f>MATCH(E16, Data!$TB$2:$TB$6,0)</f>
        <v>#N/A</v>
      </c>
      <c r="AF16" s="239" t="e">
        <f>MATCH(F16,Data!$TC$1:$UB$1,0)</f>
        <v>#N/A</v>
      </c>
      <c r="AG16" s="239" t="e">
        <f>INDEX(Data!$TC$2:$UB$6,'Cellular Blinds'!AE16,'Cellular Blinds'!AF16)</f>
        <v>#N/A</v>
      </c>
      <c r="AH16" s="33" t="e">
        <f>VLOOKUP(D16,Data!$RU$2:$RV$15,2,FALSE)</f>
        <v>#N/A</v>
      </c>
      <c r="AI16" s="33" t="b">
        <f>IF(D16=Data!$UT$2,Data!$UU$1,IF(D16=Data!$UT$3,Data!$UV$1,IF(D16=Data!$UT$4,Data!$UW$1,IF(D16=Data!$UT$5,Data!$UX$1,IF(D16=Data!$UT$6,Data!$UY$1,IF(D16=Data!$UT$7,Data!$UZ$1,IF(D16=Data!$UT$8,Data!$VA$1,IF(D16=Data!$UT$9,Data!$VB$1,IF(D16=Data!$UT$10,Data!$VC$1,IF(D16=Data!$UT$11,Data!$VD$1,IF(D16=Data!$UT$12,Data!$VD$22,IF(D16=Data!$UT$13,Data!$VD$22,IF(D16=Data!$UT$14,Data!$UU$13,IF(D16=Data!$UT$15,Data!$UV$13))))))))))))))</f>
        <v>0</v>
      </c>
      <c r="AJ16" s="239" t="e">
        <f>MATCH(D16,Data!$VL$27:$VL$40,0)</f>
        <v>#N/A</v>
      </c>
      <c r="AK16" s="239" t="e">
        <f>MATCH(E16,Data!$VM$26:$VQ$26,0)</f>
        <v>#N/A</v>
      </c>
      <c r="AL16" s="239" t="e">
        <f>INDEX(Data!$VM$27:$VQ$40,'Cellular Blinds'!AJ16,'Cellular Blinds'!AK16)</f>
        <v>#N/A</v>
      </c>
      <c r="AM16" s="239" t="e">
        <f>MATCH(D16, Data!$VL$2:$VL$16,0)</f>
        <v>#N/A</v>
      </c>
      <c r="AN16" s="239" t="e">
        <f>MATCH(E16,Data!$VM$1:$VQ$1,0)</f>
        <v>#N/A</v>
      </c>
      <c r="AO16" s="239" t="e">
        <f>INDEX(Data!$VM$2:$VQ$16,'Cellular Blinds'!AM16,'Cellular Blinds'!AN16)</f>
        <v>#N/A</v>
      </c>
      <c r="AP16" s="33" t="e">
        <f>VLOOKUP(P16,Data!$UW$14:$UX$28,2,FALSE)</f>
        <v>#N/A</v>
      </c>
      <c r="AQ16" s="239" t="e">
        <f>MATCH(E16, Data!$XS$2:$XS$6,0)</f>
        <v>#N/A</v>
      </c>
      <c r="AR16" s="239" t="e">
        <f>MATCH(F16,Data!$XT$1:$YR$1,0)</f>
        <v>#N/A</v>
      </c>
      <c r="AS16" s="239" t="e">
        <f>INDEX(Data!$XT$2:$YR$6,'Cellular Blinds'!AQ16,'Cellular Blinds'!AR16)</f>
        <v>#N/A</v>
      </c>
      <c r="AT16" s="239" t="b">
        <f>IF(D16=Data!$YU$2,Data!$YV$1,IF(D16=Data!$YU$3,Data!$YW$1,IF(D16=Data!$YU$4,Data!$YX$1,IF(D16=Data!$YU$5,Data!$YY$1,IF(D16=Data!$YU$6,Data!$YZ$1,IF(D16=Data!$YU$7,Data!$ZA$1,IF(D16=Data!$YU$8,Data!$ZB$1,IF(D16=Data!$YU$9,Data!$ZC$1,IF(D16=Data!$YU$10,Data!$ZD$1,IF(D16=Data!$YU$11,Data!$ZE$1,IF(D16=Data!$YU$12,Data!$ZE$1,IF(D16=Data!$YU$13,Data!$ZE$1,IF(D16=Data!$YU$14,Data!$ZG$11,IF(D16=Data!$YU$15,Data!$ZF$11))))))))))))))</f>
        <v>0</v>
      </c>
      <c r="AU16" s="239" t="str">
        <f>IF(D16="","",IF(E16=Data!$ZI$2,VLOOKUP(D16,Data!$ZK$2:$ZL$15,2,FALSE),IF(E16=Data!$ZI$1,VLOOKUP(D16,Data!$ZQ$2:$ZR$13,2,FALSE),IF(E16=Data!$ZI$3,VLOOKUP(D16,Data!$ZW$2:$ZX$13,2,FALSE),IF(E16=Data!$ZI$4,VLOOKUP(D16,Data!$AAC$2:$AAD$13,2,FALSE),IF(E16=Data!$ZI$5,VLOOKUP(D16,Data!$AAC$26:$AAD$37,2,FALSE)))))))</f>
        <v/>
      </c>
      <c r="AV16" s="251" t="str">
        <f t="shared" si="12"/>
        <v/>
      </c>
      <c r="AW16" s="251" t="str">
        <f t="shared" si="13"/>
        <v/>
      </c>
      <c r="AX16" s="239" t="str">
        <f t="shared" si="14"/>
        <v/>
      </c>
      <c r="BA16" s="33" t="str">
        <f t="shared" si="15"/>
        <v>FittingBoth</v>
      </c>
      <c r="BN16" s="475" t="str">
        <f t="shared" si="1"/>
        <v>UChannelNA</v>
      </c>
      <c r="BO16" s="475" t="e">
        <f t="shared" si="16"/>
        <v>#N/A</v>
      </c>
      <c r="BP16" s="475" t="str">
        <f t="shared" si="17"/>
        <v>No</v>
      </c>
      <c r="BQ16" s="475" t="str">
        <f t="shared" si="18"/>
        <v>No</v>
      </c>
      <c r="BR16" s="475" t="e">
        <f t="shared" si="2"/>
        <v>#N/A</v>
      </c>
      <c r="BS16" s="475" t="s">
        <v>1182</v>
      </c>
      <c r="BT16" s="475" t="s">
        <v>69</v>
      </c>
      <c r="BU16" s="172">
        <f t="shared" si="19"/>
        <v>2</v>
      </c>
      <c r="CB16" s="33" t="e">
        <f t="shared" si="3"/>
        <v>#N/A</v>
      </c>
      <c r="CC16" s="172" t="b">
        <f t="shared" si="4"/>
        <v>0</v>
      </c>
      <c r="CD16" s="172">
        <f t="shared" si="5"/>
        <v>0</v>
      </c>
      <c r="CE16" s="172">
        <f t="shared" si="6"/>
        <v>0</v>
      </c>
      <c r="CF16" s="172">
        <f t="shared" si="7"/>
        <v>0</v>
      </c>
      <c r="CG16" s="172">
        <f t="shared" si="8"/>
        <v>0</v>
      </c>
      <c r="CL16" s="239" t="str">
        <f>IF(D16="","",IF(E16=Data!$ZI$2,VLOOKUP(D16,Data!$ZK$2:$ZP$15,3,FALSE),IF(E16=Data!$ZI$1,VLOOKUP(D16,Data!$ZQ$2:$ZS$13,3,FALSE),IF(E16=Data!$ZI$3,VLOOKUP(D16,Data!$ZW$2:$AAB$13,3,FALSE),IF(E16=Data!$ZI$4,VLOOKUP(D16,Data!$AAC$2:$AAI$13,3,FALSE),IF(E16=Data!$ZI$5,VLOOKUP(D16,Data!$AAC$26:$AAI$37,3,FALSE)))))))</f>
        <v/>
      </c>
      <c r="CM16" s="251">
        <f t="shared" si="20"/>
        <v>0</v>
      </c>
      <c r="CN16" s="251" t="e">
        <f t="shared" si="21"/>
        <v>#VALUE!</v>
      </c>
      <c r="CO16" s="239" t="e">
        <f t="shared" si="22"/>
        <v>#VALUE!</v>
      </c>
      <c r="CP16" s="239" t="str">
        <f>IF(D16="","",IF(E16=Data!$ZI$2,VLOOKUP(D16,Data!$ZK$2:$ZN$15,4,FALSE),IF(E16=Data!$ZI$1,VLOOKUP(D16,Data!$ZQ$2:$ZT$13,4,FALSE),IF(E16=Data!$ZI$3,VLOOKUP(D16,Data!$ZW$2:$AAC$13,4,FALSE),IF(E16=Data!$ZI$4,VLOOKUP(D16,Data!$AAC$2:$AAJ$13,4,FALSE),IF(E16=Data!$ZI$5,VLOOKUP(D16,Data!$AAC$26:$AAJ$37,4,FALSE)))))))</f>
        <v/>
      </c>
      <c r="CQ16" s="251">
        <f t="shared" si="23"/>
        <v>0</v>
      </c>
      <c r="CR16" s="251" t="e">
        <f t="shared" si="24"/>
        <v>#VALUE!</v>
      </c>
      <c r="CS16" s="239" t="e">
        <f t="shared" si="25"/>
        <v>#VALUE!</v>
      </c>
      <c r="CT16" s="311">
        <f t="shared" si="26"/>
        <v>0</v>
      </c>
      <c r="CU16" s="239" t="str">
        <f>IF(D16="","",IF(E16=Data!$ZI$2,VLOOKUP(D16,Data!$ZK$2:$ZO$15,5,FALSE),IF(E16=Data!$ZI$1,VLOOKUP(D16,Data!$ZQ$2:$ZU$13,5,FALSE),IF(E16=Data!$ZI$3,VLOOKUP(D16,Data!$ZW$2:$AAD$13,5,FALSE),IF(E16=Data!$ZI$4,VLOOKUP(D16,Data!$AAC$2:$AAK$13,5,FALSE),IF(E16=Data!$ZI$5,VLOOKUP(D16,Data!$AAC$26:$AAK$37,5,FALSE)))))))</f>
        <v/>
      </c>
      <c r="CV16" s="251">
        <f t="shared" si="27"/>
        <v>0</v>
      </c>
      <c r="CW16" s="251" t="e">
        <f t="shared" si="28"/>
        <v>#VALUE!</v>
      </c>
      <c r="CX16" s="239" t="e">
        <f t="shared" si="29"/>
        <v>#VALUE!</v>
      </c>
      <c r="CY16" s="239" t="str">
        <f>IF(D16="","",IF(E16=Data!$ZI$2,VLOOKUP(D16,Data!$ZK$2:$ZP$15,6,FALSE),IF(E16=Data!$ZI$1,VLOOKUP(D16,Data!$ZQ$2:$ZV$13,6,FALSE),IF(E16=Data!$ZI$3,VLOOKUP(D16,Data!$ZW$2:$AAE$13,6,FALSE),IF(E16=Data!$ZI$4,VLOOKUP(D16,Data!$AAC$2:$AAL$13,6,FALSE),IF(E16=Data!$ZI$5,VLOOKUP(D16,Data!$AAC$26:$AAL$37,6,FALSE)))))))</f>
        <v/>
      </c>
      <c r="CZ16" s="251">
        <f t="shared" si="30"/>
        <v>0</v>
      </c>
      <c r="DA16" s="251" t="e">
        <f t="shared" si="31"/>
        <v>#VALUE!</v>
      </c>
      <c r="DB16" s="239" t="e">
        <f t="shared" si="32"/>
        <v>#VALUE!</v>
      </c>
      <c r="DC16" s="311">
        <f t="shared" si="33"/>
        <v>0</v>
      </c>
    </row>
    <row r="17" spans="1:107" ht="30" customHeight="1">
      <c r="A17" s="52">
        <v>10</v>
      </c>
      <c r="B17" s="17"/>
      <c r="C17" s="17"/>
      <c r="D17" s="13"/>
      <c r="E17" s="235"/>
      <c r="F17" s="235"/>
      <c r="G17" s="235"/>
      <c r="H17" s="235"/>
      <c r="I17" s="14"/>
      <c r="J17" s="14"/>
      <c r="K17" s="14"/>
      <c r="L17" s="14"/>
      <c r="M17" s="563"/>
      <c r="N17" s="564"/>
      <c r="O17" s="15"/>
      <c r="P17" s="15"/>
      <c r="Q17" s="15"/>
      <c r="R17" s="15"/>
      <c r="S17" s="15"/>
      <c r="T17" s="13" t="str">
        <f t="shared" si="9"/>
        <v/>
      </c>
      <c r="U17" s="253" t="str">
        <f t="shared" si="10"/>
        <v/>
      </c>
      <c r="V17" s="470"/>
      <c r="W17" s="481" t="b">
        <f t="shared" si="11"/>
        <v>0</v>
      </c>
      <c r="X17" s="230"/>
      <c r="Y17" s="253"/>
      <c r="AA17" s="33" t="str">
        <f>IF(SUM(--ISNUMBER(SEARCH({"Skylight"}, D17))),Data!$AJ$19,Data!$AJ$1)</f>
        <v>WindowType</v>
      </c>
      <c r="AB17" s="33" t="str">
        <f t="shared" si="0"/>
        <v>OK</v>
      </c>
      <c r="AC17" s="33" t="str">
        <f>AC15&amp;" &amp; "&amp;AC16&amp;""</f>
        <v xml:space="preserve"> &amp; </v>
      </c>
      <c r="AE17" s="239" t="e">
        <f>MATCH(E17, Data!$TB$2:$TB$6,0)</f>
        <v>#N/A</v>
      </c>
      <c r="AF17" s="239" t="e">
        <f>MATCH(F17,Data!$TC$1:$UB$1,0)</f>
        <v>#N/A</v>
      </c>
      <c r="AG17" s="239" t="e">
        <f>INDEX(Data!$TC$2:$UB$6,'Cellular Blinds'!AE17,'Cellular Blinds'!AF17)</f>
        <v>#N/A</v>
      </c>
      <c r="AH17" s="33" t="e">
        <f>VLOOKUP(D17,Data!$RU$2:$RV$15,2,FALSE)</f>
        <v>#N/A</v>
      </c>
      <c r="AI17" s="33" t="b">
        <f>IF(D17=Data!$UT$2,Data!$UU$1,IF(D17=Data!$UT$3,Data!$UV$1,IF(D17=Data!$UT$4,Data!$UW$1,IF(D17=Data!$UT$5,Data!$UX$1,IF(D17=Data!$UT$6,Data!$UY$1,IF(D17=Data!$UT$7,Data!$UZ$1,IF(D17=Data!$UT$8,Data!$VA$1,IF(D17=Data!$UT$9,Data!$VB$1,IF(D17=Data!$UT$10,Data!$VC$1,IF(D17=Data!$UT$11,Data!$VD$1,IF(D17=Data!$UT$12,Data!$VD$22,IF(D17=Data!$UT$13,Data!$VD$22,IF(D17=Data!$UT$14,Data!$UU$13,IF(D17=Data!$UT$15,Data!$UV$13))))))))))))))</f>
        <v>0</v>
      </c>
      <c r="AJ17" s="239" t="e">
        <f>MATCH(D17,Data!$VL$27:$VL$40,0)</f>
        <v>#N/A</v>
      </c>
      <c r="AK17" s="239" t="e">
        <f>MATCH(E17,Data!$VM$26:$VQ$26,0)</f>
        <v>#N/A</v>
      </c>
      <c r="AL17" s="239" t="e">
        <f>INDEX(Data!$VM$27:$VQ$40,'Cellular Blinds'!AJ17,'Cellular Blinds'!AK17)</f>
        <v>#N/A</v>
      </c>
      <c r="AM17" s="239" t="e">
        <f>MATCH(D17, Data!$VL$2:$VL$16,0)</f>
        <v>#N/A</v>
      </c>
      <c r="AN17" s="239" t="e">
        <f>MATCH(E17,Data!$VM$1:$VQ$1,0)</f>
        <v>#N/A</v>
      </c>
      <c r="AO17" s="239" t="e">
        <f>INDEX(Data!$VM$2:$VQ$16,'Cellular Blinds'!AM17,'Cellular Blinds'!AN17)</f>
        <v>#N/A</v>
      </c>
      <c r="AP17" s="33" t="e">
        <f>VLOOKUP(P17,Data!$UW$14:$UX$28,2,FALSE)</f>
        <v>#N/A</v>
      </c>
      <c r="AQ17" s="239" t="e">
        <f>MATCH(E17, Data!$XS$2:$XS$6,0)</f>
        <v>#N/A</v>
      </c>
      <c r="AR17" s="239" t="e">
        <f>MATCH(F17,Data!$XT$1:$YR$1,0)</f>
        <v>#N/A</v>
      </c>
      <c r="AS17" s="239" t="e">
        <f>INDEX(Data!$XT$2:$YR$6,'Cellular Blinds'!AQ17,'Cellular Blinds'!AR17)</f>
        <v>#N/A</v>
      </c>
      <c r="AT17" s="239" t="b">
        <f>IF(D17=Data!$YU$2,Data!$YV$1,IF(D17=Data!$YU$3,Data!$YW$1,IF(D17=Data!$YU$4,Data!$YX$1,IF(D17=Data!$YU$5,Data!$YY$1,IF(D17=Data!$YU$6,Data!$YZ$1,IF(D17=Data!$YU$7,Data!$ZA$1,IF(D17=Data!$YU$8,Data!$ZB$1,IF(D17=Data!$YU$9,Data!$ZC$1,IF(D17=Data!$YU$10,Data!$ZD$1,IF(D17=Data!$YU$11,Data!$ZE$1,IF(D17=Data!$YU$12,Data!$ZE$1,IF(D17=Data!$YU$13,Data!$ZE$1,IF(D17=Data!$YU$14,Data!$ZG$11,IF(D17=Data!$YU$15,Data!$ZF$11))))))))))))))</f>
        <v>0</v>
      </c>
      <c r="AU17" s="239" t="str">
        <f>IF(D17="","",IF(E17=Data!$ZI$2,VLOOKUP(D17,Data!$ZK$2:$ZL$15,2,FALSE),IF(E17=Data!$ZI$1,VLOOKUP(D17,Data!$ZQ$2:$ZR$13,2,FALSE),IF(E17=Data!$ZI$3,VLOOKUP(D17,Data!$ZW$2:$ZX$13,2,FALSE),IF(E17=Data!$ZI$4,VLOOKUP(D17,Data!$AAC$2:$AAD$13,2,FALSE),IF(E17=Data!$ZI$5,VLOOKUP(D17,Data!$AAC$26:$AAD$37,2,FALSE)))))))</f>
        <v/>
      </c>
      <c r="AV17" s="251" t="str">
        <f t="shared" si="12"/>
        <v/>
      </c>
      <c r="AW17" s="251" t="str">
        <f t="shared" si="13"/>
        <v/>
      </c>
      <c r="AX17" s="239" t="str">
        <f t="shared" si="14"/>
        <v/>
      </c>
      <c r="BA17" s="33" t="str">
        <f t="shared" si="15"/>
        <v>FittingBoth</v>
      </c>
      <c r="BN17" s="475" t="str">
        <f t="shared" si="1"/>
        <v>UChannelNA</v>
      </c>
      <c r="BO17" s="475" t="e">
        <f t="shared" si="16"/>
        <v>#N/A</v>
      </c>
      <c r="BP17" s="475" t="str">
        <f t="shared" si="17"/>
        <v>No</v>
      </c>
      <c r="BQ17" s="475" t="str">
        <f t="shared" si="18"/>
        <v>No</v>
      </c>
      <c r="BR17" s="475" t="e">
        <f t="shared" si="2"/>
        <v>#N/A</v>
      </c>
      <c r="BS17" s="475" t="s">
        <v>2034</v>
      </c>
      <c r="BT17" s="475" t="s">
        <v>69</v>
      </c>
      <c r="BU17" s="172">
        <f t="shared" si="19"/>
        <v>2</v>
      </c>
      <c r="CB17" s="33" t="e">
        <f t="shared" si="3"/>
        <v>#N/A</v>
      </c>
      <c r="CC17" s="172" t="b">
        <f t="shared" si="4"/>
        <v>0</v>
      </c>
      <c r="CD17" s="172">
        <f t="shared" si="5"/>
        <v>0</v>
      </c>
      <c r="CE17" s="172">
        <f t="shared" si="6"/>
        <v>0</v>
      </c>
      <c r="CF17" s="172">
        <f t="shared" si="7"/>
        <v>0</v>
      </c>
      <c r="CG17" s="172">
        <f t="shared" si="8"/>
        <v>0</v>
      </c>
      <c r="CL17" s="239" t="str">
        <f>IF(D17="","",IF(E17=Data!$ZI$2,VLOOKUP(D17,Data!$ZK$2:$ZP$15,3,FALSE),IF(E17=Data!$ZI$1,VLOOKUP(D17,Data!$ZQ$2:$ZS$13,3,FALSE),IF(E17=Data!$ZI$3,VLOOKUP(D17,Data!$ZW$2:$AAB$13,3,FALSE),IF(E17=Data!$ZI$4,VLOOKUP(D17,Data!$AAC$2:$AAI$13,3,FALSE),IF(E17=Data!$ZI$5,VLOOKUP(D17,Data!$AAC$26:$AAI$37,3,FALSE)))))))</f>
        <v/>
      </c>
      <c r="CM17" s="251">
        <f t="shared" si="20"/>
        <v>0</v>
      </c>
      <c r="CN17" s="251" t="e">
        <f t="shared" si="21"/>
        <v>#VALUE!</v>
      </c>
      <c r="CO17" s="239" t="e">
        <f t="shared" si="22"/>
        <v>#VALUE!</v>
      </c>
      <c r="CP17" s="239" t="str">
        <f>IF(D17="","",IF(E17=Data!$ZI$2,VLOOKUP(D17,Data!$ZK$2:$ZN$15,4,FALSE),IF(E17=Data!$ZI$1,VLOOKUP(D17,Data!$ZQ$2:$ZT$13,4,FALSE),IF(E17=Data!$ZI$3,VLOOKUP(D17,Data!$ZW$2:$AAC$13,4,FALSE),IF(E17=Data!$ZI$4,VLOOKUP(D17,Data!$AAC$2:$AAJ$13,4,FALSE),IF(E17=Data!$ZI$5,VLOOKUP(D17,Data!$AAC$26:$AAJ$37,4,FALSE)))))))</f>
        <v/>
      </c>
      <c r="CQ17" s="251">
        <f t="shared" si="23"/>
        <v>0</v>
      </c>
      <c r="CR17" s="251" t="e">
        <f t="shared" si="24"/>
        <v>#VALUE!</v>
      </c>
      <c r="CS17" s="239" t="e">
        <f t="shared" si="25"/>
        <v>#VALUE!</v>
      </c>
      <c r="CT17" s="311">
        <f t="shared" si="26"/>
        <v>0</v>
      </c>
      <c r="CU17" s="239" t="str">
        <f>IF(D17="","",IF(E17=Data!$ZI$2,VLOOKUP(D17,Data!$ZK$2:$ZO$15,5,FALSE),IF(E17=Data!$ZI$1,VLOOKUP(D17,Data!$ZQ$2:$ZU$13,5,FALSE),IF(E17=Data!$ZI$3,VLOOKUP(D17,Data!$ZW$2:$AAD$13,5,FALSE),IF(E17=Data!$ZI$4,VLOOKUP(D17,Data!$AAC$2:$AAK$13,5,FALSE),IF(E17=Data!$ZI$5,VLOOKUP(D17,Data!$AAC$26:$AAK$37,5,FALSE)))))))</f>
        <v/>
      </c>
      <c r="CV17" s="251">
        <f t="shared" si="27"/>
        <v>0</v>
      </c>
      <c r="CW17" s="251" t="e">
        <f t="shared" si="28"/>
        <v>#VALUE!</v>
      </c>
      <c r="CX17" s="239" t="e">
        <f t="shared" si="29"/>
        <v>#VALUE!</v>
      </c>
      <c r="CY17" s="239" t="str">
        <f>IF(D17="","",IF(E17=Data!$ZI$2,VLOOKUP(D17,Data!$ZK$2:$ZP$15,6,FALSE),IF(E17=Data!$ZI$1,VLOOKUP(D17,Data!$ZQ$2:$ZV$13,6,FALSE),IF(E17=Data!$ZI$3,VLOOKUP(D17,Data!$ZW$2:$AAE$13,6,FALSE),IF(E17=Data!$ZI$4,VLOOKUP(D17,Data!$AAC$2:$AAL$13,6,FALSE),IF(E17=Data!$ZI$5,VLOOKUP(D17,Data!$AAC$26:$AAL$37,6,FALSE)))))))</f>
        <v/>
      </c>
      <c r="CZ17" s="251">
        <f t="shared" si="30"/>
        <v>0</v>
      </c>
      <c r="DA17" s="251" t="e">
        <f t="shared" si="31"/>
        <v>#VALUE!</v>
      </c>
      <c r="DB17" s="239" t="e">
        <f t="shared" si="32"/>
        <v>#VALUE!</v>
      </c>
      <c r="DC17" s="311">
        <f t="shared" si="33"/>
        <v>0</v>
      </c>
    </row>
    <row r="18" spans="1:107" ht="30" customHeight="1">
      <c r="A18" s="52">
        <v>11</v>
      </c>
      <c r="B18" s="17"/>
      <c r="C18" s="17"/>
      <c r="D18" s="13"/>
      <c r="E18" s="235"/>
      <c r="F18" s="235"/>
      <c r="G18" s="235"/>
      <c r="H18" s="235"/>
      <c r="I18" s="14"/>
      <c r="J18" s="14"/>
      <c r="K18" s="14"/>
      <c r="L18" s="14"/>
      <c r="M18" s="563"/>
      <c r="N18" s="564"/>
      <c r="O18" s="15"/>
      <c r="P18" s="15"/>
      <c r="Q18" s="15"/>
      <c r="R18" s="15"/>
      <c r="S18" s="15"/>
      <c r="T18" s="13" t="str">
        <f t="shared" si="9"/>
        <v/>
      </c>
      <c r="U18" s="253" t="str">
        <f t="shared" si="10"/>
        <v/>
      </c>
      <c r="V18" s="470"/>
      <c r="W18" s="481" t="b">
        <f t="shared" si="11"/>
        <v>0</v>
      </c>
      <c r="X18" s="230"/>
      <c r="Y18" s="253"/>
      <c r="AA18" s="33" t="str">
        <f>IF(SUM(--ISNUMBER(SEARCH({"Skylight"}, D18))),Data!$AJ$19,Data!$AJ$1)</f>
        <v>WindowType</v>
      </c>
      <c r="AB18" s="33" t="str">
        <f t="shared" si="0"/>
        <v>OK</v>
      </c>
      <c r="AC18" s="33" t="str">
        <f>IF(AC17="Corner &amp; Bay","Corner &amp; Bay Window Diagram Must Be Supplied",IF(AC15="Corner","Corner Window Diagram Must Be Supplied",IF(AC16="Bay","Bay Window Diagram Must Be Supplied","")))</f>
        <v/>
      </c>
      <c r="AE18" s="239" t="e">
        <f>MATCH(E18, Data!$TB$2:$TB$6,0)</f>
        <v>#N/A</v>
      </c>
      <c r="AF18" s="239" t="e">
        <f>MATCH(F18,Data!$TC$1:$UB$1,0)</f>
        <v>#N/A</v>
      </c>
      <c r="AG18" s="239" t="e">
        <f>INDEX(Data!$TC$2:$UB$6,'Cellular Blinds'!AE18,'Cellular Blinds'!AF18)</f>
        <v>#N/A</v>
      </c>
      <c r="AH18" s="33" t="e">
        <f>VLOOKUP(D18,Data!$RU$2:$RV$15,2,FALSE)</f>
        <v>#N/A</v>
      </c>
      <c r="AI18" s="33" t="b">
        <f>IF(D18=Data!$UT$2,Data!$UU$1,IF(D18=Data!$UT$3,Data!$UV$1,IF(D18=Data!$UT$4,Data!$UW$1,IF(D18=Data!$UT$5,Data!$UX$1,IF(D18=Data!$UT$6,Data!$UY$1,IF(D18=Data!$UT$7,Data!$UZ$1,IF(D18=Data!$UT$8,Data!$VA$1,IF(D18=Data!$UT$9,Data!$VB$1,IF(D18=Data!$UT$10,Data!$VC$1,IF(D18=Data!$UT$11,Data!$VD$1,IF(D18=Data!$UT$12,Data!$VD$22,IF(D18=Data!$UT$13,Data!$VD$22,IF(D18=Data!$UT$14,Data!$UU$13,IF(D18=Data!$UT$15,Data!$UV$13))))))))))))))</f>
        <v>0</v>
      </c>
      <c r="AJ18" s="239" t="e">
        <f>MATCH(D18,Data!$VL$27:$VL$40,0)</f>
        <v>#N/A</v>
      </c>
      <c r="AK18" s="239" t="e">
        <f>MATCH(E18,Data!$VM$26:$VQ$26,0)</f>
        <v>#N/A</v>
      </c>
      <c r="AL18" s="239" t="e">
        <f>INDEX(Data!$VM$27:$VQ$40,'Cellular Blinds'!AJ18,'Cellular Blinds'!AK18)</f>
        <v>#N/A</v>
      </c>
      <c r="AM18" s="239" t="e">
        <f>MATCH(D18, Data!$VL$2:$VL$16,0)</f>
        <v>#N/A</v>
      </c>
      <c r="AN18" s="239" t="e">
        <f>MATCH(E18,Data!$VM$1:$VQ$1,0)</f>
        <v>#N/A</v>
      </c>
      <c r="AO18" s="239" t="e">
        <f>INDEX(Data!$VM$2:$VQ$16,'Cellular Blinds'!AM18,'Cellular Blinds'!AN18)</f>
        <v>#N/A</v>
      </c>
      <c r="AP18" s="33" t="e">
        <f>VLOOKUP(P18,Data!$UW$14:$UX$28,2,FALSE)</f>
        <v>#N/A</v>
      </c>
      <c r="AQ18" s="239" t="e">
        <f>MATCH(E18, Data!$XS$2:$XS$6,0)</f>
        <v>#N/A</v>
      </c>
      <c r="AR18" s="239" t="e">
        <f>MATCH(F18,Data!$XT$1:$YR$1,0)</f>
        <v>#N/A</v>
      </c>
      <c r="AS18" s="239" t="e">
        <f>INDEX(Data!$XT$2:$YR$6,'Cellular Blinds'!AQ18,'Cellular Blinds'!AR18)</f>
        <v>#N/A</v>
      </c>
      <c r="AT18" s="239" t="b">
        <f>IF(D18=Data!$YU$2,Data!$YV$1,IF(D18=Data!$YU$3,Data!$YW$1,IF(D18=Data!$YU$4,Data!$YX$1,IF(D18=Data!$YU$5,Data!$YY$1,IF(D18=Data!$YU$6,Data!$YZ$1,IF(D18=Data!$YU$7,Data!$ZA$1,IF(D18=Data!$YU$8,Data!$ZB$1,IF(D18=Data!$YU$9,Data!$ZC$1,IF(D18=Data!$YU$10,Data!$ZD$1,IF(D18=Data!$YU$11,Data!$ZE$1,IF(D18=Data!$YU$12,Data!$ZE$1,IF(D18=Data!$YU$13,Data!$ZE$1,IF(D18=Data!$YU$14,Data!$ZG$11,IF(D18=Data!$YU$15,Data!$ZF$11))))))))))))))</f>
        <v>0</v>
      </c>
      <c r="AU18" s="239" t="str">
        <f>IF(D18="","",IF(E18=Data!$ZI$2,VLOOKUP(D18,Data!$ZK$2:$ZL$15,2,FALSE),IF(E18=Data!$ZI$1,VLOOKUP(D18,Data!$ZQ$2:$ZR$13,2,FALSE),IF(E18=Data!$ZI$3,VLOOKUP(D18,Data!$ZW$2:$ZX$13,2,FALSE),IF(E18=Data!$ZI$4,VLOOKUP(D18,Data!$AAC$2:$AAD$13,2,FALSE),IF(E18=Data!$ZI$5,VLOOKUP(D18,Data!$AAC$26:$AAD$37,2,FALSE)))))))</f>
        <v/>
      </c>
      <c r="AV18" s="251" t="str">
        <f t="shared" si="12"/>
        <v/>
      </c>
      <c r="AW18" s="251" t="str">
        <f t="shared" si="13"/>
        <v/>
      </c>
      <c r="AX18" s="239" t="str">
        <f t="shared" si="14"/>
        <v/>
      </c>
      <c r="BA18" s="33" t="str">
        <f t="shared" si="15"/>
        <v>FittingBoth</v>
      </c>
      <c r="BN18" s="475" t="str">
        <f t="shared" si="1"/>
        <v>UChannelNA</v>
      </c>
      <c r="BO18" s="475" t="e">
        <f t="shared" si="16"/>
        <v>#N/A</v>
      </c>
      <c r="BP18" s="475" t="str">
        <f t="shared" si="17"/>
        <v>No</v>
      </c>
      <c r="BQ18" s="475" t="str">
        <f t="shared" si="18"/>
        <v>No</v>
      </c>
      <c r="BR18" s="475" t="e">
        <f t="shared" si="2"/>
        <v>#N/A</v>
      </c>
      <c r="BS18" s="475" t="s">
        <v>2035</v>
      </c>
      <c r="BT18" s="475" t="s">
        <v>69</v>
      </c>
      <c r="BU18" s="172">
        <f t="shared" si="19"/>
        <v>2</v>
      </c>
      <c r="CB18" s="33" t="e">
        <f t="shared" si="3"/>
        <v>#N/A</v>
      </c>
      <c r="CC18" s="172" t="b">
        <f t="shared" si="4"/>
        <v>0</v>
      </c>
      <c r="CD18" s="172">
        <f t="shared" si="5"/>
        <v>0</v>
      </c>
      <c r="CE18" s="172">
        <f t="shared" si="6"/>
        <v>0</v>
      </c>
      <c r="CF18" s="172">
        <f t="shared" si="7"/>
        <v>0</v>
      </c>
      <c r="CG18" s="172">
        <f t="shared" si="8"/>
        <v>0</v>
      </c>
      <c r="CL18" s="239" t="str">
        <f>IF(D18="","",IF(E18=Data!$ZI$2,VLOOKUP(D18,Data!$ZK$2:$ZP$15,3,FALSE),IF(E18=Data!$ZI$1,VLOOKUP(D18,Data!$ZQ$2:$ZS$13,3,FALSE),IF(E18=Data!$ZI$3,VLOOKUP(D18,Data!$ZW$2:$AAB$13,3,FALSE),IF(E18=Data!$ZI$4,VLOOKUP(D18,Data!$AAC$2:$AAI$13,3,FALSE),IF(E18=Data!$ZI$5,VLOOKUP(D18,Data!$AAC$26:$AAI$37,3,FALSE)))))))</f>
        <v/>
      </c>
      <c r="CM18" s="251">
        <f t="shared" si="20"/>
        <v>0</v>
      </c>
      <c r="CN18" s="251" t="e">
        <f t="shared" si="21"/>
        <v>#VALUE!</v>
      </c>
      <c r="CO18" s="239" t="e">
        <f t="shared" si="22"/>
        <v>#VALUE!</v>
      </c>
      <c r="CP18" s="239" t="str">
        <f>IF(D18="","",IF(E18=Data!$ZI$2,VLOOKUP(D18,Data!$ZK$2:$ZN$15,4,FALSE),IF(E18=Data!$ZI$1,VLOOKUP(D18,Data!$ZQ$2:$ZT$13,4,FALSE),IF(E18=Data!$ZI$3,VLOOKUP(D18,Data!$ZW$2:$AAC$13,4,FALSE),IF(E18=Data!$ZI$4,VLOOKUP(D18,Data!$AAC$2:$AAJ$13,4,FALSE),IF(E18=Data!$ZI$5,VLOOKUP(D18,Data!$AAC$26:$AAJ$37,4,FALSE)))))))</f>
        <v/>
      </c>
      <c r="CQ18" s="251">
        <f t="shared" si="23"/>
        <v>0</v>
      </c>
      <c r="CR18" s="251" t="e">
        <f t="shared" si="24"/>
        <v>#VALUE!</v>
      </c>
      <c r="CS18" s="239" t="e">
        <f t="shared" si="25"/>
        <v>#VALUE!</v>
      </c>
      <c r="CT18" s="311">
        <f t="shared" si="26"/>
        <v>0</v>
      </c>
      <c r="CU18" s="239" t="str">
        <f>IF(D18="","",IF(E18=Data!$ZI$2,VLOOKUP(D18,Data!$ZK$2:$ZO$15,5,FALSE),IF(E18=Data!$ZI$1,VLOOKUP(D18,Data!$ZQ$2:$ZU$13,5,FALSE),IF(E18=Data!$ZI$3,VLOOKUP(D18,Data!$ZW$2:$AAD$13,5,FALSE),IF(E18=Data!$ZI$4,VLOOKUP(D18,Data!$AAC$2:$AAK$13,5,FALSE),IF(E18=Data!$ZI$5,VLOOKUP(D18,Data!$AAC$26:$AAK$37,5,FALSE)))))))</f>
        <v/>
      </c>
      <c r="CV18" s="251">
        <f t="shared" si="27"/>
        <v>0</v>
      </c>
      <c r="CW18" s="251" t="e">
        <f t="shared" si="28"/>
        <v>#VALUE!</v>
      </c>
      <c r="CX18" s="239" t="e">
        <f t="shared" si="29"/>
        <v>#VALUE!</v>
      </c>
      <c r="CY18" s="239" t="str">
        <f>IF(D18="","",IF(E18=Data!$ZI$2,VLOOKUP(D18,Data!$ZK$2:$ZP$15,6,FALSE),IF(E18=Data!$ZI$1,VLOOKUP(D18,Data!$ZQ$2:$ZV$13,6,FALSE),IF(E18=Data!$ZI$3,VLOOKUP(D18,Data!$ZW$2:$AAE$13,6,FALSE),IF(E18=Data!$ZI$4,VLOOKUP(D18,Data!$AAC$2:$AAL$13,6,FALSE),IF(E18=Data!$ZI$5,VLOOKUP(D18,Data!$AAC$26:$AAL$37,6,FALSE)))))))</f>
        <v/>
      </c>
      <c r="CZ18" s="251">
        <f t="shared" si="30"/>
        <v>0</v>
      </c>
      <c r="DA18" s="251" t="e">
        <f t="shared" si="31"/>
        <v>#VALUE!</v>
      </c>
      <c r="DB18" s="239" t="e">
        <f t="shared" si="32"/>
        <v>#VALUE!</v>
      </c>
      <c r="DC18" s="311">
        <f t="shared" si="33"/>
        <v>0</v>
      </c>
    </row>
    <row r="19" spans="1:107" ht="30" customHeight="1">
      <c r="A19" s="52">
        <v>12</v>
      </c>
      <c r="B19" s="17"/>
      <c r="C19" s="17"/>
      <c r="D19" s="13"/>
      <c r="E19" s="235"/>
      <c r="F19" s="235"/>
      <c r="G19" s="235"/>
      <c r="H19" s="235"/>
      <c r="I19" s="14"/>
      <c r="J19" s="14"/>
      <c r="K19" s="14"/>
      <c r="L19" s="14"/>
      <c r="M19" s="563"/>
      <c r="N19" s="564"/>
      <c r="O19" s="15"/>
      <c r="P19" s="15"/>
      <c r="Q19" s="15"/>
      <c r="R19" s="15"/>
      <c r="S19" s="15"/>
      <c r="T19" s="13" t="str">
        <f t="shared" si="9"/>
        <v/>
      </c>
      <c r="U19" s="253" t="str">
        <f t="shared" si="10"/>
        <v/>
      </c>
      <c r="V19" s="470"/>
      <c r="W19" s="481" t="b">
        <f t="shared" si="11"/>
        <v>0</v>
      </c>
      <c r="X19" s="230"/>
      <c r="Y19" s="253"/>
      <c r="AA19" s="33" t="str">
        <f>IF(SUM(--ISNUMBER(SEARCH({"Skylight"}, D19))),Data!$AJ$19,Data!$AJ$1)</f>
        <v>WindowType</v>
      </c>
      <c r="AB19" s="33" t="str">
        <f t="shared" si="0"/>
        <v>OK</v>
      </c>
      <c r="AE19" s="239" t="e">
        <f>MATCH(E19, Data!$TB$2:$TB$6,0)</f>
        <v>#N/A</v>
      </c>
      <c r="AF19" s="239" t="e">
        <f>MATCH(F19,Data!$TC$1:$UB$1,0)</f>
        <v>#N/A</v>
      </c>
      <c r="AG19" s="239" t="e">
        <f>INDEX(Data!$TC$2:$UB$6,'Cellular Blinds'!AE19,'Cellular Blinds'!AF19)</f>
        <v>#N/A</v>
      </c>
      <c r="AH19" s="33" t="e">
        <f>VLOOKUP(D19,Data!$RU$2:$RV$15,2,FALSE)</f>
        <v>#N/A</v>
      </c>
      <c r="AI19" s="33" t="b">
        <f>IF(D19=Data!$UT$2,Data!$UU$1,IF(D19=Data!$UT$3,Data!$UV$1,IF(D19=Data!$UT$4,Data!$UW$1,IF(D19=Data!$UT$5,Data!$UX$1,IF(D19=Data!$UT$6,Data!$UY$1,IF(D19=Data!$UT$7,Data!$UZ$1,IF(D19=Data!$UT$8,Data!$VA$1,IF(D19=Data!$UT$9,Data!$VB$1,IF(D19=Data!$UT$10,Data!$VC$1,IF(D19=Data!$UT$11,Data!$VD$1,IF(D19=Data!$UT$12,Data!$VD$22,IF(D19=Data!$UT$13,Data!$VD$22,IF(D19=Data!$UT$14,Data!$UU$13,IF(D19=Data!$UT$15,Data!$UV$13))))))))))))))</f>
        <v>0</v>
      </c>
      <c r="AJ19" s="239" t="e">
        <f>MATCH(D19,Data!$VL$27:$VL$40,0)</f>
        <v>#N/A</v>
      </c>
      <c r="AK19" s="239" t="e">
        <f>MATCH(E19,Data!$VM$26:$VQ$26,0)</f>
        <v>#N/A</v>
      </c>
      <c r="AL19" s="239" t="e">
        <f>INDEX(Data!$VM$27:$VQ$40,'Cellular Blinds'!AJ19,'Cellular Blinds'!AK19)</f>
        <v>#N/A</v>
      </c>
      <c r="AM19" s="239" t="e">
        <f>MATCH(D19, Data!$VL$2:$VL$16,0)</f>
        <v>#N/A</v>
      </c>
      <c r="AN19" s="239" t="e">
        <f>MATCH(E19,Data!$VM$1:$VQ$1,0)</f>
        <v>#N/A</v>
      </c>
      <c r="AO19" s="239" t="e">
        <f>INDEX(Data!$VM$2:$VQ$16,'Cellular Blinds'!AM19,'Cellular Blinds'!AN19)</f>
        <v>#N/A</v>
      </c>
      <c r="AP19" s="33" t="e">
        <f>VLOOKUP(P19,Data!$UW$14:$UX$28,2,FALSE)</f>
        <v>#N/A</v>
      </c>
      <c r="AQ19" s="239" t="e">
        <f>MATCH(E19, Data!$XS$2:$XS$6,0)</f>
        <v>#N/A</v>
      </c>
      <c r="AR19" s="239" t="e">
        <f>MATCH(F19,Data!$XT$1:$YR$1,0)</f>
        <v>#N/A</v>
      </c>
      <c r="AS19" s="239" t="e">
        <f>INDEX(Data!$XT$2:$YR$6,'Cellular Blinds'!AQ19,'Cellular Blinds'!AR19)</f>
        <v>#N/A</v>
      </c>
      <c r="AT19" s="239" t="b">
        <f>IF(D19=Data!$YU$2,Data!$YV$1,IF(D19=Data!$YU$3,Data!$YW$1,IF(D19=Data!$YU$4,Data!$YX$1,IF(D19=Data!$YU$5,Data!$YY$1,IF(D19=Data!$YU$6,Data!$YZ$1,IF(D19=Data!$YU$7,Data!$ZA$1,IF(D19=Data!$YU$8,Data!$ZB$1,IF(D19=Data!$YU$9,Data!$ZC$1,IF(D19=Data!$YU$10,Data!$ZD$1,IF(D19=Data!$YU$11,Data!$ZE$1,IF(D19=Data!$YU$12,Data!$ZE$1,IF(D19=Data!$YU$13,Data!$ZE$1,IF(D19=Data!$YU$14,Data!$ZG$11,IF(D19=Data!$YU$15,Data!$ZF$11))))))))))))))</f>
        <v>0</v>
      </c>
      <c r="AU19" s="239" t="str">
        <f>IF(D19="","",IF(E19=Data!$ZI$2,VLOOKUP(D19,Data!$ZK$2:$ZL$15,2,FALSE),IF(E19=Data!$ZI$1,VLOOKUP(D19,Data!$ZQ$2:$ZR$13,2,FALSE),IF(E19=Data!$ZI$3,VLOOKUP(D19,Data!$ZW$2:$ZX$13,2,FALSE),IF(E19=Data!$ZI$4,VLOOKUP(D19,Data!$AAC$2:$AAD$13,2,FALSE),IF(E19=Data!$ZI$5,VLOOKUP(D19,Data!$AAC$26:$AAD$37,2,FALSE)))))))</f>
        <v/>
      </c>
      <c r="AV19" s="251" t="str">
        <f t="shared" si="12"/>
        <v/>
      </c>
      <c r="AW19" s="251" t="str">
        <f t="shared" si="13"/>
        <v/>
      </c>
      <c r="AX19" s="239" t="str">
        <f t="shared" si="14"/>
        <v/>
      </c>
      <c r="BA19" s="33" t="str">
        <f t="shared" si="15"/>
        <v>FittingBoth</v>
      </c>
      <c r="BN19" s="475" t="str">
        <f t="shared" si="1"/>
        <v>UChannelNA</v>
      </c>
      <c r="BO19" s="475" t="e">
        <f t="shared" si="16"/>
        <v>#N/A</v>
      </c>
      <c r="BP19" s="475" t="str">
        <f t="shared" si="17"/>
        <v>No</v>
      </c>
      <c r="BQ19" s="475" t="str">
        <f t="shared" si="18"/>
        <v>No</v>
      </c>
      <c r="BR19" s="475" t="e">
        <f t="shared" si="2"/>
        <v>#N/A</v>
      </c>
      <c r="BS19" s="475" t="s">
        <v>2036</v>
      </c>
      <c r="BT19" s="475" t="s">
        <v>69</v>
      </c>
      <c r="BU19" s="172">
        <f t="shared" si="19"/>
        <v>2</v>
      </c>
      <c r="CB19" s="33" t="e">
        <f t="shared" si="3"/>
        <v>#N/A</v>
      </c>
      <c r="CC19" s="172" t="b">
        <f t="shared" si="4"/>
        <v>0</v>
      </c>
      <c r="CD19" s="172">
        <f t="shared" si="5"/>
        <v>0</v>
      </c>
      <c r="CE19" s="172">
        <f t="shared" si="6"/>
        <v>0</v>
      </c>
      <c r="CF19" s="172">
        <f t="shared" si="7"/>
        <v>0</v>
      </c>
      <c r="CG19" s="172">
        <f t="shared" si="8"/>
        <v>0</v>
      </c>
      <c r="CL19" s="239" t="str">
        <f>IF(D19="","",IF(E19=Data!$ZI$2,VLOOKUP(D19,Data!$ZK$2:$ZP$15,3,FALSE),IF(E19=Data!$ZI$1,VLOOKUP(D19,Data!$ZQ$2:$ZS$13,3,FALSE),IF(E19=Data!$ZI$3,VLOOKUP(D19,Data!$ZW$2:$AAB$13,3,FALSE),IF(E19=Data!$ZI$4,VLOOKUP(D19,Data!$AAC$2:$AAI$13,3,FALSE),IF(E19=Data!$ZI$5,VLOOKUP(D19,Data!$AAC$26:$AAI$37,3,FALSE)))))))</f>
        <v/>
      </c>
      <c r="CM19" s="251">
        <f t="shared" si="20"/>
        <v>0</v>
      </c>
      <c r="CN19" s="251" t="e">
        <f t="shared" si="21"/>
        <v>#VALUE!</v>
      </c>
      <c r="CO19" s="239" t="e">
        <f t="shared" si="22"/>
        <v>#VALUE!</v>
      </c>
      <c r="CP19" s="239" t="str">
        <f>IF(D19="","",IF(E19=Data!$ZI$2,VLOOKUP(D19,Data!$ZK$2:$ZN$15,4,FALSE),IF(E19=Data!$ZI$1,VLOOKUP(D19,Data!$ZQ$2:$ZT$13,4,FALSE),IF(E19=Data!$ZI$3,VLOOKUP(D19,Data!$ZW$2:$AAC$13,4,FALSE),IF(E19=Data!$ZI$4,VLOOKUP(D19,Data!$AAC$2:$AAJ$13,4,FALSE),IF(E19=Data!$ZI$5,VLOOKUP(D19,Data!$AAC$26:$AAJ$37,4,FALSE)))))))</f>
        <v/>
      </c>
      <c r="CQ19" s="251">
        <f t="shared" si="23"/>
        <v>0</v>
      </c>
      <c r="CR19" s="251" t="e">
        <f t="shared" si="24"/>
        <v>#VALUE!</v>
      </c>
      <c r="CS19" s="239" t="e">
        <f t="shared" si="25"/>
        <v>#VALUE!</v>
      </c>
      <c r="CT19" s="311">
        <f t="shared" si="26"/>
        <v>0</v>
      </c>
      <c r="CU19" s="239" t="str">
        <f>IF(D19="","",IF(E19=Data!$ZI$2,VLOOKUP(D19,Data!$ZK$2:$ZO$15,5,FALSE),IF(E19=Data!$ZI$1,VLOOKUP(D19,Data!$ZQ$2:$ZU$13,5,FALSE),IF(E19=Data!$ZI$3,VLOOKUP(D19,Data!$ZW$2:$AAD$13,5,FALSE),IF(E19=Data!$ZI$4,VLOOKUP(D19,Data!$AAC$2:$AAK$13,5,FALSE),IF(E19=Data!$ZI$5,VLOOKUP(D19,Data!$AAC$26:$AAK$37,5,FALSE)))))))</f>
        <v/>
      </c>
      <c r="CV19" s="251">
        <f t="shared" si="27"/>
        <v>0</v>
      </c>
      <c r="CW19" s="251" t="e">
        <f t="shared" si="28"/>
        <v>#VALUE!</v>
      </c>
      <c r="CX19" s="239" t="e">
        <f t="shared" si="29"/>
        <v>#VALUE!</v>
      </c>
      <c r="CY19" s="239" t="str">
        <f>IF(D19="","",IF(E19=Data!$ZI$2,VLOOKUP(D19,Data!$ZK$2:$ZP$15,6,FALSE),IF(E19=Data!$ZI$1,VLOOKUP(D19,Data!$ZQ$2:$ZV$13,6,FALSE),IF(E19=Data!$ZI$3,VLOOKUP(D19,Data!$ZW$2:$AAE$13,6,FALSE),IF(E19=Data!$ZI$4,VLOOKUP(D19,Data!$AAC$2:$AAL$13,6,FALSE),IF(E19=Data!$ZI$5,VLOOKUP(D19,Data!$AAC$26:$AAL$37,6,FALSE)))))))</f>
        <v/>
      </c>
      <c r="CZ19" s="251">
        <f t="shared" si="30"/>
        <v>0</v>
      </c>
      <c r="DA19" s="251" t="e">
        <f t="shared" si="31"/>
        <v>#VALUE!</v>
      </c>
      <c r="DB19" s="239" t="e">
        <f t="shared" si="32"/>
        <v>#VALUE!</v>
      </c>
      <c r="DC19" s="311">
        <f t="shared" si="33"/>
        <v>0</v>
      </c>
    </row>
    <row r="20" spans="1:107" ht="30" customHeight="1">
      <c r="A20" s="52">
        <v>13</v>
      </c>
      <c r="B20" s="20"/>
      <c r="C20" s="17"/>
      <c r="D20" s="13"/>
      <c r="E20" s="235"/>
      <c r="F20" s="235"/>
      <c r="G20" s="235"/>
      <c r="H20" s="235"/>
      <c r="I20" s="14"/>
      <c r="J20" s="14"/>
      <c r="K20" s="14"/>
      <c r="L20" s="14"/>
      <c r="M20" s="563"/>
      <c r="N20" s="564"/>
      <c r="O20" s="15"/>
      <c r="P20" s="15"/>
      <c r="Q20" s="15"/>
      <c r="R20" s="15"/>
      <c r="S20" s="15"/>
      <c r="T20" s="13" t="str">
        <f t="shared" si="9"/>
        <v/>
      </c>
      <c r="U20" s="253" t="str">
        <f t="shared" si="10"/>
        <v/>
      </c>
      <c r="V20" s="470"/>
      <c r="W20" s="481" t="b">
        <f t="shared" si="11"/>
        <v>0</v>
      </c>
      <c r="X20" s="230"/>
      <c r="Y20" s="253"/>
      <c r="AA20" s="33" t="str">
        <f>IF(SUM(--ISNUMBER(SEARCH({"Skylight"}, D20))),Data!$AJ$19,Data!$AJ$1)</f>
        <v>WindowType</v>
      </c>
      <c r="AB20" s="33" t="str">
        <f t="shared" si="0"/>
        <v>OK</v>
      </c>
      <c r="AE20" s="239" t="e">
        <f>MATCH(E20, Data!$TB$2:$TB$6,0)</f>
        <v>#N/A</v>
      </c>
      <c r="AF20" s="239" t="e">
        <f>MATCH(F20,Data!$TC$1:$UB$1,0)</f>
        <v>#N/A</v>
      </c>
      <c r="AG20" s="239" t="e">
        <f>INDEX(Data!$TC$2:$UB$6,'Cellular Blinds'!AE20,'Cellular Blinds'!AF20)</f>
        <v>#N/A</v>
      </c>
      <c r="AH20" s="33" t="e">
        <f>VLOOKUP(D20,Data!$RU$2:$RV$15,2,FALSE)</f>
        <v>#N/A</v>
      </c>
      <c r="AI20" s="33" t="b">
        <f>IF(D20=Data!$UT$2,Data!$UU$1,IF(D20=Data!$UT$3,Data!$UV$1,IF(D20=Data!$UT$4,Data!$UW$1,IF(D20=Data!$UT$5,Data!$UX$1,IF(D20=Data!$UT$6,Data!$UY$1,IF(D20=Data!$UT$7,Data!$UZ$1,IF(D20=Data!$UT$8,Data!$VA$1,IF(D20=Data!$UT$9,Data!$VB$1,IF(D20=Data!$UT$10,Data!$VC$1,IF(D20=Data!$UT$11,Data!$VD$1,IF(D20=Data!$UT$12,Data!$VD$22,IF(D20=Data!$UT$13,Data!$VD$22,IF(D20=Data!$UT$14,Data!$UU$13,IF(D20=Data!$UT$15,Data!$UV$13))))))))))))))</f>
        <v>0</v>
      </c>
      <c r="AJ20" s="239" t="e">
        <f>MATCH(D20,Data!$VL$27:$VL$40,0)</f>
        <v>#N/A</v>
      </c>
      <c r="AK20" s="239" t="e">
        <f>MATCH(E20,Data!$VM$26:$VQ$26,0)</f>
        <v>#N/A</v>
      </c>
      <c r="AL20" s="239" t="e">
        <f>INDEX(Data!$VM$27:$VQ$40,'Cellular Blinds'!AJ20,'Cellular Blinds'!AK20)</f>
        <v>#N/A</v>
      </c>
      <c r="AM20" s="239" t="e">
        <f>MATCH(D20, Data!$VL$2:$VL$16,0)</f>
        <v>#N/A</v>
      </c>
      <c r="AN20" s="239" t="e">
        <f>MATCH(E20,Data!$VM$1:$VQ$1,0)</f>
        <v>#N/A</v>
      </c>
      <c r="AO20" s="239" t="e">
        <f>INDEX(Data!$VM$2:$VQ$16,'Cellular Blinds'!AM20,'Cellular Blinds'!AN20)</f>
        <v>#N/A</v>
      </c>
      <c r="AP20" s="33" t="e">
        <f>VLOOKUP(P20,Data!$UW$14:$UX$28,2,FALSE)</f>
        <v>#N/A</v>
      </c>
      <c r="AQ20" s="239" t="e">
        <f>MATCH(E20, Data!$XS$2:$XS$6,0)</f>
        <v>#N/A</v>
      </c>
      <c r="AR20" s="239" t="e">
        <f>MATCH(F20,Data!$XT$1:$YR$1,0)</f>
        <v>#N/A</v>
      </c>
      <c r="AS20" s="239" t="e">
        <f>INDEX(Data!$XT$2:$YR$6,'Cellular Blinds'!AQ20,'Cellular Blinds'!AR20)</f>
        <v>#N/A</v>
      </c>
      <c r="AT20" s="239" t="b">
        <f>IF(D20=Data!$YU$2,Data!$YV$1,IF(D20=Data!$YU$3,Data!$YW$1,IF(D20=Data!$YU$4,Data!$YX$1,IF(D20=Data!$YU$5,Data!$YY$1,IF(D20=Data!$YU$6,Data!$YZ$1,IF(D20=Data!$YU$7,Data!$ZA$1,IF(D20=Data!$YU$8,Data!$ZB$1,IF(D20=Data!$YU$9,Data!$ZC$1,IF(D20=Data!$YU$10,Data!$ZD$1,IF(D20=Data!$YU$11,Data!$ZE$1,IF(D20=Data!$YU$12,Data!$ZE$1,IF(D20=Data!$YU$13,Data!$ZE$1,IF(D20=Data!$YU$14,Data!$ZG$11,IF(D20=Data!$YU$15,Data!$ZF$11))))))))))))))</f>
        <v>0</v>
      </c>
      <c r="AU20" s="239" t="str">
        <f>IF(D20="","",IF(E20=Data!$ZI$2,VLOOKUP(D20,Data!$ZK$2:$ZL$15,2,FALSE),IF(E20=Data!$ZI$1,VLOOKUP(D20,Data!$ZQ$2:$ZR$13,2,FALSE),IF(E20=Data!$ZI$3,VLOOKUP(D20,Data!$ZW$2:$ZX$13,2,FALSE),IF(E20=Data!$ZI$4,VLOOKUP(D20,Data!$AAC$2:$AAD$13,2,FALSE),IF(E20=Data!$ZI$5,VLOOKUP(D20,Data!$AAC$26:$AAD$37,2,FALSE)))))))</f>
        <v/>
      </c>
      <c r="AV20" s="251" t="str">
        <f t="shared" si="12"/>
        <v/>
      </c>
      <c r="AW20" s="251" t="str">
        <f t="shared" si="13"/>
        <v/>
      </c>
      <c r="AX20" s="239" t="str">
        <f t="shared" si="14"/>
        <v/>
      </c>
      <c r="BA20" s="33" t="str">
        <f t="shared" si="15"/>
        <v>FittingBoth</v>
      </c>
      <c r="BN20" s="475" t="str">
        <f t="shared" si="1"/>
        <v>UChannelNA</v>
      </c>
      <c r="BO20" s="475" t="e">
        <f t="shared" si="16"/>
        <v>#N/A</v>
      </c>
      <c r="BP20" s="475" t="str">
        <f t="shared" si="17"/>
        <v>No</v>
      </c>
      <c r="BQ20" s="475" t="str">
        <f t="shared" si="18"/>
        <v>No</v>
      </c>
      <c r="BR20" s="475" t="e">
        <f t="shared" si="2"/>
        <v>#N/A</v>
      </c>
      <c r="BS20" s="475" t="s">
        <v>2176</v>
      </c>
      <c r="BT20" s="475" t="s">
        <v>69</v>
      </c>
      <c r="BU20" s="172">
        <f t="shared" si="19"/>
        <v>2</v>
      </c>
      <c r="CB20" s="33" t="e">
        <f t="shared" si="3"/>
        <v>#N/A</v>
      </c>
      <c r="CC20" s="172" t="b">
        <f t="shared" si="4"/>
        <v>0</v>
      </c>
      <c r="CD20" s="172">
        <f t="shared" si="5"/>
        <v>0</v>
      </c>
      <c r="CE20" s="172">
        <f t="shared" si="6"/>
        <v>0</v>
      </c>
      <c r="CF20" s="172">
        <f t="shared" si="7"/>
        <v>0</v>
      </c>
      <c r="CG20" s="172">
        <f t="shared" si="8"/>
        <v>0</v>
      </c>
      <c r="CL20" s="239" t="str">
        <f>IF(D20="","",IF(E20=Data!$ZI$2,VLOOKUP(D20,Data!$ZK$2:$ZP$15,3,FALSE),IF(E20=Data!$ZI$1,VLOOKUP(D20,Data!$ZQ$2:$ZS$13,3,FALSE),IF(E20=Data!$ZI$3,VLOOKUP(D20,Data!$ZW$2:$AAB$13,3,FALSE),IF(E20=Data!$ZI$4,VLOOKUP(D20,Data!$AAC$2:$AAI$13,3,FALSE),IF(E20=Data!$ZI$5,VLOOKUP(D20,Data!$AAC$26:$AAI$37,3,FALSE)))))))</f>
        <v/>
      </c>
      <c r="CM20" s="251">
        <f t="shared" si="20"/>
        <v>0</v>
      </c>
      <c r="CN20" s="251" t="e">
        <f t="shared" si="21"/>
        <v>#VALUE!</v>
      </c>
      <c r="CO20" s="239" t="e">
        <f t="shared" si="22"/>
        <v>#VALUE!</v>
      </c>
      <c r="CP20" s="239" t="str">
        <f>IF(D20="","",IF(E20=Data!$ZI$2,VLOOKUP(D20,Data!$ZK$2:$ZN$15,4,FALSE),IF(E20=Data!$ZI$1,VLOOKUP(D20,Data!$ZQ$2:$ZT$13,4,FALSE),IF(E20=Data!$ZI$3,VLOOKUP(D20,Data!$ZW$2:$AAC$13,4,FALSE),IF(E20=Data!$ZI$4,VLOOKUP(D20,Data!$AAC$2:$AAJ$13,4,FALSE),IF(E20=Data!$ZI$5,VLOOKUP(D20,Data!$AAC$26:$AAJ$37,4,FALSE)))))))</f>
        <v/>
      </c>
      <c r="CQ20" s="251">
        <f t="shared" si="23"/>
        <v>0</v>
      </c>
      <c r="CR20" s="251" t="e">
        <f t="shared" si="24"/>
        <v>#VALUE!</v>
      </c>
      <c r="CS20" s="239" t="e">
        <f t="shared" si="25"/>
        <v>#VALUE!</v>
      </c>
      <c r="CT20" s="311">
        <f t="shared" si="26"/>
        <v>0</v>
      </c>
      <c r="CU20" s="239" t="str">
        <f>IF(D20="","",IF(E20=Data!$ZI$2,VLOOKUP(D20,Data!$ZK$2:$ZO$15,5,FALSE),IF(E20=Data!$ZI$1,VLOOKUP(D20,Data!$ZQ$2:$ZU$13,5,FALSE),IF(E20=Data!$ZI$3,VLOOKUP(D20,Data!$ZW$2:$AAD$13,5,FALSE),IF(E20=Data!$ZI$4,VLOOKUP(D20,Data!$AAC$2:$AAK$13,5,FALSE),IF(E20=Data!$ZI$5,VLOOKUP(D20,Data!$AAC$26:$AAK$37,5,FALSE)))))))</f>
        <v/>
      </c>
      <c r="CV20" s="251">
        <f t="shared" si="27"/>
        <v>0</v>
      </c>
      <c r="CW20" s="251" t="e">
        <f t="shared" si="28"/>
        <v>#VALUE!</v>
      </c>
      <c r="CX20" s="239" t="e">
        <f t="shared" si="29"/>
        <v>#VALUE!</v>
      </c>
      <c r="CY20" s="239" t="str">
        <f>IF(D20="","",IF(E20=Data!$ZI$2,VLOOKUP(D20,Data!$ZK$2:$ZP$15,6,FALSE),IF(E20=Data!$ZI$1,VLOOKUP(D20,Data!$ZQ$2:$ZV$13,6,FALSE),IF(E20=Data!$ZI$3,VLOOKUP(D20,Data!$ZW$2:$AAE$13,6,FALSE),IF(E20=Data!$ZI$4,VLOOKUP(D20,Data!$AAC$2:$AAL$13,6,FALSE),IF(E20=Data!$ZI$5,VLOOKUP(D20,Data!$AAC$26:$AAL$37,6,FALSE)))))))</f>
        <v/>
      </c>
      <c r="CZ20" s="251">
        <f t="shared" si="30"/>
        <v>0</v>
      </c>
      <c r="DA20" s="251" t="e">
        <f t="shared" si="31"/>
        <v>#VALUE!</v>
      </c>
      <c r="DB20" s="239" t="e">
        <f t="shared" si="32"/>
        <v>#VALUE!</v>
      </c>
      <c r="DC20" s="311">
        <f t="shared" si="33"/>
        <v>0</v>
      </c>
    </row>
    <row r="21" spans="1:107" ht="30" customHeight="1">
      <c r="A21" s="52">
        <v>14</v>
      </c>
      <c r="B21" s="17"/>
      <c r="C21" s="17"/>
      <c r="D21" s="13"/>
      <c r="E21" s="235"/>
      <c r="F21" s="235"/>
      <c r="G21" s="235"/>
      <c r="H21" s="235"/>
      <c r="I21" s="14"/>
      <c r="J21" s="14"/>
      <c r="K21" s="14"/>
      <c r="L21" s="14"/>
      <c r="M21" s="563"/>
      <c r="N21" s="564"/>
      <c r="O21" s="15"/>
      <c r="P21" s="15"/>
      <c r="Q21" s="15"/>
      <c r="R21" s="15"/>
      <c r="S21" s="15"/>
      <c r="T21" s="13" t="str">
        <f t="shared" si="9"/>
        <v/>
      </c>
      <c r="U21" s="253" t="str">
        <f t="shared" si="10"/>
        <v/>
      </c>
      <c r="V21" s="470"/>
      <c r="W21" s="481" t="b">
        <f t="shared" si="11"/>
        <v>0</v>
      </c>
      <c r="X21" s="230"/>
      <c r="Y21" s="253"/>
      <c r="AA21" s="33" t="str">
        <f>IF(SUM(--ISNUMBER(SEARCH({"Skylight"}, D21))),Data!$AJ$19,Data!$AJ$1)</f>
        <v>WindowType</v>
      </c>
      <c r="AB21" s="33" t="str">
        <f t="shared" si="0"/>
        <v>OK</v>
      </c>
      <c r="AE21" s="239" t="e">
        <f>MATCH(E21, Data!$TB$2:$TB$6,0)</f>
        <v>#N/A</v>
      </c>
      <c r="AF21" s="239" t="e">
        <f>MATCH(F21,Data!$TC$1:$UB$1,0)</f>
        <v>#N/A</v>
      </c>
      <c r="AG21" s="239" t="e">
        <f>INDEX(Data!$TC$2:$UB$6,'Cellular Blinds'!AE21,'Cellular Blinds'!AF21)</f>
        <v>#N/A</v>
      </c>
      <c r="AH21" s="33" t="e">
        <f>VLOOKUP(D21,Data!$RU$2:$RV$15,2,FALSE)</f>
        <v>#N/A</v>
      </c>
      <c r="AI21" s="33" t="b">
        <f>IF(D21=Data!$UT$2,Data!$UU$1,IF(D21=Data!$UT$3,Data!$UV$1,IF(D21=Data!$UT$4,Data!$UW$1,IF(D21=Data!$UT$5,Data!$UX$1,IF(D21=Data!$UT$6,Data!$UY$1,IF(D21=Data!$UT$7,Data!$UZ$1,IF(D21=Data!$UT$8,Data!$VA$1,IF(D21=Data!$UT$9,Data!$VB$1,IF(D21=Data!$UT$10,Data!$VC$1,IF(D21=Data!$UT$11,Data!$VD$1,IF(D21=Data!$UT$12,Data!$VD$22,IF(D21=Data!$UT$13,Data!$VD$22,IF(D21=Data!$UT$14,Data!$UU$13,IF(D21=Data!$UT$15,Data!$UV$13))))))))))))))</f>
        <v>0</v>
      </c>
      <c r="AJ21" s="239" t="e">
        <f>MATCH(D21,Data!$VL$27:$VL$40,0)</f>
        <v>#N/A</v>
      </c>
      <c r="AK21" s="239" t="e">
        <f>MATCH(E21,Data!$VM$26:$VQ$26,0)</f>
        <v>#N/A</v>
      </c>
      <c r="AL21" s="239" t="e">
        <f>INDEX(Data!$VM$27:$VQ$40,'Cellular Blinds'!AJ21,'Cellular Blinds'!AK21)</f>
        <v>#N/A</v>
      </c>
      <c r="AM21" s="239" t="e">
        <f>MATCH(D21, Data!$VL$2:$VL$16,0)</f>
        <v>#N/A</v>
      </c>
      <c r="AN21" s="239" t="e">
        <f>MATCH(E21,Data!$VM$1:$VQ$1,0)</f>
        <v>#N/A</v>
      </c>
      <c r="AO21" s="239" t="e">
        <f>INDEX(Data!$VM$2:$VQ$16,'Cellular Blinds'!AM21,'Cellular Blinds'!AN21)</f>
        <v>#N/A</v>
      </c>
      <c r="AP21" s="33" t="e">
        <f>VLOOKUP(P21,Data!$UW$14:$UX$28,2,FALSE)</f>
        <v>#N/A</v>
      </c>
      <c r="AQ21" s="239" t="e">
        <f>MATCH(E21, Data!$XS$2:$XS$6,0)</f>
        <v>#N/A</v>
      </c>
      <c r="AR21" s="239" t="e">
        <f>MATCH(F21,Data!$XT$1:$YR$1,0)</f>
        <v>#N/A</v>
      </c>
      <c r="AS21" s="239" t="e">
        <f>INDEX(Data!$XT$2:$YR$6,'Cellular Blinds'!AQ21,'Cellular Blinds'!AR21)</f>
        <v>#N/A</v>
      </c>
      <c r="AT21" s="239" t="b">
        <f>IF(D21=Data!$YU$2,Data!$YV$1,IF(D21=Data!$YU$3,Data!$YW$1,IF(D21=Data!$YU$4,Data!$YX$1,IF(D21=Data!$YU$5,Data!$YY$1,IF(D21=Data!$YU$6,Data!$YZ$1,IF(D21=Data!$YU$7,Data!$ZA$1,IF(D21=Data!$YU$8,Data!$ZB$1,IF(D21=Data!$YU$9,Data!$ZC$1,IF(D21=Data!$YU$10,Data!$ZD$1,IF(D21=Data!$YU$11,Data!$ZE$1,IF(D21=Data!$YU$12,Data!$ZE$1,IF(D21=Data!$YU$13,Data!$ZE$1,IF(D21=Data!$YU$14,Data!$ZG$11,IF(D21=Data!$YU$15,Data!$ZF$11))))))))))))))</f>
        <v>0</v>
      </c>
      <c r="AU21" s="239" t="str">
        <f>IF(D21="","",IF(E21=Data!$ZI$2,VLOOKUP(D21,Data!$ZK$2:$ZL$15,2,FALSE),IF(E21=Data!$ZI$1,VLOOKUP(D21,Data!$ZQ$2:$ZR$13,2,FALSE),IF(E21=Data!$ZI$3,VLOOKUP(D21,Data!$ZW$2:$ZX$13,2,FALSE),IF(E21=Data!$ZI$4,VLOOKUP(D21,Data!$AAC$2:$AAD$13,2,FALSE),IF(E21=Data!$ZI$5,VLOOKUP(D21,Data!$AAC$26:$AAD$37,2,FALSE)))))))</f>
        <v/>
      </c>
      <c r="AV21" s="251" t="str">
        <f t="shared" si="12"/>
        <v/>
      </c>
      <c r="AW21" s="251" t="str">
        <f t="shared" si="13"/>
        <v/>
      </c>
      <c r="AX21" s="239" t="str">
        <f t="shared" si="14"/>
        <v/>
      </c>
      <c r="BA21" s="33" t="str">
        <f t="shared" si="15"/>
        <v>FittingBoth</v>
      </c>
      <c r="BN21" s="475" t="str">
        <f t="shared" si="1"/>
        <v>UChannelNA</v>
      </c>
      <c r="BO21" s="475" t="e">
        <f t="shared" si="16"/>
        <v>#N/A</v>
      </c>
      <c r="BP21" s="475" t="str">
        <f t="shared" si="17"/>
        <v>No</v>
      </c>
      <c r="BQ21" s="475" t="str">
        <f t="shared" si="18"/>
        <v>No</v>
      </c>
      <c r="BR21" s="475" t="e">
        <f t="shared" si="2"/>
        <v>#N/A</v>
      </c>
      <c r="BS21" s="475" t="s">
        <v>2177</v>
      </c>
      <c r="BT21" s="475" t="s">
        <v>69</v>
      </c>
      <c r="BU21" s="172">
        <f t="shared" si="19"/>
        <v>2</v>
      </c>
      <c r="CB21" s="33" t="e">
        <f t="shared" si="3"/>
        <v>#N/A</v>
      </c>
      <c r="CC21" s="172" t="b">
        <f t="shared" si="4"/>
        <v>0</v>
      </c>
      <c r="CD21" s="172">
        <f t="shared" si="5"/>
        <v>0</v>
      </c>
      <c r="CE21" s="172">
        <f t="shared" si="6"/>
        <v>0</v>
      </c>
      <c r="CF21" s="172">
        <f t="shared" si="7"/>
        <v>0</v>
      </c>
      <c r="CG21" s="172">
        <f t="shared" si="8"/>
        <v>0</v>
      </c>
      <c r="CL21" s="239" t="str">
        <f>IF(D21="","",IF(E21=Data!$ZI$2,VLOOKUP(D21,Data!$ZK$2:$ZP$15,3,FALSE),IF(E21=Data!$ZI$1,VLOOKUP(D21,Data!$ZQ$2:$ZS$13,3,FALSE),IF(E21=Data!$ZI$3,VLOOKUP(D21,Data!$ZW$2:$AAB$13,3,FALSE),IF(E21=Data!$ZI$4,VLOOKUP(D21,Data!$AAC$2:$AAI$13,3,FALSE),IF(E21=Data!$ZI$5,VLOOKUP(D21,Data!$AAC$26:$AAI$37,3,FALSE)))))))</f>
        <v/>
      </c>
      <c r="CM21" s="251">
        <f t="shared" si="20"/>
        <v>0</v>
      </c>
      <c r="CN21" s="251" t="e">
        <f t="shared" si="21"/>
        <v>#VALUE!</v>
      </c>
      <c r="CO21" s="239" t="e">
        <f t="shared" si="22"/>
        <v>#VALUE!</v>
      </c>
      <c r="CP21" s="239" t="str">
        <f>IF(D21="","",IF(E21=Data!$ZI$2,VLOOKUP(D21,Data!$ZK$2:$ZN$15,4,FALSE),IF(E21=Data!$ZI$1,VLOOKUP(D21,Data!$ZQ$2:$ZT$13,4,FALSE),IF(E21=Data!$ZI$3,VLOOKUP(D21,Data!$ZW$2:$AAC$13,4,FALSE),IF(E21=Data!$ZI$4,VLOOKUP(D21,Data!$AAC$2:$AAJ$13,4,FALSE),IF(E21=Data!$ZI$5,VLOOKUP(D21,Data!$AAC$26:$AAJ$37,4,FALSE)))))))</f>
        <v/>
      </c>
      <c r="CQ21" s="251">
        <f t="shared" si="23"/>
        <v>0</v>
      </c>
      <c r="CR21" s="251" t="e">
        <f t="shared" si="24"/>
        <v>#VALUE!</v>
      </c>
      <c r="CS21" s="239" t="e">
        <f t="shared" si="25"/>
        <v>#VALUE!</v>
      </c>
      <c r="CT21" s="311">
        <f t="shared" si="26"/>
        <v>0</v>
      </c>
      <c r="CU21" s="239" t="str">
        <f>IF(D21="","",IF(E21=Data!$ZI$2,VLOOKUP(D21,Data!$ZK$2:$ZO$15,5,FALSE),IF(E21=Data!$ZI$1,VLOOKUP(D21,Data!$ZQ$2:$ZU$13,5,FALSE),IF(E21=Data!$ZI$3,VLOOKUP(D21,Data!$ZW$2:$AAD$13,5,FALSE),IF(E21=Data!$ZI$4,VLOOKUP(D21,Data!$AAC$2:$AAK$13,5,FALSE),IF(E21=Data!$ZI$5,VLOOKUP(D21,Data!$AAC$26:$AAK$37,5,FALSE)))))))</f>
        <v/>
      </c>
      <c r="CV21" s="251">
        <f t="shared" si="27"/>
        <v>0</v>
      </c>
      <c r="CW21" s="251" t="e">
        <f t="shared" si="28"/>
        <v>#VALUE!</v>
      </c>
      <c r="CX21" s="239" t="e">
        <f t="shared" si="29"/>
        <v>#VALUE!</v>
      </c>
      <c r="CY21" s="239" t="str">
        <f>IF(D21="","",IF(E21=Data!$ZI$2,VLOOKUP(D21,Data!$ZK$2:$ZP$15,6,FALSE),IF(E21=Data!$ZI$1,VLOOKUP(D21,Data!$ZQ$2:$ZV$13,6,FALSE),IF(E21=Data!$ZI$3,VLOOKUP(D21,Data!$ZW$2:$AAE$13,6,FALSE),IF(E21=Data!$ZI$4,VLOOKUP(D21,Data!$AAC$2:$AAL$13,6,FALSE),IF(E21=Data!$ZI$5,VLOOKUP(D21,Data!$AAC$26:$AAL$37,6,FALSE)))))))</f>
        <v/>
      </c>
      <c r="CZ21" s="251">
        <f t="shared" si="30"/>
        <v>0</v>
      </c>
      <c r="DA21" s="251" t="e">
        <f t="shared" si="31"/>
        <v>#VALUE!</v>
      </c>
      <c r="DB21" s="239" t="e">
        <f t="shared" si="32"/>
        <v>#VALUE!</v>
      </c>
      <c r="DC21" s="311">
        <f t="shared" si="33"/>
        <v>0</v>
      </c>
    </row>
    <row r="22" spans="1:107" ht="30" customHeight="1">
      <c r="A22" s="52">
        <v>15</v>
      </c>
      <c r="B22" s="17"/>
      <c r="C22" s="17"/>
      <c r="D22" s="13"/>
      <c r="E22" s="235"/>
      <c r="F22" s="235"/>
      <c r="G22" s="235"/>
      <c r="H22" s="235"/>
      <c r="I22" s="14"/>
      <c r="J22" s="14"/>
      <c r="K22" s="14"/>
      <c r="L22" s="14"/>
      <c r="M22" s="563"/>
      <c r="N22" s="564"/>
      <c r="O22" s="15"/>
      <c r="P22" s="15"/>
      <c r="Q22" s="15"/>
      <c r="R22" s="15"/>
      <c r="S22" s="15"/>
      <c r="T22" s="13" t="str">
        <f t="shared" si="9"/>
        <v/>
      </c>
      <c r="U22" s="253" t="str">
        <f t="shared" si="10"/>
        <v/>
      </c>
      <c r="V22" s="470"/>
      <c r="W22" s="481" t="b">
        <f t="shared" si="11"/>
        <v>0</v>
      </c>
      <c r="X22" s="230"/>
      <c r="Y22" s="253"/>
      <c r="AA22" s="33" t="str">
        <f>IF(SUM(--ISNUMBER(SEARCH({"Skylight"}, D22))),Data!$AJ$19,Data!$AJ$1)</f>
        <v>WindowType</v>
      </c>
      <c r="AB22" s="33" t="str">
        <f t="shared" si="0"/>
        <v>OK</v>
      </c>
      <c r="AE22" s="239" t="e">
        <f>MATCH(E22, Data!$TB$2:$TB$6,0)</f>
        <v>#N/A</v>
      </c>
      <c r="AF22" s="239" t="e">
        <f>MATCH(F22,Data!$TC$1:$UB$1,0)</f>
        <v>#N/A</v>
      </c>
      <c r="AG22" s="239" t="e">
        <f>INDEX(Data!$TC$2:$UB$6,'Cellular Blinds'!AE22,'Cellular Blinds'!AF22)</f>
        <v>#N/A</v>
      </c>
      <c r="AH22" s="33" t="e">
        <f>VLOOKUP(D22,Data!$RU$2:$RV$15,2,FALSE)</f>
        <v>#N/A</v>
      </c>
      <c r="AI22" s="33" t="b">
        <f>IF(D22=Data!$UT$2,Data!$UU$1,IF(D22=Data!$UT$3,Data!$UV$1,IF(D22=Data!$UT$4,Data!$UW$1,IF(D22=Data!$UT$5,Data!$UX$1,IF(D22=Data!$UT$6,Data!$UY$1,IF(D22=Data!$UT$7,Data!$UZ$1,IF(D22=Data!$UT$8,Data!$VA$1,IF(D22=Data!$UT$9,Data!$VB$1,IF(D22=Data!$UT$10,Data!$VC$1,IF(D22=Data!$UT$11,Data!$VD$1,IF(D22=Data!$UT$12,Data!$VD$22,IF(D22=Data!$UT$13,Data!$VD$22,IF(D22=Data!$UT$14,Data!$UU$13,IF(D22=Data!$UT$15,Data!$UV$13))))))))))))))</f>
        <v>0</v>
      </c>
      <c r="AJ22" s="239" t="e">
        <f>MATCH(D22,Data!$VL$27:$VL$40,0)</f>
        <v>#N/A</v>
      </c>
      <c r="AK22" s="239" t="e">
        <f>MATCH(E22,Data!$VM$26:$VQ$26,0)</f>
        <v>#N/A</v>
      </c>
      <c r="AL22" s="239" t="e">
        <f>INDEX(Data!$VM$27:$VQ$40,'Cellular Blinds'!AJ22,'Cellular Blinds'!AK22)</f>
        <v>#N/A</v>
      </c>
      <c r="AM22" s="239" t="e">
        <f>MATCH(D22, Data!$VL$2:$VL$16,0)</f>
        <v>#N/A</v>
      </c>
      <c r="AN22" s="239" t="e">
        <f>MATCH(E22,Data!$VM$1:$VQ$1,0)</f>
        <v>#N/A</v>
      </c>
      <c r="AO22" s="239" t="e">
        <f>INDEX(Data!$VM$2:$VQ$16,'Cellular Blinds'!AM22,'Cellular Blinds'!AN22)</f>
        <v>#N/A</v>
      </c>
      <c r="AP22" s="33" t="e">
        <f>VLOOKUP(P22,Data!$UW$14:$UX$28,2,FALSE)</f>
        <v>#N/A</v>
      </c>
      <c r="AQ22" s="239" t="e">
        <f>MATCH(E22, Data!$XS$2:$XS$6,0)</f>
        <v>#N/A</v>
      </c>
      <c r="AR22" s="239" t="e">
        <f>MATCH(F22,Data!$XT$1:$YR$1,0)</f>
        <v>#N/A</v>
      </c>
      <c r="AS22" s="239" t="e">
        <f>INDEX(Data!$XT$2:$YR$6,'Cellular Blinds'!AQ22,'Cellular Blinds'!AR22)</f>
        <v>#N/A</v>
      </c>
      <c r="AT22" s="239" t="b">
        <f>IF(D22=Data!$YU$2,Data!$YV$1,IF(D22=Data!$YU$3,Data!$YW$1,IF(D22=Data!$YU$4,Data!$YX$1,IF(D22=Data!$YU$5,Data!$YY$1,IF(D22=Data!$YU$6,Data!$YZ$1,IF(D22=Data!$YU$7,Data!$ZA$1,IF(D22=Data!$YU$8,Data!$ZB$1,IF(D22=Data!$YU$9,Data!$ZC$1,IF(D22=Data!$YU$10,Data!$ZD$1,IF(D22=Data!$YU$11,Data!$ZE$1,IF(D22=Data!$YU$12,Data!$ZE$1,IF(D22=Data!$YU$13,Data!$ZE$1,IF(D22=Data!$YU$14,Data!$ZG$11,IF(D22=Data!$YU$15,Data!$ZF$11))))))))))))))</f>
        <v>0</v>
      </c>
      <c r="AU22" s="239" t="str">
        <f>IF(D22="","",IF(E22=Data!$ZI$2,VLOOKUP(D22,Data!$ZK$2:$ZL$15,2,FALSE),IF(E22=Data!$ZI$1,VLOOKUP(D22,Data!$ZQ$2:$ZR$13,2,FALSE),IF(E22=Data!$ZI$3,VLOOKUP(D22,Data!$ZW$2:$ZX$13,2,FALSE),IF(E22=Data!$ZI$4,VLOOKUP(D22,Data!$AAC$2:$AAD$13,2,FALSE),IF(E22=Data!$ZI$5,VLOOKUP(D22,Data!$AAC$26:$AAD$37,2,FALSE)))))))</f>
        <v/>
      </c>
      <c r="AV22" s="251" t="str">
        <f t="shared" si="12"/>
        <v/>
      </c>
      <c r="AW22" s="251" t="str">
        <f t="shared" si="13"/>
        <v/>
      </c>
      <c r="AX22" s="239" t="str">
        <f t="shared" si="14"/>
        <v/>
      </c>
      <c r="BA22" s="33" t="str">
        <f t="shared" si="15"/>
        <v>FittingBoth</v>
      </c>
      <c r="BN22" s="475" t="str">
        <f t="shared" si="1"/>
        <v>UChannelNA</v>
      </c>
      <c r="BO22" s="475" t="e">
        <f t="shared" si="16"/>
        <v>#N/A</v>
      </c>
      <c r="BP22" s="475" t="str">
        <f t="shared" si="17"/>
        <v>No</v>
      </c>
      <c r="BQ22" s="475" t="str">
        <f t="shared" si="18"/>
        <v>No</v>
      </c>
      <c r="BR22" s="475" t="e">
        <f t="shared" si="2"/>
        <v>#N/A</v>
      </c>
      <c r="BU22" s="172">
        <f t="shared" si="19"/>
        <v>2</v>
      </c>
      <c r="CB22" s="33" t="e">
        <f t="shared" si="3"/>
        <v>#N/A</v>
      </c>
      <c r="CC22" s="172" t="b">
        <f t="shared" si="4"/>
        <v>0</v>
      </c>
      <c r="CD22" s="172">
        <f t="shared" si="5"/>
        <v>0</v>
      </c>
      <c r="CE22" s="172">
        <f t="shared" si="6"/>
        <v>0</v>
      </c>
      <c r="CF22" s="172">
        <f t="shared" si="7"/>
        <v>0</v>
      </c>
      <c r="CG22" s="172">
        <f t="shared" si="8"/>
        <v>0</v>
      </c>
      <c r="CL22" s="239" t="str">
        <f>IF(D22="","",IF(E22=Data!$ZI$2,VLOOKUP(D22,Data!$ZK$2:$ZP$15,3,FALSE),IF(E22=Data!$ZI$1,VLOOKUP(D22,Data!$ZQ$2:$ZS$13,3,FALSE),IF(E22=Data!$ZI$3,VLOOKUP(D22,Data!$ZW$2:$AAB$13,3,FALSE),IF(E22=Data!$ZI$4,VLOOKUP(D22,Data!$AAC$2:$AAI$13,3,FALSE),IF(E22=Data!$ZI$5,VLOOKUP(D22,Data!$AAC$26:$AAI$37,3,FALSE)))))))</f>
        <v/>
      </c>
      <c r="CM22" s="251">
        <f t="shared" si="20"/>
        <v>0</v>
      </c>
      <c r="CN22" s="251" t="e">
        <f t="shared" si="21"/>
        <v>#VALUE!</v>
      </c>
      <c r="CO22" s="239" t="e">
        <f t="shared" si="22"/>
        <v>#VALUE!</v>
      </c>
      <c r="CP22" s="239" t="str">
        <f>IF(D22="","",IF(E22=Data!$ZI$2,VLOOKUP(D22,Data!$ZK$2:$ZN$15,4,FALSE),IF(E22=Data!$ZI$1,VLOOKUP(D22,Data!$ZQ$2:$ZT$13,4,FALSE),IF(E22=Data!$ZI$3,VLOOKUP(D22,Data!$ZW$2:$AAC$13,4,FALSE),IF(E22=Data!$ZI$4,VLOOKUP(D22,Data!$AAC$2:$AAJ$13,4,FALSE),IF(E22=Data!$ZI$5,VLOOKUP(D22,Data!$AAC$26:$AAJ$37,4,FALSE)))))))</f>
        <v/>
      </c>
      <c r="CQ22" s="251">
        <f t="shared" si="23"/>
        <v>0</v>
      </c>
      <c r="CR22" s="251" t="e">
        <f t="shared" si="24"/>
        <v>#VALUE!</v>
      </c>
      <c r="CS22" s="239" t="e">
        <f t="shared" si="25"/>
        <v>#VALUE!</v>
      </c>
      <c r="CT22" s="311">
        <f t="shared" si="26"/>
        <v>0</v>
      </c>
      <c r="CU22" s="239" t="str">
        <f>IF(D22="","",IF(E22=Data!$ZI$2,VLOOKUP(D22,Data!$ZK$2:$ZO$15,5,FALSE),IF(E22=Data!$ZI$1,VLOOKUP(D22,Data!$ZQ$2:$ZU$13,5,FALSE),IF(E22=Data!$ZI$3,VLOOKUP(D22,Data!$ZW$2:$AAD$13,5,FALSE),IF(E22=Data!$ZI$4,VLOOKUP(D22,Data!$AAC$2:$AAK$13,5,FALSE),IF(E22=Data!$ZI$5,VLOOKUP(D22,Data!$AAC$26:$AAK$37,5,FALSE)))))))</f>
        <v/>
      </c>
      <c r="CV22" s="251">
        <f t="shared" si="27"/>
        <v>0</v>
      </c>
      <c r="CW22" s="251" t="e">
        <f t="shared" si="28"/>
        <v>#VALUE!</v>
      </c>
      <c r="CX22" s="239" t="e">
        <f t="shared" si="29"/>
        <v>#VALUE!</v>
      </c>
      <c r="CY22" s="239" t="str">
        <f>IF(D22="","",IF(E22=Data!$ZI$2,VLOOKUP(D22,Data!$ZK$2:$ZP$15,6,FALSE),IF(E22=Data!$ZI$1,VLOOKUP(D22,Data!$ZQ$2:$ZV$13,6,FALSE),IF(E22=Data!$ZI$3,VLOOKUP(D22,Data!$ZW$2:$AAE$13,6,FALSE),IF(E22=Data!$ZI$4,VLOOKUP(D22,Data!$AAC$2:$AAL$13,6,FALSE),IF(E22=Data!$ZI$5,VLOOKUP(D22,Data!$AAC$26:$AAL$37,6,FALSE)))))))</f>
        <v/>
      </c>
      <c r="CZ22" s="251">
        <f t="shared" si="30"/>
        <v>0</v>
      </c>
      <c r="DA22" s="251" t="e">
        <f t="shared" si="31"/>
        <v>#VALUE!</v>
      </c>
      <c r="DB22" s="239" t="e">
        <f t="shared" si="32"/>
        <v>#VALUE!</v>
      </c>
      <c r="DC22" s="311">
        <f t="shared" si="33"/>
        <v>0</v>
      </c>
    </row>
    <row r="23" spans="1:107" ht="30" customHeight="1">
      <c r="A23" s="52">
        <v>16</v>
      </c>
      <c r="B23" s="17"/>
      <c r="C23" s="17"/>
      <c r="D23" s="13"/>
      <c r="E23" s="235"/>
      <c r="F23" s="235"/>
      <c r="G23" s="235"/>
      <c r="H23" s="235"/>
      <c r="I23" s="14"/>
      <c r="J23" s="14"/>
      <c r="K23" s="14"/>
      <c r="L23" s="14"/>
      <c r="M23" s="563"/>
      <c r="N23" s="564"/>
      <c r="O23" s="15"/>
      <c r="P23" s="15"/>
      <c r="Q23" s="15"/>
      <c r="R23" s="15"/>
      <c r="S23" s="15"/>
      <c r="T23" s="13" t="str">
        <f t="shared" si="9"/>
        <v/>
      </c>
      <c r="U23" s="253" t="str">
        <f t="shared" si="10"/>
        <v/>
      </c>
      <c r="V23" s="470"/>
      <c r="W23" s="481" t="b">
        <f t="shared" si="11"/>
        <v>0</v>
      </c>
      <c r="X23" s="230"/>
      <c r="Y23" s="253"/>
      <c r="AA23" s="33" t="str">
        <f>IF(SUM(--ISNUMBER(SEARCH({"Skylight"}, D23))),Data!$AJ$19,Data!$AJ$1)</f>
        <v>WindowType</v>
      </c>
      <c r="AB23" s="33" t="str">
        <f t="shared" si="0"/>
        <v>OK</v>
      </c>
      <c r="AE23" s="239" t="e">
        <f>MATCH(E23, Data!$TB$2:$TB$6,0)</f>
        <v>#N/A</v>
      </c>
      <c r="AF23" s="239" t="e">
        <f>MATCH(F23,Data!$TC$1:$UB$1,0)</f>
        <v>#N/A</v>
      </c>
      <c r="AG23" s="239" t="e">
        <f>INDEX(Data!$TC$2:$UB$6,'Cellular Blinds'!AE23,'Cellular Blinds'!AF23)</f>
        <v>#N/A</v>
      </c>
      <c r="AH23" s="33" t="e">
        <f>VLOOKUP(D23,Data!$RU$2:$RV$15,2,FALSE)</f>
        <v>#N/A</v>
      </c>
      <c r="AI23" s="33" t="b">
        <f>IF(D23=Data!$UT$2,Data!$UU$1,IF(D23=Data!$UT$3,Data!$UV$1,IF(D23=Data!$UT$4,Data!$UW$1,IF(D23=Data!$UT$5,Data!$UX$1,IF(D23=Data!$UT$6,Data!$UY$1,IF(D23=Data!$UT$7,Data!$UZ$1,IF(D23=Data!$UT$8,Data!$VA$1,IF(D23=Data!$UT$9,Data!$VB$1,IF(D23=Data!$UT$10,Data!$VC$1,IF(D23=Data!$UT$11,Data!$VD$1,IF(D23=Data!$UT$12,Data!$VD$22,IF(D23=Data!$UT$13,Data!$VD$22,IF(D23=Data!$UT$14,Data!$UU$13,IF(D23=Data!$UT$15,Data!$UV$13))))))))))))))</f>
        <v>0</v>
      </c>
      <c r="AJ23" s="239" t="e">
        <f>MATCH(D23,Data!$VL$27:$VL$40,0)</f>
        <v>#N/A</v>
      </c>
      <c r="AK23" s="239" t="e">
        <f>MATCH(E23,Data!$VM$26:$VQ$26,0)</f>
        <v>#N/A</v>
      </c>
      <c r="AL23" s="239" t="e">
        <f>INDEX(Data!$VM$27:$VQ$40,'Cellular Blinds'!AJ23,'Cellular Blinds'!AK23)</f>
        <v>#N/A</v>
      </c>
      <c r="AM23" s="239" t="e">
        <f>MATCH(D23, Data!$VL$2:$VL$16,0)</f>
        <v>#N/A</v>
      </c>
      <c r="AN23" s="239" t="e">
        <f>MATCH(E23,Data!$VM$1:$VQ$1,0)</f>
        <v>#N/A</v>
      </c>
      <c r="AO23" s="239" t="e">
        <f>INDEX(Data!$VM$2:$VQ$16,'Cellular Blinds'!AM23,'Cellular Blinds'!AN23)</f>
        <v>#N/A</v>
      </c>
      <c r="AP23" s="33" t="e">
        <f>VLOOKUP(P23,Data!$UW$14:$UX$28,2,FALSE)</f>
        <v>#N/A</v>
      </c>
      <c r="AQ23" s="239" t="e">
        <f>MATCH(E23, Data!$XS$2:$XS$6,0)</f>
        <v>#N/A</v>
      </c>
      <c r="AR23" s="239" t="e">
        <f>MATCH(F23,Data!$XT$1:$YR$1,0)</f>
        <v>#N/A</v>
      </c>
      <c r="AS23" s="239" t="e">
        <f>INDEX(Data!$XT$2:$YR$6,'Cellular Blinds'!AQ23,'Cellular Blinds'!AR23)</f>
        <v>#N/A</v>
      </c>
      <c r="AT23" s="239" t="b">
        <f>IF(D23=Data!$YU$2,Data!$YV$1,IF(D23=Data!$YU$3,Data!$YW$1,IF(D23=Data!$YU$4,Data!$YX$1,IF(D23=Data!$YU$5,Data!$YY$1,IF(D23=Data!$YU$6,Data!$YZ$1,IF(D23=Data!$YU$7,Data!$ZA$1,IF(D23=Data!$YU$8,Data!$ZB$1,IF(D23=Data!$YU$9,Data!$ZC$1,IF(D23=Data!$YU$10,Data!$ZD$1,IF(D23=Data!$YU$11,Data!$ZE$1,IF(D23=Data!$YU$12,Data!$ZE$1,IF(D23=Data!$YU$13,Data!$ZE$1,IF(D23=Data!$YU$14,Data!$ZG$11,IF(D23=Data!$YU$15,Data!$ZF$11))))))))))))))</f>
        <v>0</v>
      </c>
      <c r="AU23" s="239" t="str">
        <f>IF(D23="","",IF(E23=Data!$ZI$2,VLOOKUP(D23,Data!$ZK$2:$ZL$15,2,FALSE),IF(E23=Data!$ZI$1,VLOOKUP(D23,Data!$ZQ$2:$ZR$13,2,FALSE),IF(E23=Data!$ZI$3,VLOOKUP(D23,Data!$ZW$2:$ZX$13,2,FALSE),IF(E23=Data!$ZI$4,VLOOKUP(D23,Data!$AAC$2:$AAD$13,2,FALSE),IF(E23=Data!$ZI$5,VLOOKUP(D23,Data!$AAC$26:$AAD$37,2,FALSE)))))))</f>
        <v/>
      </c>
      <c r="AV23" s="251" t="str">
        <f t="shared" si="12"/>
        <v/>
      </c>
      <c r="AW23" s="251" t="str">
        <f t="shared" si="13"/>
        <v/>
      </c>
      <c r="AX23" s="239" t="str">
        <f t="shared" si="14"/>
        <v/>
      </c>
      <c r="BA23" s="33" t="str">
        <f t="shared" si="15"/>
        <v>FittingBoth</v>
      </c>
      <c r="BN23" s="475" t="str">
        <f t="shared" si="1"/>
        <v>UChannelNA</v>
      </c>
      <c r="BO23" s="475" t="e">
        <f t="shared" si="16"/>
        <v>#N/A</v>
      </c>
      <c r="BP23" s="475" t="str">
        <f t="shared" si="17"/>
        <v>No</v>
      </c>
      <c r="BQ23" s="475" t="str">
        <f t="shared" si="18"/>
        <v>No</v>
      </c>
      <c r="BR23" s="475" t="e">
        <f t="shared" si="2"/>
        <v>#N/A</v>
      </c>
      <c r="BU23" s="172">
        <f t="shared" si="19"/>
        <v>2</v>
      </c>
      <c r="CB23" s="33" t="e">
        <f t="shared" si="3"/>
        <v>#N/A</v>
      </c>
      <c r="CC23" s="172" t="b">
        <f t="shared" si="4"/>
        <v>0</v>
      </c>
      <c r="CD23" s="172">
        <f t="shared" si="5"/>
        <v>0</v>
      </c>
      <c r="CE23" s="172">
        <f t="shared" si="6"/>
        <v>0</v>
      </c>
      <c r="CF23" s="172">
        <f t="shared" si="7"/>
        <v>0</v>
      </c>
      <c r="CG23" s="172">
        <f t="shared" si="8"/>
        <v>0</v>
      </c>
      <c r="CL23" s="239" t="str">
        <f>IF(D23="","",IF(E23=Data!$ZI$2,VLOOKUP(D23,Data!$ZK$2:$ZP$15,3,FALSE),IF(E23=Data!$ZI$1,VLOOKUP(D23,Data!$ZQ$2:$ZS$13,3,FALSE),IF(E23=Data!$ZI$3,VLOOKUP(D23,Data!$ZW$2:$AAB$13,3,FALSE),IF(E23=Data!$ZI$4,VLOOKUP(D23,Data!$AAC$2:$AAI$13,3,FALSE),IF(E23=Data!$ZI$5,VLOOKUP(D23,Data!$AAC$26:$AAI$37,3,FALSE)))))))</f>
        <v/>
      </c>
      <c r="CM23" s="251">
        <f t="shared" si="20"/>
        <v>0</v>
      </c>
      <c r="CN23" s="251" t="e">
        <f t="shared" si="21"/>
        <v>#VALUE!</v>
      </c>
      <c r="CO23" s="239" t="e">
        <f t="shared" si="22"/>
        <v>#VALUE!</v>
      </c>
      <c r="CP23" s="239" t="str">
        <f>IF(D23="","",IF(E23=Data!$ZI$2,VLOOKUP(D23,Data!$ZK$2:$ZN$15,4,FALSE),IF(E23=Data!$ZI$1,VLOOKUP(D23,Data!$ZQ$2:$ZT$13,4,FALSE),IF(E23=Data!$ZI$3,VLOOKUP(D23,Data!$ZW$2:$AAC$13,4,FALSE),IF(E23=Data!$ZI$4,VLOOKUP(D23,Data!$AAC$2:$AAJ$13,4,FALSE),IF(E23=Data!$ZI$5,VLOOKUP(D23,Data!$AAC$26:$AAJ$37,4,FALSE)))))))</f>
        <v/>
      </c>
      <c r="CQ23" s="251">
        <f t="shared" si="23"/>
        <v>0</v>
      </c>
      <c r="CR23" s="251" t="e">
        <f t="shared" si="24"/>
        <v>#VALUE!</v>
      </c>
      <c r="CS23" s="239" t="e">
        <f t="shared" si="25"/>
        <v>#VALUE!</v>
      </c>
      <c r="CT23" s="311">
        <f t="shared" si="26"/>
        <v>0</v>
      </c>
      <c r="CU23" s="239" t="str">
        <f>IF(D23="","",IF(E23=Data!$ZI$2,VLOOKUP(D23,Data!$ZK$2:$ZO$15,5,FALSE),IF(E23=Data!$ZI$1,VLOOKUP(D23,Data!$ZQ$2:$ZU$13,5,FALSE),IF(E23=Data!$ZI$3,VLOOKUP(D23,Data!$ZW$2:$AAD$13,5,FALSE),IF(E23=Data!$ZI$4,VLOOKUP(D23,Data!$AAC$2:$AAK$13,5,FALSE),IF(E23=Data!$ZI$5,VLOOKUP(D23,Data!$AAC$26:$AAK$37,5,FALSE)))))))</f>
        <v/>
      </c>
      <c r="CV23" s="251">
        <f t="shared" si="27"/>
        <v>0</v>
      </c>
      <c r="CW23" s="251" t="e">
        <f t="shared" si="28"/>
        <v>#VALUE!</v>
      </c>
      <c r="CX23" s="239" t="e">
        <f t="shared" si="29"/>
        <v>#VALUE!</v>
      </c>
      <c r="CY23" s="239" t="str">
        <f>IF(D23="","",IF(E23=Data!$ZI$2,VLOOKUP(D23,Data!$ZK$2:$ZP$15,6,FALSE),IF(E23=Data!$ZI$1,VLOOKUP(D23,Data!$ZQ$2:$ZV$13,6,FALSE),IF(E23=Data!$ZI$3,VLOOKUP(D23,Data!$ZW$2:$AAE$13,6,FALSE),IF(E23=Data!$ZI$4,VLOOKUP(D23,Data!$AAC$2:$AAL$13,6,FALSE),IF(E23=Data!$ZI$5,VLOOKUP(D23,Data!$AAC$26:$AAL$37,6,FALSE)))))))</f>
        <v/>
      </c>
      <c r="CZ23" s="251">
        <f t="shared" si="30"/>
        <v>0</v>
      </c>
      <c r="DA23" s="251" t="e">
        <f t="shared" si="31"/>
        <v>#VALUE!</v>
      </c>
      <c r="DB23" s="239" t="e">
        <f t="shared" si="32"/>
        <v>#VALUE!</v>
      </c>
      <c r="DC23" s="311">
        <f t="shared" si="33"/>
        <v>0</v>
      </c>
    </row>
    <row r="24" spans="1:107" ht="30" customHeight="1">
      <c r="A24" s="52">
        <v>17</v>
      </c>
      <c r="B24" s="20"/>
      <c r="C24" s="17"/>
      <c r="D24" s="13"/>
      <c r="E24" s="235"/>
      <c r="F24" s="235"/>
      <c r="G24" s="235"/>
      <c r="H24" s="235"/>
      <c r="I24" s="14"/>
      <c r="J24" s="14"/>
      <c r="K24" s="14"/>
      <c r="L24" s="14"/>
      <c r="M24" s="563"/>
      <c r="N24" s="564"/>
      <c r="O24" s="15"/>
      <c r="P24" s="15"/>
      <c r="Q24" s="15"/>
      <c r="R24" s="15"/>
      <c r="S24" s="15"/>
      <c r="T24" s="13" t="str">
        <f t="shared" si="9"/>
        <v/>
      </c>
      <c r="U24" s="253" t="str">
        <f t="shared" si="10"/>
        <v/>
      </c>
      <c r="V24" s="470"/>
      <c r="W24" s="481" t="b">
        <f t="shared" si="11"/>
        <v>0</v>
      </c>
      <c r="X24" s="230"/>
      <c r="Y24" s="253"/>
      <c r="AA24" s="33" t="str">
        <f>IF(SUM(--ISNUMBER(SEARCH({"Skylight"}, D24))),Data!$AJ$19,Data!$AJ$1)</f>
        <v>WindowType</v>
      </c>
      <c r="AB24" s="33" t="str">
        <f t="shared" si="0"/>
        <v>OK</v>
      </c>
      <c r="AE24" s="239" t="e">
        <f>MATCH(E24, Data!$TB$2:$TB$6,0)</f>
        <v>#N/A</v>
      </c>
      <c r="AF24" s="239" t="e">
        <f>MATCH(F24,Data!$TC$1:$UB$1,0)</f>
        <v>#N/A</v>
      </c>
      <c r="AG24" s="239" t="e">
        <f>INDEX(Data!$TC$2:$UB$6,'Cellular Blinds'!AE24,'Cellular Blinds'!AF24)</f>
        <v>#N/A</v>
      </c>
      <c r="AH24" s="33" t="e">
        <f>VLOOKUP(D24,Data!$RU$2:$RV$15,2,FALSE)</f>
        <v>#N/A</v>
      </c>
      <c r="AI24" s="33" t="b">
        <f>IF(D24=Data!$UT$2,Data!$UU$1,IF(D24=Data!$UT$3,Data!$UV$1,IF(D24=Data!$UT$4,Data!$UW$1,IF(D24=Data!$UT$5,Data!$UX$1,IF(D24=Data!$UT$6,Data!$UY$1,IF(D24=Data!$UT$7,Data!$UZ$1,IF(D24=Data!$UT$8,Data!$VA$1,IF(D24=Data!$UT$9,Data!$VB$1,IF(D24=Data!$UT$10,Data!$VC$1,IF(D24=Data!$UT$11,Data!$VD$1,IF(D24=Data!$UT$12,Data!$VD$22,IF(D24=Data!$UT$13,Data!$VD$22,IF(D24=Data!$UT$14,Data!$UU$13,IF(D24=Data!$UT$15,Data!$UV$13))))))))))))))</f>
        <v>0</v>
      </c>
      <c r="AJ24" s="239" t="e">
        <f>MATCH(D24,Data!$VL$27:$VL$40,0)</f>
        <v>#N/A</v>
      </c>
      <c r="AK24" s="239" t="e">
        <f>MATCH(E24,Data!$VM$26:$VQ$26,0)</f>
        <v>#N/A</v>
      </c>
      <c r="AL24" s="239" t="e">
        <f>INDEX(Data!$VM$27:$VQ$40,'Cellular Blinds'!AJ24,'Cellular Blinds'!AK24)</f>
        <v>#N/A</v>
      </c>
      <c r="AM24" s="239" t="e">
        <f>MATCH(D24, Data!$VL$2:$VL$16,0)</f>
        <v>#N/A</v>
      </c>
      <c r="AN24" s="239" t="e">
        <f>MATCH(E24,Data!$VM$1:$VQ$1,0)</f>
        <v>#N/A</v>
      </c>
      <c r="AO24" s="239" t="e">
        <f>INDEX(Data!$VM$2:$VQ$16,'Cellular Blinds'!AM24,'Cellular Blinds'!AN24)</f>
        <v>#N/A</v>
      </c>
      <c r="AP24" s="33" t="e">
        <f>VLOOKUP(P24,Data!$UW$14:$UX$28,2,FALSE)</f>
        <v>#N/A</v>
      </c>
      <c r="AQ24" s="239" t="e">
        <f>MATCH(E24, Data!$XS$2:$XS$6,0)</f>
        <v>#N/A</v>
      </c>
      <c r="AR24" s="239" t="e">
        <f>MATCH(F24,Data!$XT$1:$YR$1,0)</f>
        <v>#N/A</v>
      </c>
      <c r="AS24" s="239" t="e">
        <f>INDEX(Data!$XT$2:$YR$6,'Cellular Blinds'!AQ24,'Cellular Blinds'!AR24)</f>
        <v>#N/A</v>
      </c>
      <c r="AT24" s="239" t="b">
        <f>IF(D24=Data!$YU$2,Data!$YV$1,IF(D24=Data!$YU$3,Data!$YW$1,IF(D24=Data!$YU$4,Data!$YX$1,IF(D24=Data!$YU$5,Data!$YY$1,IF(D24=Data!$YU$6,Data!$YZ$1,IF(D24=Data!$YU$7,Data!$ZA$1,IF(D24=Data!$YU$8,Data!$ZB$1,IF(D24=Data!$YU$9,Data!$ZC$1,IF(D24=Data!$YU$10,Data!$ZD$1,IF(D24=Data!$YU$11,Data!$ZE$1,IF(D24=Data!$YU$12,Data!$ZE$1,IF(D24=Data!$YU$13,Data!$ZE$1,IF(D24=Data!$YU$14,Data!$ZG$11,IF(D24=Data!$YU$15,Data!$ZF$11))))))))))))))</f>
        <v>0</v>
      </c>
      <c r="AU24" s="239" t="str">
        <f>IF(D24="","",IF(E24=Data!$ZI$2,VLOOKUP(D24,Data!$ZK$2:$ZL$15,2,FALSE),IF(E24=Data!$ZI$1,VLOOKUP(D24,Data!$ZQ$2:$ZR$13,2,FALSE),IF(E24=Data!$ZI$3,VLOOKUP(D24,Data!$ZW$2:$ZX$13,2,FALSE),IF(E24=Data!$ZI$4,VLOOKUP(D24,Data!$AAC$2:$AAD$13,2,FALSE),IF(E24=Data!$ZI$5,VLOOKUP(D24,Data!$AAC$26:$AAD$37,2,FALSE)))))))</f>
        <v/>
      </c>
      <c r="AV24" s="251" t="str">
        <f t="shared" si="12"/>
        <v/>
      </c>
      <c r="AW24" s="251" t="str">
        <f t="shared" si="13"/>
        <v/>
      </c>
      <c r="AX24" s="239" t="str">
        <f t="shared" si="14"/>
        <v/>
      </c>
      <c r="BA24" s="33" t="str">
        <f t="shared" si="15"/>
        <v>FittingBoth</v>
      </c>
      <c r="BN24" s="475" t="str">
        <f t="shared" si="1"/>
        <v>UChannelNA</v>
      </c>
      <c r="BO24" s="475" t="e">
        <f t="shared" si="16"/>
        <v>#N/A</v>
      </c>
      <c r="BP24" s="475" t="str">
        <f t="shared" si="17"/>
        <v>No</v>
      </c>
      <c r="BQ24" s="475" t="str">
        <f t="shared" si="18"/>
        <v>No</v>
      </c>
      <c r="BR24" s="475" t="e">
        <f t="shared" si="2"/>
        <v>#N/A</v>
      </c>
      <c r="BU24" s="172">
        <f t="shared" si="19"/>
        <v>2</v>
      </c>
      <c r="CB24" s="33" t="e">
        <f t="shared" si="3"/>
        <v>#N/A</v>
      </c>
      <c r="CC24" s="172" t="b">
        <f t="shared" si="4"/>
        <v>0</v>
      </c>
      <c r="CD24" s="172">
        <f t="shared" si="5"/>
        <v>0</v>
      </c>
      <c r="CE24" s="172">
        <f t="shared" si="6"/>
        <v>0</v>
      </c>
      <c r="CF24" s="172">
        <f t="shared" si="7"/>
        <v>0</v>
      </c>
      <c r="CG24" s="172">
        <f t="shared" si="8"/>
        <v>0</v>
      </c>
      <c r="CL24" s="239" t="str">
        <f>IF(D24="","",IF(E24=Data!$ZI$2,VLOOKUP(D24,Data!$ZK$2:$ZP$15,3,FALSE),IF(E24=Data!$ZI$1,VLOOKUP(D24,Data!$ZQ$2:$ZS$13,3,FALSE),IF(E24=Data!$ZI$3,VLOOKUP(D24,Data!$ZW$2:$AAB$13,3,FALSE),IF(E24=Data!$ZI$4,VLOOKUP(D24,Data!$AAC$2:$AAI$13,3,FALSE),IF(E24=Data!$ZI$5,VLOOKUP(D24,Data!$AAC$26:$AAI$37,3,FALSE)))))))</f>
        <v/>
      </c>
      <c r="CM24" s="251">
        <f t="shared" si="20"/>
        <v>0</v>
      </c>
      <c r="CN24" s="251" t="e">
        <f t="shared" si="21"/>
        <v>#VALUE!</v>
      </c>
      <c r="CO24" s="239" t="e">
        <f t="shared" si="22"/>
        <v>#VALUE!</v>
      </c>
      <c r="CP24" s="239" t="str">
        <f>IF(D24="","",IF(E24=Data!$ZI$2,VLOOKUP(D24,Data!$ZK$2:$ZN$15,4,FALSE),IF(E24=Data!$ZI$1,VLOOKUP(D24,Data!$ZQ$2:$ZT$13,4,FALSE),IF(E24=Data!$ZI$3,VLOOKUP(D24,Data!$ZW$2:$AAC$13,4,FALSE),IF(E24=Data!$ZI$4,VLOOKUP(D24,Data!$AAC$2:$AAJ$13,4,FALSE),IF(E24=Data!$ZI$5,VLOOKUP(D24,Data!$AAC$26:$AAJ$37,4,FALSE)))))))</f>
        <v/>
      </c>
      <c r="CQ24" s="251">
        <f t="shared" si="23"/>
        <v>0</v>
      </c>
      <c r="CR24" s="251" t="e">
        <f t="shared" si="24"/>
        <v>#VALUE!</v>
      </c>
      <c r="CS24" s="239" t="e">
        <f t="shared" si="25"/>
        <v>#VALUE!</v>
      </c>
      <c r="CT24" s="311">
        <f t="shared" si="26"/>
        <v>0</v>
      </c>
      <c r="CU24" s="239" t="str">
        <f>IF(D24="","",IF(E24=Data!$ZI$2,VLOOKUP(D24,Data!$ZK$2:$ZO$15,5,FALSE),IF(E24=Data!$ZI$1,VLOOKUP(D24,Data!$ZQ$2:$ZU$13,5,FALSE),IF(E24=Data!$ZI$3,VLOOKUP(D24,Data!$ZW$2:$AAD$13,5,FALSE),IF(E24=Data!$ZI$4,VLOOKUP(D24,Data!$AAC$2:$AAK$13,5,FALSE),IF(E24=Data!$ZI$5,VLOOKUP(D24,Data!$AAC$26:$AAK$37,5,FALSE)))))))</f>
        <v/>
      </c>
      <c r="CV24" s="251">
        <f t="shared" si="27"/>
        <v>0</v>
      </c>
      <c r="CW24" s="251" t="e">
        <f t="shared" si="28"/>
        <v>#VALUE!</v>
      </c>
      <c r="CX24" s="239" t="e">
        <f t="shared" si="29"/>
        <v>#VALUE!</v>
      </c>
      <c r="CY24" s="239" t="str">
        <f>IF(D24="","",IF(E24=Data!$ZI$2,VLOOKUP(D24,Data!$ZK$2:$ZP$15,6,FALSE),IF(E24=Data!$ZI$1,VLOOKUP(D24,Data!$ZQ$2:$ZV$13,6,FALSE),IF(E24=Data!$ZI$3,VLOOKUP(D24,Data!$ZW$2:$AAE$13,6,FALSE),IF(E24=Data!$ZI$4,VLOOKUP(D24,Data!$AAC$2:$AAL$13,6,FALSE),IF(E24=Data!$ZI$5,VLOOKUP(D24,Data!$AAC$26:$AAL$37,6,FALSE)))))))</f>
        <v/>
      </c>
      <c r="CZ24" s="251">
        <f t="shared" si="30"/>
        <v>0</v>
      </c>
      <c r="DA24" s="251" t="e">
        <f t="shared" si="31"/>
        <v>#VALUE!</v>
      </c>
      <c r="DB24" s="239" t="e">
        <f t="shared" si="32"/>
        <v>#VALUE!</v>
      </c>
      <c r="DC24" s="311">
        <f t="shared" si="33"/>
        <v>0</v>
      </c>
    </row>
    <row r="25" spans="1:107" ht="30" customHeight="1">
      <c r="A25" s="52">
        <v>18</v>
      </c>
      <c r="B25" s="17"/>
      <c r="C25" s="17"/>
      <c r="D25" s="13"/>
      <c r="E25" s="235"/>
      <c r="F25" s="235"/>
      <c r="G25" s="235"/>
      <c r="H25" s="235"/>
      <c r="I25" s="14"/>
      <c r="J25" s="14"/>
      <c r="K25" s="14"/>
      <c r="L25" s="14"/>
      <c r="M25" s="563"/>
      <c r="N25" s="564"/>
      <c r="O25" s="15"/>
      <c r="P25" s="15"/>
      <c r="Q25" s="15"/>
      <c r="R25" s="15"/>
      <c r="S25" s="15"/>
      <c r="T25" s="13" t="str">
        <f t="shared" si="9"/>
        <v/>
      </c>
      <c r="U25" s="253" t="str">
        <f t="shared" si="10"/>
        <v/>
      </c>
      <c r="V25" s="470"/>
      <c r="W25" s="481" t="b">
        <f t="shared" si="11"/>
        <v>0</v>
      </c>
      <c r="X25" s="230"/>
      <c r="Y25" s="253"/>
      <c r="AA25" s="33" t="str">
        <f>IF(SUM(--ISNUMBER(SEARCH({"Skylight"}, D25))),Data!$AJ$19,Data!$AJ$1)</f>
        <v>WindowType</v>
      </c>
      <c r="AB25" s="33" t="str">
        <f t="shared" si="0"/>
        <v>OK</v>
      </c>
      <c r="AE25" s="239" t="e">
        <f>MATCH(E25, Data!$TB$2:$TB$6,0)</f>
        <v>#N/A</v>
      </c>
      <c r="AF25" s="239" t="e">
        <f>MATCH(F25,Data!$TC$1:$UB$1,0)</f>
        <v>#N/A</v>
      </c>
      <c r="AG25" s="239" t="e">
        <f>INDEX(Data!$TC$2:$UB$6,'Cellular Blinds'!AE25,'Cellular Blinds'!AF25)</f>
        <v>#N/A</v>
      </c>
      <c r="AH25" s="33" t="e">
        <f>VLOOKUP(D25,Data!$RU$2:$RV$15,2,FALSE)</f>
        <v>#N/A</v>
      </c>
      <c r="AI25" s="33" t="b">
        <f>IF(D25=Data!$UT$2,Data!$UU$1,IF(D25=Data!$UT$3,Data!$UV$1,IF(D25=Data!$UT$4,Data!$UW$1,IF(D25=Data!$UT$5,Data!$UX$1,IF(D25=Data!$UT$6,Data!$UY$1,IF(D25=Data!$UT$7,Data!$UZ$1,IF(D25=Data!$UT$8,Data!$VA$1,IF(D25=Data!$UT$9,Data!$VB$1,IF(D25=Data!$UT$10,Data!$VC$1,IF(D25=Data!$UT$11,Data!$VD$1,IF(D25=Data!$UT$12,Data!$VD$22,IF(D25=Data!$UT$13,Data!$VD$22,IF(D25=Data!$UT$14,Data!$UU$13,IF(D25=Data!$UT$15,Data!$UV$13))))))))))))))</f>
        <v>0</v>
      </c>
      <c r="AJ25" s="239" t="e">
        <f>MATCH(D25,Data!$VL$27:$VL$40,0)</f>
        <v>#N/A</v>
      </c>
      <c r="AK25" s="239" t="e">
        <f>MATCH(E25,Data!$VM$26:$VQ$26,0)</f>
        <v>#N/A</v>
      </c>
      <c r="AL25" s="239" t="e">
        <f>INDEX(Data!$VM$27:$VQ$40,'Cellular Blinds'!AJ25,'Cellular Blinds'!AK25)</f>
        <v>#N/A</v>
      </c>
      <c r="AM25" s="239" t="e">
        <f>MATCH(D25, Data!$VL$2:$VL$16,0)</f>
        <v>#N/A</v>
      </c>
      <c r="AN25" s="239" t="e">
        <f>MATCH(E25,Data!$VM$1:$VQ$1,0)</f>
        <v>#N/A</v>
      </c>
      <c r="AO25" s="239" t="e">
        <f>INDEX(Data!$VM$2:$VQ$16,'Cellular Blinds'!AM25,'Cellular Blinds'!AN25)</f>
        <v>#N/A</v>
      </c>
      <c r="AP25" s="33" t="e">
        <f>VLOOKUP(P25,Data!$UW$14:$UX$28,2,FALSE)</f>
        <v>#N/A</v>
      </c>
      <c r="AQ25" s="239" t="e">
        <f>MATCH(E25, Data!$XS$2:$XS$6,0)</f>
        <v>#N/A</v>
      </c>
      <c r="AR25" s="239" t="e">
        <f>MATCH(F25,Data!$XT$1:$YR$1,0)</f>
        <v>#N/A</v>
      </c>
      <c r="AS25" s="239" t="e">
        <f>INDEX(Data!$XT$2:$YR$6,'Cellular Blinds'!AQ25,'Cellular Blinds'!AR25)</f>
        <v>#N/A</v>
      </c>
      <c r="AT25" s="239" t="b">
        <f>IF(D25=Data!$YU$2,Data!$YV$1,IF(D25=Data!$YU$3,Data!$YW$1,IF(D25=Data!$YU$4,Data!$YX$1,IF(D25=Data!$YU$5,Data!$YY$1,IF(D25=Data!$YU$6,Data!$YZ$1,IF(D25=Data!$YU$7,Data!$ZA$1,IF(D25=Data!$YU$8,Data!$ZB$1,IF(D25=Data!$YU$9,Data!$ZC$1,IF(D25=Data!$YU$10,Data!$ZD$1,IF(D25=Data!$YU$11,Data!$ZE$1,IF(D25=Data!$YU$12,Data!$ZE$1,IF(D25=Data!$YU$13,Data!$ZE$1,IF(D25=Data!$YU$14,Data!$ZG$11,IF(D25=Data!$YU$15,Data!$ZF$11))))))))))))))</f>
        <v>0</v>
      </c>
      <c r="AU25" s="239" t="str">
        <f>IF(D25="","",IF(E25=Data!$ZI$2,VLOOKUP(D25,Data!$ZK$2:$ZL$15,2,FALSE),IF(E25=Data!$ZI$1,VLOOKUP(D25,Data!$ZQ$2:$ZR$13,2,FALSE),IF(E25=Data!$ZI$3,VLOOKUP(D25,Data!$ZW$2:$ZX$13,2,FALSE),IF(E25=Data!$ZI$4,VLOOKUP(D25,Data!$AAC$2:$AAD$13,2,FALSE),IF(E25=Data!$ZI$5,VLOOKUP(D25,Data!$AAC$26:$AAD$37,2,FALSE)))))))</f>
        <v/>
      </c>
      <c r="AV25" s="251" t="str">
        <f t="shared" si="12"/>
        <v/>
      </c>
      <c r="AW25" s="251" t="str">
        <f t="shared" si="13"/>
        <v/>
      </c>
      <c r="AX25" s="239" t="str">
        <f t="shared" si="14"/>
        <v/>
      </c>
      <c r="BA25" s="33" t="str">
        <f t="shared" si="15"/>
        <v>FittingBoth</v>
      </c>
      <c r="BN25" s="475" t="str">
        <f t="shared" si="1"/>
        <v>UChannelNA</v>
      </c>
      <c r="BO25" s="475" t="e">
        <f t="shared" si="16"/>
        <v>#N/A</v>
      </c>
      <c r="BP25" s="475" t="str">
        <f t="shared" si="17"/>
        <v>No</v>
      </c>
      <c r="BQ25" s="475" t="str">
        <f t="shared" si="18"/>
        <v>No</v>
      </c>
      <c r="BR25" s="475" t="e">
        <f t="shared" si="2"/>
        <v>#N/A</v>
      </c>
      <c r="BU25" s="172">
        <f t="shared" si="19"/>
        <v>2</v>
      </c>
      <c r="CB25" s="33" t="e">
        <f t="shared" si="3"/>
        <v>#N/A</v>
      </c>
      <c r="CC25" s="172" t="b">
        <f t="shared" si="4"/>
        <v>0</v>
      </c>
      <c r="CD25" s="172">
        <f t="shared" si="5"/>
        <v>0</v>
      </c>
      <c r="CE25" s="172">
        <f t="shared" si="6"/>
        <v>0</v>
      </c>
      <c r="CF25" s="172">
        <f t="shared" si="7"/>
        <v>0</v>
      </c>
      <c r="CG25" s="172">
        <f t="shared" si="8"/>
        <v>0</v>
      </c>
      <c r="CL25" s="239" t="str">
        <f>IF(D25="","",IF(E25=Data!$ZI$2,VLOOKUP(D25,Data!$ZK$2:$ZP$15,3,FALSE),IF(E25=Data!$ZI$1,VLOOKUP(D25,Data!$ZQ$2:$ZS$13,3,FALSE),IF(E25=Data!$ZI$3,VLOOKUP(D25,Data!$ZW$2:$AAB$13,3,FALSE),IF(E25=Data!$ZI$4,VLOOKUP(D25,Data!$AAC$2:$AAI$13,3,FALSE),IF(E25=Data!$ZI$5,VLOOKUP(D25,Data!$AAC$26:$AAI$37,3,FALSE)))))))</f>
        <v/>
      </c>
      <c r="CM25" s="251">
        <f t="shared" si="20"/>
        <v>0</v>
      </c>
      <c r="CN25" s="251" t="e">
        <f t="shared" si="21"/>
        <v>#VALUE!</v>
      </c>
      <c r="CO25" s="239" t="e">
        <f t="shared" si="22"/>
        <v>#VALUE!</v>
      </c>
      <c r="CP25" s="239" t="str">
        <f>IF(D25="","",IF(E25=Data!$ZI$2,VLOOKUP(D25,Data!$ZK$2:$ZN$15,4,FALSE),IF(E25=Data!$ZI$1,VLOOKUP(D25,Data!$ZQ$2:$ZT$13,4,FALSE),IF(E25=Data!$ZI$3,VLOOKUP(D25,Data!$ZW$2:$AAC$13,4,FALSE),IF(E25=Data!$ZI$4,VLOOKUP(D25,Data!$AAC$2:$AAJ$13,4,FALSE),IF(E25=Data!$ZI$5,VLOOKUP(D25,Data!$AAC$26:$AAJ$37,4,FALSE)))))))</f>
        <v/>
      </c>
      <c r="CQ25" s="251">
        <f t="shared" si="23"/>
        <v>0</v>
      </c>
      <c r="CR25" s="251" t="e">
        <f t="shared" si="24"/>
        <v>#VALUE!</v>
      </c>
      <c r="CS25" s="239" t="e">
        <f t="shared" si="25"/>
        <v>#VALUE!</v>
      </c>
      <c r="CT25" s="311">
        <f t="shared" si="26"/>
        <v>0</v>
      </c>
      <c r="CU25" s="239" t="str">
        <f>IF(D25="","",IF(E25=Data!$ZI$2,VLOOKUP(D25,Data!$ZK$2:$ZO$15,5,FALSE),IF(E25=Data!$ZI$1,VLOOKUP(D25,Data!$ZQ$2:$ZU$13,5,FALSE),IF(E25=Data!$ZI$3,VLOOKUP(D25,Data!$ZW$2:$AAD$13,5,FALSE),IF(E25=Data!$ZI$4,VLOOKUP(D25,Data!$AAC$2:$AAK$13,5,FALSE),IF(E25=Data!$ZI$5,VLOOKUP(D25,Data!$AAC$26:$AAK$37,5,FALSE)))))))</f>
        <v/>
      </c>
      <c r="CV25" s="251">
        <f t="shared" si="27"/>
        <v>0</v>
      </c>
      <c r="CW25" s="251" t="e">
        <f t="shared" si="28"/>
        <v>#VALUE!</v>
      </c>
      <c r="CX25" s="239" t="e">
        <f t="shared" si="29"/>
        <v>#VALUE!</v>
      </c>
      <c r="CY25" s="239" t="str">
        <f>IF(D25="","",IF(E25=Data!$ZI$2,VLOOKUP(D25,Data!$ZK$2:$ZP$15,6,FALSE),IF(E25=Data!$ZI$1,VLOOKUP(D25,Data!$ZQ$2:$ZV$13,6,FALSE),IF(E25=Data!$ZI$3,VLOOKUP(D25,Data!$ZW$2:$AAE$13,6,FALSE),IF(E25=Data!$ZI$4,VLOOKUP(D25,Data!$AAC$2:$AAL$13,6,FALSE),IF(E25=Data!$ZI$5,VLOOKUP(D25,Data!$AAC$26:$AAL$37,6,FALSE)))))))</f>
        <v/>
      </c>
      <c r="CZ25" s="251">
        <f t="shared" si="30"/>
        <v>0</v>
      </c>
      <c r="DA25" s="251" t="e">
        <f t="shared" si="31"/>
        <v>#VALUE!</v>
      </c>
      <c r="DB25" s="239" t="e">
        <f t="shared" si="32"/>
        <v>#VALUE!</v>
      </c>
      <c r="DC25" s="311">
        <f t="shared" si="33"/>
        <v>0</v>
      </c>
    </row>
    <row r="26" spans="1:107" ht="30" customHeight="1">
      <c r="A26" s="52">
        <v>19</v>
      </c>
      <c r="B26" s="17"/>
      <c r="C26" s="17"/>
      <c r="D26" s="13"/>
      <c r="E26" s="235"/>
      <c r="F26" s="235"/>
      <c r="G26" s="235"/>
      <c r="H26" s="235"/>
      <c r="I26" s="14"/>
      <c r="J26" s="14"/>
      <c r="K26" s="14"/>
      <c r="L26" s="14"/>
      <c r="M26" s="563"/>
      <c r="N26" s="564"/>
      <c r="O26" s="15"/>
      <c r="P26" s="15"/>
      <c r="Q26" s="15"/>
      <c r="R26" s="15"/>
      <c r="S26" s="15"/>
      <c r="T26" s="13" t="str">
        <f t="shared" si="9"/>
        <v/>
      </c>
      <c r="U26" s="253" t="str">
        <f t="shared" si="10"/>
        <v/>
      </c>
      <c r="V26" s="470"/>
      <c r="W26" s="481" t="b">
        <f t="shared" si="11"/>
        <v>0</v>
      </c>
      <c r="X26" s="230"/>
      <c r="Y26" s="253"/>
      <c r="AA26" s="33" t="str">
        <f>IF(SUM(--ISNUMBER(SEARCH({"Skylight"}, D26))),Data!$AJ$19,Data!$AJ$1)</f>
        <v>WindowType</v>
      </c>
      <c r="AB26" s="33" t="str">
        <f t="shared" si="0"/>
        <v>OK</v>
      </c>
      <c r="AE26" s="239" t="e">
        <f>MATCH(E26, Data!$TB$2:$TB$6,0)</f>
        <v>#N/A</v>
      </c>
      <c r="AF26" s="239" t="e">
        <f>MATCH(F26,Data!$TC$1:$UB$1,0)</f>
        <v>#N/A</v>
      </c>
      <c r="AG26" s="239" t="e">
        <f>INDEX(Data!$TC$2:$UB$6,'Cellular Blinds'!AE26,'Cellular Blinds'!AF26)</f>
        <v>#N/A</v>
      </c>
      <c r="AH26" s="33" t="e">
        <f>VLOOKUP(D26,Data!$RU$2:$RV$15,2,FALSE)</f>
        <v>#N/A</v>
      </c>
      <c r="AI26" s="33" t="b">
        <f>IF(D26=Data!$UT$2,Data!$UU$1,IF(D26=Data!$UT$3,Data!$UV$1,IF(D26=Data!$UT$4,Data!$UW$1,IF(D26=Data!$UT$5,Data!$UX$1,IF(D26=Data!$UT$6,Data!$UY$1,IF(D26=Data!$UT$7,Data!$UZ$1,IF(D26=Data!$UT$8,Data!$VA$1,IF(D26=Data!$UT$9,Data!$VB$1,IF(D26=Data!$UT$10,Data!$VC$1,IF(D26=Data!$UT$11,Data!$VD$1,IF(D26=Data!$UT$12,Data!$VD$22,IF(D26=Data!$UT$13,Data!$VD$22,IF(D26=Data!$UT$14,Data!$UU$13,IF(D26=Data!$UT$15,Data!$UV$13))))))))))))))</f>
        <v>0</v>
      </c>
      <c r="AJ26" s="239" t="e">
        <f>MATCH(D26,Data!$VL$27:$VL$40,0)</f>
        <v>#N/A</v>
      </c>
      <c r="AK26" s="239" t="e">
        <f>MATCH(E26,Data!$VM$26:$VQ$26,0)</f>
        <v>#N/A</v>
      </c>
      <c r="AL26" s="239" t="e">
        <f>INDEX(Data!$VM$27:$VQ$40,'Cellular Blinds'!AJ26,'Cellular Blinds'!AK26)</f>
        <v>#N/A</v>
      </c>
      <c r="AM26" s="239" t="e">
        <f>MATCH(D26, Data!$VL$2:$VL$16,0)</f>
        <v>#N/A</v>
      </c>
      <c r="AN26" s="239" t="e">
        <f>MATCH(E26,Data!$VM$1:$VQ$1,0)</f>
        <v>#N/A</v>
      </c>
      <c r="AO26" s="239" t="e">
        <f>INDEX(Data!$VM$2:$VQ$16,'Cellular Blinds'!AM26,'Cellular Blinds'!AN26)</f>
        <v>#N/A</v>
      </c>
      <c r="AP26" s="33" t="e">
        <f>VLOOKUP(P26,Data!$UW$14:$UX$28,2,FALSE)</f>
        <v>#N/A</v>
      </c>
      <c r="AQ26" s="239" t="e">
        <f>MATCH(E26, Data!$XS$2:$XS$6,0)</f>
        <v>#N/A</v>
      </c>
      <c r="AR26" s="239" t="e">
        <f>MATCH(F26,Data!$XT$1:$YR$1,0)</f>
        <v>#N/A</v>
      </c>
      <c r="AS26" s="239" t="e">
        <f>INDEX(Data!$XT$2:$YR$6,'Cellular Blinds'!AQ26,'Cellular Blinds'!AR26)</f>
        <v>#N/A</v>
      </c>
      <c r="AT26" s="239" t="b">
        <f>IF(D26=Data!$YU$2,Data!$YV$1,IF(D26=Data!$YU$3,Data!$YW$1,IF(D26=Data!$YU$4,Data!$YX$1,IF(D26=Data!$YU$5,Data!$YY$1,IF(D26=Data!$YU$6,Data!$YZ$1,IF(D26=Data!$YU$7,Data!$ZA$1,IF(D26=Data!$YU$8,Data!$ZB$1,IF(D26=Data!$YU$9,Data!$ZC$1,IF(D26=Data!$YU$10,Data!$ZD$1,IF(D26=Data!$YU$11,Data!$ZE$1,IF(D26=Data!$YU$12,Data!$ZE$1,IF(D26=Data!$YU$13,Data!$ZE$1,IF(D26=Data!$YU$14,Data!$ZG$11,IF(D26=Data!$YU$15,Data!$ZF$11))))))))))))))</f>
        <v>0</v>
      </c>
      <c r="AU26" s="239" t="str">
        <f>IF(D26="","",IF(E26=Data!$ZI$2,VLOOKUP(D26,Data!$ZK$2:$ZL$15,2,FALSE),IF(E26=Data!$ZI$1,VLOOKUP(D26,Data!$ZQ$2:$ZR$13,2,FALSE),IF(E26=Data!$ZI$3,VLOOKUP(D26,Data!$ZW$2:$ZX$13,2,FALSE),IF(E26=Data!$ZI$4,VLOOKUP(D26,Data!$AAC$2:$AAD$13,2,FALSE),IF(E26=Data!$ZI$5,VLOOKUP(D26,Data!$AAC$26:$AAD$37,2,FALSE)))))))</f>
        <v/>
      </c>
      <c r="AV26" s="251" t="str">
        <f t="shared" si="12"/>
        <v/>
      </c>
      <c r="AW26" s="251" t="str">
        <f t="shared" si="13"/>
        <v/>
      </c>
      <c r="AX26" s="239" t="str">
        <f t="shared" si="14"/>
        <v/>
      </c>
      <c r="BA26" s="33" t="str">
        <f t="shared" si="15"/>
        <v>FittingBoth</v>
      </c>
      <c r="BN26" s="475" t="str">
        <f t="shared" si="1"/>
        <v>UChannelNA</v>
      </c>
      <c r="BO26" s="475" t="e">
        <f t="shared" si="16"/>
        <v>#N/A</v>
      </c>
      <c r="BP26" s="475" t="str">
        <f t="shared" si="17"/>
        <v>No</v>
      </c>
      <c r="BQ26" s="475" t="str">
        <f t="shared" si="18"/>
        <v>No</v>
      </c>
      <c r="BR26" s="475" t="e">
        <f t="shared" si="2"/>
        <v>#N/A</v>
      </c>
      <c r="BU26" s="172">
        <f t="shared" si="19"/>
        <v>2</v>
      </c>
      <c r="CB26" s="33" t="e">
        <f t="shared" si="3"/>
        <v>#N/A</v>
      </c>
      <c r="CC26" s="172" t="b">
        <f t="shared" si="4"/>
        <v>0</v>
      </c>
      <c r="CD26" s="172">
        <f t="shared" si="5"/>
        <v>0</v>
      </c>
      <c r="CE26" s="172">
        <f t="shared" si="6"/>
        <v>0</v>
      </c>
      <c r="CF26" s="172">
        <f t="shared" si="7"/>
        <v>0</v>
      </c>
      <c r="CG26" s="172">
        <f t="shared" si="8"/>
        <v>0</v>
      </c>
      <c r="CL26" s="239" t="str">
        <f>IF(D26="","",IF(E26=Data!$ZI$2,VLOOKUP(D26,Data!$ZK$2:$ZP$15,3,FALSE),IF(E26=Data!$ZI$1,VLOOKUP(D26,Data!$ZQ$2:$ZS$13,3,FALSE),IF(E26=Data!$ZI$3,VLOOKUP(D26,Data!$ZW$2:$AAB$13,3,FALSE),IF(E26=Data!$ZI$4,VLOOKUP(D26,Data!$AAC$2:$AAI$13,3,FALSE),IF(E26=Data!$ZI$5,VLOOKUP(D26,Data!$AAC$26:$AAI$37,3,FALSE)))))))</f>
        <v/>
      </c>
      <c r="CM26" s="251">
        <f t="shared" si="20"/>
        <v>0</v>
      </c>
      <c r="CN26" s="251" t="e">
        <f t="shared" si="21"/>
        <v>#VALUE!</v>
      </c>
      <c r="CO26" s="239" t="e">
        <f t="shared" si="22"/>
        <v>#VALUE!</v>
      </c>
      <c r="CP26" s="239" t="str">
        <f>IF(D26="","",IF(E26=Data!$ZI$2,VLOOKUP(D26,Data!$ZK$2:$ZN$15,4,FALSE),IF(E26=Data!$ZI$1,VLOOKUP(D26,Data!$ZQ$2:$ZT$13,4,FALSE),IF(E26=Data!$ZI$3,VLOOKUP(D26,Data!$ZW$2:$AAC$13,4,FALSE),IF(E26=Data!$ZI$4,VLOOKUP(D26,Data!$AAC$2:$AAJ$13,4,FALSE),IF(E26=Data!$ZI$5,VLOOKUP(D26,Data!$AAC$26:$AAJ$37,4,FALSE)))))))</f>
        <v/>
      </c>
      <c r="CQ26" s="251">
        <f t="shared" si="23"/>
        <v>0</v>
      </c>
      <c r="CR26" s="251" t="e">
        <f t="shared" si="24"/>
        <v>#VALUE!</v>
      </c>
      <c r="CS26" s="239" t="e">
        <f t="shared" si="25"/>
        <v>#VALUE!</v>
      </c>
      <c r="CT26" s="311">
        <f t="shared" si="26"/>
        <v>0</v>
      </c>
      <c r="CU26" s="239" t="str">
        <f>IF(D26="","",IF(E26=Data!$ZI$2,VLOOKUP(D26,Data!$ZK$2:$ZO$15,5,FALSE),IF(E26=Data!$ZI$1,VLOOKUP(D26,Data!$ZQ$2:$ZU$13,5,FALSE),IF(E26=Data!$ZI$3,VLOOKUP(D26,Data!$ZW$2:$AAD$13,5,FALSE),IF(E26=Data!$ZI$4,VLOOKUP(D26,Data!$AAC$2:$AAK$13,5,FALSE),IF(E26=Data!$ZI$5,VLOOKUP(D26,Data!$AAC$26:$AAK$37,5,FALSE)))))))</f>
        <v/>
      </c>
      <c r="CV26" s="251">
        <f t="shared" si="27"/>
        <v>0</v>
      </c>
      <c r="CW26" s="251" t="e">
        <f t="shared" si="28"/>
        <v>#VALUE!</v>
      </c>
      <c r="CX26" s="239" t="e">
        <f t="shared" si="29"/>
        <v>#VALUE!</v>
      </c>
      <c r="CY26" s="239" t="str">
        <f>IF(D26="","",IF(E26=Data!$ZI$2,VLOOKUP(D26,Data!$ZK$2:$ZP$15,6,FALSE),IF(E26=Data!$ZI$1,VLOOKUP(D26,Data!$ZQ$2:$ZV$13,6,FALSE),IF(E26=Data!$ZI$3,VLOOKUP(D26,Data!$ZW$2:$AAE$13,6,FALSE),IF(E26=Data!$ZI$4,VLOOKUP(D26,Data!$AAC$2:$AAL$13,6,FALSE),IF(E26=Data!$ZI$5,VLOOKUP(D26,Data!$AAC$26:$AAL$37,6,FALSE)))))))</f>
        <v/>
      </c>
      <c r="CZ26" s="251">
        <f t="shared" si="30"/>
        <v>0</v>
      </c>
      <c r="DA26" s="251" t="e">
        <f t="shared" si="31"/>
        <v>#VALUE!</v>
      </c>
      <c r="DB26" s="239" t="e">
        <f t="shared" si="32"/>
        <v>#VALUE!</v>
      </c>
      <c r="DC26" s="311">
        <f t="shared" si="33"/>
        <v>0</v>
      </c>
    </row>
    <row r="27" spans="1:107" ht="30" customHeight="1">
      <c r="A27" s="52">
        <v>20</v>
      </c>
      <c r="B27" s="13"/>
      <c r="C27" s="13"/>
      <c r="D27" s="13"/>
      <c r="E27" s="235"/>
      <c r="F27" s="235"/>
      <c r="G27" s="235"/>
      <c r="H27" s="235"/>
      <c r="I27" s="14"/>
      <c r="J27" s="14"/>
      <c r="K27" s="14"/>
      <c r="L27" s="14"/>
      <c r="M27" s="563"/>
      <c r="N27" s="564"/>
      <c r="O27" s="15"/>
      <c r="P27" s="15"/>
      <c r="Q27" s="15"/>
      <c r="R27" s="15"/>
      <c r="S27" s="15"/>
      <c r="T27" s="13" t="str">
        <f t="shared" si="9"/>
        <v/>
      </c>
      <c r="U27" s="253" t="str">
        <f t="shared" si="10"/>
        <v/>
      </c>
      <c r="V27" s="470"/>
      <c r="W27" s="481" t="b">
        <f t="shared" si="11"/>
        <v>0</v>
      </c>
      <c r="X27" s="230"/>
      <c r="Y27" s="253"/>
      <c r="AA27" s="33" t="str">
        <f>IF(SUM(--ISNUMBER(SEARCH({"Skylight"}, D27))),Data!$AJ$19,Data!$AJ$1)</f>
        <v>WindowType</v>
      </c>
      <c r="AB27" s="33" t="str">
        <f t="shared" si="0"/>
        <v>OK</v>
      </c>
      <c r="AE27" s="239" t="e">
        <f>MATCH(E27, Data!$TB$2:$TB$6,0)</f>
        <v>#N/A</v>
      </c>
      <c r="AF27" s="239" t="e">
        <f>MATCH(F27,Data!$TC$1:$UB$1,0)</f>
        <v>#N/A</v>
      </c>
      <c r="AG27" s="239" t="e">
        <f>INDEX(Data!$TC$2:$UB$6,'Cellular Blinds'!AE27,'Cellular Blinds'!AF27)</f>
        <v>#N/A</v>
      </c>
      <c r="AH27" s="33" t="e">
        <f>VLOOKUP(D27,Data!$RU$2:$RV$15,2,FALSE)</f>
        <v>#N/A</v>
      </c>
      <c r="AI27" s="33" t="b">
        <f>IF(D27=Data!$UT$2,Data!$UU$1,IF(D27=Data!$UT$3,Data!$UV$1,IF(D27=Data!$UT$4,Data!$UW$1,IF(D27=Data!$UT$5,Data!$UX$1,IF(D27=Data!$UT$6,Data!$UY$1,IF(D27=Data!$UT$7,Data!$UZ$1,IF(D27=Data!$UT$8,Data!$VA$1,IF(D27=Data!$UT$9,Data!$VB$1,IF(D27=Data!$UT$10,Data!$VC$1,IF(D27=Data!$UT$11,Data!$VD$1,IF(D27=Data!$UT$12,Data!$VD$22,IF(D27=Data!$UT$13,Data!$VD$22,IF(D27=Data!$UT$14,Data!$UU$13,IF(D27=Data!$UT$15,Data!$UV$13))))))))))))))</f>
        <v>0</v>
      </c>
      <c r="AJ27" s="239" t="e">
        <f>MATCH(D27,Data!$VL$27:$VL$40,0)</f>
        <v>#N/A</v>
      </c>
      <c r="AK27" s="239" t="e">
        <f>MATCH(E27,Data!$VM$26:$VQ$26,0)</f>
        <v>#N/A</v>
      </c>
      <c r="AL27" s="239" t="e">
        <f>INDEX(Data!$VM$27:$VQ$40,'Cellular Blinds'!AJ27,'Cellular Blinds'!AK27)</f>
        <v>#N/A</v>
      </c>
      <c r="AM27" s="239" t="e">
        <f>MATCH(D27, Data!$VL$2:$VL$16,0)</f>
        <v>#N/A</v>
      </c>
      <c r="AN27" s="239" t="e">
        <f>MATCH(E27,Data!$VM$1:$VQ$1,0)</f>
        <v>#N/A</v>
      </c>
      <c r="AO27" s="239" t="e">
        <f>INDEX(Data!$VM$2:$VQ$16,'Cellular Blinds'!AM27,'Cellular Blinds'!AN27)</f>
        <v>#N/A</v>
      </c>
      <c r="AP27" s="33" t="e">
        <f>VLOOKUP(P27,Data!$UW$14:$UX$28,2,FALSE)</f>
        <v>#N/A</v>
      </c>
      <c r="AQ27" s="239" t="e">
        <f>MATCH(E27, Data!$XS$2:$XS$6,0)</f>
        <v>#N/A</v>
      </c>
      <c r="AR27" s="239" t="e">
        <f>MATCH(F27,Data!$XT$1:$YR$1,0)</f>
        <v>#N/A</v>
      </c>
      <c r="AS27" s="239" t="e">
        <f>INDEX(Data!$XT$2:$YR$6,'Cellular Blinds'!AQ27,'Cellular Blinds'!AR27)</f>
        <v>#N/A</v>
      </c>
      <c r="AT27" s="239" t="b">
        <f>IF(D27=Data!$YU$2,Data!$YV$1,IF(D27=Data!$YU$3,Data!$YW$1,IF(D27=Data!$YU$4,Data!$YX$1,IF(D27=Data!$YU$5,Data!$YY$1,IF(D27=Data!$YU$6,Data!$YZ$1,IF(D27=Data!$YU$7,Data!$ZA$1,IF(D27=Data!$YU$8,Data!$ZB$1,IF(D27=Data!$YU$9,Data!$ZC$1,IF(D27=Data!$YU$10,Data!$ZD$1,IF(D27=Data!$YU$11,Data!$ZE$1,IF(D27=Data!$YU$12,Data!$ZE$1,IF(D27=Data!$YU$13,Data!$ZE$1,IF(D27=Data!$YU$14,Data!$ZG$11,IF(D27=Data!$YU$15,Data!$ZF$11))))))))))))))</f>
        <v>0</v>
      </c>
      <c r="AU27" s="239" t="str">
        <f>IF(D27="","",IF(E27=Data!$ZI$2,VLOOKUP(D27,Data!$ZK$2:$ZL$15,2,FALSE),IF(E27=Data!$ZI$1,VLOOKUP(D27,Data!$ZQ$2:$ZR$13,2,FALSE),IF(E27=Data!$ZI$3,VLOOKUP(D27,Data!$ZW$2:$ZX$13,2,FALSE),IF(E27=Data!$ZI$4,VLOOKUP(D27,Data!$AAC$2:$AAD$13,2,FALSE),IF(E27=Data!$ZI$5,VLOOKUP(D27,Data!$AAC$26:$AAD$37,2,FALSE)))))))</f>
        <v/>
      </c>
      <c r="AV27" s="251" t="str">
        <f t="shared" si="12"/>
        <v/>
      </c>
      <c r="AW27" s="251" t="str">
        <f t="shared" si="13"/>
        <v/>
      </c>
      <c r="AX27" s="239" t="str">
        <f t="shared" si="14"/>
        <v/>
      </c>
      <c r="BA27" s="33" t="str">
        <f t="shared" si="15"/>
        <v>FittingBoth</v>
      </c>
      <c r="BN27" s="475" t="str">
        <f t="shared" si="1"/>
        <v>UChannelNA</v>
      </c>
      <c r="BO27" s="475" t="e">
        <f t="shared" si="16"/>
        <v>#N/A</v>
      </c>
      <c r="BP27" s="475" t="str">
        <f t="shared" si="17"/>
        <v>No</v>
      </c>
      <c r="BQ27" s="475" t="str">
        <f t="shared" si="18"/>
        <v>No</v>
      </c>
      <c r="BR27" s="475" t="e">
        <f t="shared" si="2"/>
        <v>#N/A</v>
      </c>
      <c r="BU27" s="172">
        <f t="shared" si="19"/>
        <v>2</v>
      </c>
      <c r="CB27" s="33" t="e">
        <f t="shared" si="3"/>
        <v>#N/A</v>
      </c>
      <c r="CC27" s="172" t="b">
        <f t="shared" si="4"/>
        <v>0</v>
      </c>
      <c r="CD27" s="172">
        <f t="shared" si="5"/>
        <v>0</v>
      </c>
      <c r="CE27" s="172">
        <f t="shared" si="6"/>
        <v>0</v>
      </c>
      <c r="CF27" s="172">
        <f t="shared" si="7"/>
        <v>0</v>
      </c>
      <c r="CG27" s="172">
        <f t="shared" si="8"/>
        <v>0</v>
      </c>
      <c r="CL27" s="239" t="str">
        <f>IF(D27="","",IF(E27=Data!$ZI$2,VLOOKUP(D27,Data!$ZK$2:$ZP$15,3,FALSE),IF(E27=Data!$ZI$1,VLOOKUP(D27,Data!$ZQ$2:$ZS$13,3,FALSE),IF(E27=Data!$ZI$3,VLOOKUP(D27,Data!$ZW$2:$AAB$13,3,FALSE),IF(E27=Data!$ZI$4,VLOOKUP(D27,Data!$AAC$2:$AAI$13,3,FALSE),IF(E27=Data!$ZI$5,VLOOKUP(D27,Data!$AAC$26:$AAI$37,3,FALSE)))))))</f>
        <v/>
      </c>
      <c r="CM27" s="251">
        <f t="shared" si="20"/>
        <v>0</v>
      </c>
      <c r="CN27" s="251" t="e">
        <f t="shared" si="21"/>
        <v>#VALUE!</v>
      </c>
      <c r="CO27" s="239" t="e">
        <f t="shared" si="22"/>
        <v>#VALUE!</v>
      </c>
      <c r="CP27" s="239" t="str">
        <f>IF(D27="","",IF(E27=Data!$ZI$2,VLOOKUP(D27,Data!$ZK$2:$ZN$15,4,FALSE),IF(E27=Data!$ZI$1,VLOOKUP(D27,Data!$ZQ$2:$ZT$13,4,FALSE),IF(E27=Data!$ZI$3,VLOOKUP(D27,Data!$ZW$2:$AAC$13,4,FALSE),IF(E27=Data!$ZI$4,VLOOKUP(D27,Data!$AAC$2:$AAJ$13,4,FALSE),IF(E27=Data!$ZI$5,VLOOKUP(D27,Data!$AAC$26:$AAJ$37,4,FALSE)))))))</f>
        <v/>
      </c>
      <c r="CQ27" s="251">
        <f t="shared" si="23"/>
        <v>0</v>
      </c>
      <c r="CR27" s="251" t="e">
        <f t="shared" si="24"/>
        <v>#VALUE!</v>
      </c>
      <c r="CS27" s="239" t="e">
        <f t="shared" si="25"/>
        <v>#VALUE!</v>
      </c>
      <c r="CT27" s="311">
        <f t="shared" si="26"/>
        <v>0</v>
      </c>
      <c r="CU27" s="239" t="str">
        <f>IF(D27="","",IF(E27=Data!$ZI$2,VLOOKUP(D27,Data!$ZK$2:$ZO$15,5,FALSE),IF(E27=Data!$ZI$1,VLOOKUP(D27,Data!$ZQ$2:$ZU$13,5,FALSE),IF(E27=Data!$ZI$3,VLOOKUP(D27,Data!$ZW$2:$AAD$13,5,FALSE),IF(E27=Data!$ZI$4,VLOOKUP(D27,Data!$AAC$2:$AAK$13,5,FALSE),IF(E27=Data!$ZI$5,VLOOKUP(D27,Data!$AAC$26:$AAK$37,5,FALSE)))))))</f>
        <v/>
      </c>
      <c r="CV27" s="251">
        <f t="shared" si="27"/>
        <v>0</v>
      </c>
      <c r="CW27" s="251" t="e">
        <f t="shared" si="28"/>
        <v>#VALUE!</v>
      </c>
      <c r="CX27" s="239" t="e">
        <f t="shared" si="29"/>
        <v>#VALUE!</v>
      </c>
      <c r="CY27" s="239" t="str">
        <f>IF(D27="","",IF(E27=Data!$ZI$2,VLOOKUP(D27,Data!$ZK$2:$ZP$15,6,FALSE),IF(E27=Data!$ZI$1,VLOOKUP(D27,Data!$ZQ$2:$ZV$13,6,FALSE),IF(E27=Data!$ZI$3,VLOOKUP(D27,Data!$ZW$2:$AAE$13,6,FALSE),IF(E27=Data!$ZI$4,VLOOKUP(D27,Data!$AAC$2:$AAL$13,6,FALSE),IF(E27=Data!$ZI$5,VLOOKUP(D27,Data!$AAC$26:$AAL$37,6,FALSE)))))))</f>
        <v/>
      </c>
      <c r="CZ27" s="251">
        <f t="shared" si="30"/>
        <v>0</v>
      </c>
      <c r="DA27" s="251" t="e">
        <f t="shared" si="31"/>
        <v>#VALUE!</v>
      </c>
      <c r="DB27" s="239" t="e">
        <f t="shared" si="32"/>
        <v>#VALUE!</v>
      </c>
      <c r="DC27" s="311">
        <f t="shared" si="33"/>
        <v>0</v>
      </c>
    </row>
    <row r="28" spans="1:107" ht="30" customHeight="1">
      <c r="A28" s="52">
        <v>21</v>
      </c>
      <c r="B28" s="19"/>
      <c r="C28" s="13"/>
      <c r="D28" s="13"/>
      <c r="E28" s="235"/>
      <c r="F28" s="235"/>
      <c r="G28" s="235"/>
      <c r="H28" s="235"/>
      <c r="I28" s="14"/>
      <c r="J28" s="14"/>
      <c r="K28" s="14"/>
      <c r="L28" s="14"/>
      <c r="M28" s="563"/>
      <c r="N28" s="564"/>
      <c r="O28" s="15"/>
      <c r="P28" s="15"/>
      <c r="Q28" s="15"/>
      <c r="R28" s="15"/>
      <c r="S28" s="15"/>
      <c r="T28" s="13" t="str">
        <f t="shared" si="9"/>
        <v/>
      </c>
      <c r="U28" s="253" t="str">
        <f t="shared" si="10"/>
        <v/>
      </c>
      <c r="V28" s="470"/>
      <c r="W28" s="481" t="b">
        <f t="shared" si="11"/>
        <v>0</v>
      </c>
      <c r="X28" s="230"/>
      <c r="Y28" s="253"/>
      <c r="AA28" s="33" t="str">
        <f>IF(SUM(--ISNUMBER(SEARCH({"Skylight"}, D28))),Data!$AJ$19,Data!$AJ$1)</f>
        <v>WindowType</v>
      </c>
      <c r="AB28" s="33" t="str">
        <f t="shared" si="0"/>
        <v>OK</v>
      </c>
      <c r="AE28" s="239" t="e">
        <f>MATCH(E28, Data!$TB$2:$TB$6,0)</f>
        <v>#N/A</v>
      </c>
      <c r="AF28" s="239" t="e">
        <f>MATCH(F28,Data!$TC$1:$UB$1,0)</f>
        <v>#N/A</v>
      </c>
      <c r="AG28" s="239" t="e">
        <f>INDEX(Data!$TC$2:$UB$6,'Cellular Blinds'!AE28,'Cellular Blinds'!AF28)</f>
        <v>#N/A</v>
      </c>
      <c r="AH28" s="33" t="e">
        <f>VLOOKUP(D28,Data!$RU$2:$RV$15,2,FALSE)</f>
        <v>#N/A</v>
      </c>
      <c r="AI28" s="33" t="b">
        <f>IF(D28=Data!$UT$2,Data!$UU$1,IF(D28=Data!$UT$3,Data!$UV$1,IF(D28=Data!$UT$4,Data!$UW$1,IF(D28=Data!$UT$5,Data!$UX$1,IF(D28=Data!$UT$6,Data!$UY$1,IF(D28=Data!$UT$7,Data!$UZ$1,IF(D28=Data!$UT$8,Data!$VA$1,IF(D28=Data!$UT$9,Data!$VB$1,IF(D28=Data!$UT$10,Data!$VC$1,IF(D28=Data!$UT$11,Data!$VD$1,IF(D28=Data!$UT$12,Data!$VD$22,IF(D28=Data!$UT$13,Data!$VD$22,IF(D28=Data!$UT$14,Data!$UU$13,IF(D28=Data!$UT$15,Data!$UV$13))))))))))))))</f>
        <v>0</v>
      </c>
      <c r="AJ28" s="239" t="e">
        <f>MATCH(D28,Data!$VL$27:$VL$40,0)</f>
        <v>#N/A</v>
      </c>
      <c r="AK28" s="239" t="e">
        <f>MATCH(E28,Data!$VM$26:$VQ$26,0)</f>
        <v>#N/A</v>
      </c>
      <c r="AL28" s="239" t="e">
        <f>INDEX(Data!$VM$27:$VQ$40,'Cellular Blinds'!AJ28,'Cellular Blinds'!AK28)</f>
        <v>#N/A</v>
      </c>
      <c r="AM28" s="239" t="e">
        <f>MATCH(D28, Data!$VL$2:$VL$16,0)</f>
        <v>#N/A</v>
      </c>
      <c r="AN28" s="239" t="e">
        <f>MATCH(E28,Data!$VM$1:$VQ$1,0)</f>
        <v>#N/A</v>
      </c>
      <c r="AO28" s="239" t="e">
        <f>INDEX(Data!$VM$2:$VQ$16,'Cellular Blinds'!AM28,'Cellular Blinds'!AN28)</f>
        <v>#N/A</v>
      </c>
      <c r="AP28" s="33" t="e">
        <f>VLOOKUP(P28,Data!$UW$14:$UX$28,2,FALSE)</f>
        <v>#N/A</v>
      </c>
      <c r="AQ28" s="239" t="e">
        <f>MATCH(E28, Data!$XS$2:$XS$6,0)</f>
        <v>#N/A</v>
      </c>
      <c r="AR28" s="239" t="e">
        <f>MATCH(F28,Data!$XT$1:$YR$1,0)</f>
        <v>#N/A</v>
      </c>
      <c r="AS28" s="239" t="e">
        <f>INDEX(Data!$XT$2:$YR$6,'Cellular Blinds'!AQ28,'Cellular Blinds'!AR28)</f>
        <v>#N/A</v>
      </c>
      <c r="AT28" s="239" t="b">
        <f>IF(D28=Data!$YU$2,Data!$YV$1,IF(D28=Data!$YU$3,Data!$YW$1,IF(D28=Data!$YU$4,Data!$YX$1,IF(D28=Data!$YU$5,Data!$YY$1,IF(D28=Data!$YU$6,Data!$YZ$1,IF(D28=Data!$YU$7,Data!$ZA$1,IF(D28=Data!$YU$8,Data!$ZB$1,IF(D28=Data!$YU$9,Data!$ZC$1,IF(D28=Data!$YU$10,Data!$ZD$1,IF(D28=Data!$YU$11,Data!$ZE$1,IF(D28=Data!$YU$12,Data!$ZE$1,IF(D28=Data!$YU$13,Data!$ZE$1,IF(D28=Data!$YU$14,Data!$ZG$11,IF(D28=Data!$YU$15,Data!$ZF$11))))))))))))))</f>
        <v>0</v>
      </c>
      <c r="AU28" s="239" t="str">
        <f>IF(D28="","",IF(E28=Data!$ZI$2,VLOOKUP(D28,Data!$ZK$2:$ZL$15,2,FALSE),IF(E28=Data!$ZI$1,VLOOKUP(D28,Data!$ZQ$2:$ZR$13,2,FALSE),IF(E28=Data!$ZI$3,VLOOKUP(D28,Data!$ZW$2:$ZX$13,2,FALSE),IF(E28=Data!$ZI$4,VLOOKUP(D28,Data!$AAC$2:$AAD$13,2,FALSE),IF(E28=Data!$ZI$5,VLOOKUP(D28,Data!$AAC$26:$AAD$37,2,FALSE)))))))</f>
        <v/>
      </c>
      <c r="AV28" s="251" t="str">
        <f t="shared" si="12"/>
        <v/>
      </c>
      <c r="AW28" s="251" t="str">
        <f t="shared" si="13"/>
        <v/>
      </c>
      <c r="AX28" s="239" t="str">
        <f t="shared" si="14"/>
        <v/>
      </c>
      <c r="BA28" s="33" t="str">
        <f t="shared" si="15"/>
        <v>FittingBoth</v>
      </c>
      <c r="BN28" s="475" t="str">
        <f t="shared" si="1"/>
        <v>UChannelNA</v>
      </c>
      <c r="BO28" s="475" t="e">
        <f t="shared" si="16"/>
        <v>#N/A</v>
      </c>
      <c r="BP28" s="475" t="str">
        <f t="shared" si="17"/>
        <v>No</v>
      </c>
      <c r="BQ28" s="475" t="str">
        <f t="shared" si="18"/>
        <v>No</v>
      </c>
      <c r="BR28" s="475" t="e">
        <f t="shared" si="2"/>
        <v>#N/A</v>
      </c>
      <c r="BU28" s="172">
        <f t="shared" si="19"/>
        <v>2</v>
      </c>
      <c r="CB28" s="33" t="e">
        <f t="shared" si="3"/>
        <v>#N/A</v>
      </c>
      <c r="CC28" s="172" t="b">
        <f t="shared" si="4"/>
        <v>0</v>
      </c>
      <c r="CD28" s="172">
        <f t="shared" si="5"/>
        <v>0</v>
      </c>
      <c r="CE28" s="172">
        <f t="shared" si="6"/>
        <v>0</v>
      </c>
      <c r="CF28" s="172">
        <f t="shared" si="7"/>
        <v>0</v>
      </c>
      <c r="CG28" s="172">
        <f t="shared" si="8"/>
        <v>0</v>
      </c>
      <c r="CL28" s="239" t="str">
        <f>IF(D28="","",IF(E28=Data!$ZI$2,VLOOKUP(D28,Data!$ZK$2:$ZP$15,3,FALSE),IF(E28=Data!$ZI$1,VLOOKUP(D28,Data!$ZQ$2:$ZS$13,3,FALSE),IF(E28=Data!$ZI$3,VLOOKUP(D28,Data!$ZW$2:$AAB$13,3,FALSE),IF(E28=Data!$ZI$4,VLOOKUP(D28,Data!$AAC$2:$AAI$13,3,FALSE),IF(E28=Data!$ZI$5,VLOOKUP(D28,Data!$AAC$26:$AAI$37,3,FALSE)))))))</f>
        <v/>
      </c>
      <c r="CM28" s="251">
        <f t="shared" si="20"/>
        <v>0</v>
      </c>
      <c r="CN28" s="251" t="e">
        <f t="shared" si="21"/>
        <v>#VALUE!</v>
      </c>
      <c r="CO28" s="239" t="e">
        <f t="shared" si="22"/>
        <v>#VALUE!</v>
      </c>
      <c r="CP28" s="239" t="str">
        <f>IF(D28="","",IF(E28=Data!$ZI$2,VLOOKUP(D28,Data!$ZK$2:$ZN$15,4,FALSE),IF(E28=Data!$ZI$1,VLOOKUP(D28,Data!$ZQ$2:$ZT$13,4,FALSE),IF(E28=Data!$ZI$3,VLOOKUP(D28,Data!$ZW$2:$AAC$13,4,FALSE),IF(E28=Data!$ZI$4,VLOOKUP(D28,Data!$AAC$2:$AAJ$13,4,FALSE),IF(E28=Data!$ZI$5,VLOOKUP(D28,Data!$AAC$26:$AAJ$37,4,FALSE)))))))</f>
        <v/>
      </c>
      <c r="CQ28" s="251">
        <f t="shared" si="23"/>
        <v>0</v>
      </c>
      <c r="CR28" s="251" t="e">
        <f t="shared" si="24"/>
        <v>#VALUE!</v>
      </c>
      <c r="CS28" s="239" t="e">
        <f t="shared" si="25"/>
        <v>#VALUE!</v>
      </c>
      <c r="CT28" s="311">
        <f t="shared" si="26"/>
        <v>0</v>
      </c>
      <c r="CU28" s="239" t="str">
        <f>IF(D28="","",IF(E28=Data!$ZI$2,VLOOKUP(D28,Data!$ZK$2:$ZO$15,5,FALSE),IF(E28=Data!$ZI$1,VLOOKUP(D28,Data!$ZQ$2:$ZU$13,5,FALSE),IF(E28=Data!$ZI$3,VLOOKUP(D28,Data!$ZW$2:$AAD$13,5,FALSE),IF(E28=Data!$ZI$4,VLOOKUP(D28,Data!$AAC$2:$AAK$13,5,FALSE),IF(E28=Data!$ZI$5,VLOOKUP(D28,Data!$AAC$26:$AAK$37,5,FALSE)))))))</f>
        <v/>
      </c>
      <c r="CV28" s="251">
        <f t="shared" si="27"/>
        <v>0</v>
      </c>
      <c r="CW28" s="251" t="e">
        <f t="shared" si="28"/>
        <v>#VALUE!</v>
      </c>
      <c r="CX28" s="239" t="e">
        <f t="shared" si="29"/>
        <v>#VALUE!</v>
      </c>
      <c r="CY28" s="239" t="str">
        <f>IF(D28="","",IF(E28=Data!$ZI$2,VLOOKUP(D28,Data!$ZK$2:$ZP$15,6,FALSE),IF(E28=Data!$ZI$1,VLOOKUP(D28,Data!$ZQ$2:$ZV$13,6,FALSE),IF(E28=Data!$ZI$3,VLOOKUP(D28,Data!$ZW$2:$AAE$13,6,FALSE),IF(E28=Data!$ZI$4,VLOOKUP(D28,Data!$AAC$2:$AAL$13,6,FALSE),IF(E28=Data!$ZI$5,VLOOKUP(D28,Data!$AAC$26:$AAL$37,6,FALSE)))))))</f>
        <v/>
      </c>
      <c r="CZ28" s="251">
        <f t="shared" si="30"/>
        <v>0</v>
      </c>
      <c r="DA28" s="251" t="e">
        <f t="shared" si="31"/>
        <v>#VALUE!</v>
      </c>
      <c r="DB28" s="239" t="e">
        <f t="shared" si="32"/>
        <v>#VALUE!</v>
      </c>
      <c r="DC28" s="311">
        <f t="shared" si="33"/>
        <v>0</v>
      </c>
    </row>
    <row r="29" spans="1:107" ht="30" customHeight="1">
      <c r="A29" s="52">
        <v>22</v>
      </c>
      <c r="B29" s="13"/>
      <c r="C29" s="13"/>
      <c r="D29" s="13"/>
      <c r="E29" s="235"/>
      <c r="F29" s="235"/>
      <c r="G29" s="235"/>
      <c r="H29" s="235"/>
      <c r="I29" s="14"/>
      <c r="J29" s="14"/>
      <c r="K29" s="14"/>
      <c r="L29" s="14"/>
      <c r="M29" s="563"/>
      <c r="N29" s="564"/>
      <c r="O29" s="15"/>
      <c r="P29" s="15"/>
      <c r="Q29" s="15"/>
      <c r="R29" s="15"/>
      <c r="S29" s="15"/>
      <c r="T29" s="13" t="str">
        <f t="shared" si="9"/>
        <v/>
      </c>
      <c r="U29" s="253" t="str">
        <f t="shared" si="10"/>
        <v/>
      </c>
      <c r="V29" s="470"/>
      <c r="W29" s="481" t="b">
        <f t="shared" si="11"/>
        <v>0</v>
      </c>
      <c r="X29" s="230"/>
      <c r="Y29" s="253"/>
      <c r="AA29" s="33" t="str">
        <f>IF(SUM(--ISNUMBER(SEARCH({"Skylight"}, D29))),Data!$AJ$19,Data!$AJ$1)</f>
        <v>WindowType</v>
      </c>
      <c r="AB29" s="33" t="str">
        <f t="shared" si="0"/>
        <v>OK</v>
      </c>
      <c r="AE29" s="239" t="e">
        <f>MATCH(E29, Data!$TB$2:$TB$6,0)</f>
        <v>#N/A</v>
      </c>
      <c r="AF29" s="239" t="e">
        <f>MATCH(F29,Data!$TC$1:$UB$1,0)</f>
        <v>#N/A</v>
      </c>
      <c r="AG29" s="239" t="e">
        <f>INDEX(Data!$TC$2:$UB$6,'Cellular Blinds'!AE29,'Cellular Blinds'!AF29)</f>
        <v>#N/A</v>
      </c>
      <c r="AH29" s="33" t="e">
        <f>VLOOKUP(D29,Data!$RU$2:$RV$15,2,FALSE)</f>
        <v>#N/A</v>
      </c>
      <c r="AI29" s="33" t="b">
        <f>IF(D29=Data!$UT$2,Data!$UU$1,IF(D29=Data!$UT$3,Data!$UV$1,IF(D29=Data!$UT$4,Data!$UW$1,IF(D29=Data!$UT$5,Data!$UX$1,IF(D29=Data!$UT$6,Data!$UY$1,IF(D29=Data!$UT$7,Data!$UZ$1,IF(D29=Data!$UT$8,Data!$VA$1,IF(D29=Data!$UT$9,Data!$VB$1,IF(D29=Data!$UT$10,Data!$VC$1,IF(D29=Data!$UT$11,Data!$VD$1,IF(D29=Data!$UT$12,Data!$VD$22,IF(D29=Data!$UT$13,Data!$VD$22,IF(D29=Data!$UT$14,Data!$UU$13,IF(D29=Data!$UT$15,Data!$UV$13))))))))))))))</f>
        <v>0</v>
      </c>
      <c r="AJ29" s="239" t="e">
        <f>MATCH(D29,Data!$VL$27:$VL$40,0)</f>
        <v>#N/A</v>
      </c>
      <c r="AK29" s="239" t="e">
        <f>MATCH(E29,Data!$VM$26:$VQ$26,0)</f>
        <v>#N/A</v>
      </c>
      <c r="AL29" s="239" t="e">
        <f>INDEX(Data!$VM$27:$VQ$40,'Cellular Blinds'!AJ29,'Cellular Blinds'!AK29)</f>
        <v>#N/A</v>
      </c>
      <c r="AM29" s="239" t="e">
        <f>MATCH(D29, Data!$VL$2:$VL$16,0)</f>
        <v>#N/A</v>
      </c>
      <c r="AN29" s="239" t="e">
        <f>MATCH(E29,Data!$VM$1:$VQ$1,0)</f>
        <v>#N/A</v>
      </c>
      <c r="AO29" s="239" t="e">
        <f>INDEX(Data!$VM$2:$VQ$16,'Cellular Blinds'!AM29,'Cellular Blinds'!AN29)</f>
        <v>#N/A</v>
      </c>
      <c r="AP29" s="33" t="e">
        <f>VLOOKUP(P29,Data!$UW$14:$UX$28,2,FALSE)</f>
        <v>#N/A</v>
      </c>
      <c r="AQ29" s="239" t="e">
        <f>MATCH(E29, Data!$XS$2:$XS$6,0)</f>
        <v>#N/A</v>
      </c>
      <c r="AR29" s="239" t="e">
        <f>MATCH(F29,Data!$XT$1:$YR$1,0)</f>
        <v>#N/A</v>
      </c>
      <c r="AS29" s="239" t="e">
        <f>INDEX(Data!$XT$2:$YR$6,'Cellular Blinds'!AQ29,'Cellular Blinds'!AR29)</f>
        <v>#N/A</v>
      </c>
      <c r="AT29" s="239" t="b">
        <f>IF(D29=Data!$YU$2,Data!$YV$1,IF(D29=Data!$YU$3,Data!$YW$1,IF(D29=Data!$YU$4,Data!$YX$1,IF(D29=Data!$YU$5,Data!$YY$1,IF(D29=Data!$YU$6,Data!$YZ$1,IF(D29=Data!$YU$7,Data!$ZA$1,IF(D29=Data!$YU$8,Data!$ZB$1,IF(D29=Data!$YU$9,Data!$ZC$1,IF(D29=Data!$YU$10,Data!$ZD$1,IF(D29=Data!$YU$11,Data!$ZE$1,IF(D29=Data!$YU$12,Data!$ZE$1,IF(D29=Data!$YU$13,Data!$ZE$1,IF(D29=Data!$YU$14,Data!$ZG$11,IF(D29=Data!$YU$15,Data!$ZF$11))))))))))))))</f>
        <v>0</v>
      </c>
      <c r="AU29" s="239" t="str">
        <f>IF(D29="","",IF(E29=Data!$ZI$2,VLOOKUP(D29,Data!$ZK$2:$ZL$15,2,FALSE),IF(E29=Data!$ZI$1,VLOOKUP(D29,Data!$ZQ$2:$ZR$13,2,FALSE),IF(E29=Data!$ZI$3,VLOOKUP(D29,Data!$ZW$2:$ZX$13,2,FALSE),IF(E29=Data!$ZI$4,VLOOKUP(D29,Data!$AAC$2:$AAD$13,2,FALSE),IF(E29=Data!$ZI$5,VLOOKUP(D29,Data!$AAC$26:$AAD$37,2,FALSE)))))))</f>
        <v/>
      </c>
      <c r="AV29" s="251" t="str">
        <f t="shared" si="12"/>
        <v/>
      </c>
      <c r="AW29" s="251" t="str">
        <f t="shared" si="13"/>
        <v/>
      </c>
      <c r="AX29" s="239" t="str">
        <f t="shared" si="14"/>
        <v/>
      </c>
      <c r="BA29" s="33" t="str">
        <f t="shared" si="15"/>
        <v>FittingBoth</v>
      </c>
      <c r="BN29" s="475" t="str">
        <f t="shared" si="1"/>
        <v>UChannelNA</v>
      </c>
      <c r="BO29" s="475" t="e">
        <f t="shared" si="16"/>
        <v>#N/A</v>
      </c>
      <c r="BP29" s="475" t="str">
        <f t="shared" si="17"/>
        <v>No</v>
      </c>
      <c r="BQ29" s="475" t="str">
        <f t="shared" si="18"/>
        <v>No</v>
      </c>
      <c r="BR29" s="475" t="e">
        <f t="shared" si="2"/>
        <v>#N/A</v>
      </c>
      <c r="BU29" s="172">
        <f t="shared" si="19"/>
        <v>2</v>
      </c>
      <c r="CB29" s="33" t="e">
        <f t="shared" si="3"/>
        <v>#N/A</v>
      </c>
      <c r="CC29" s="172" t="b">
        <f t="shared" si="4"/>
        <v>0</v>
      </c>
      <c r="CD29" s="172">
        <f t="shared" si="5"/>
        <v>0</v>
      </c>
      <c r="CE29" s="172">
        <f t="shared" si="6"/>
        <v>0</v>
      </c>
      <c r="CF29" s="172">
        <f t="shared" si="7"/>
        <v>0</v>
      </c>
      <c r="CG29" s="172">
        <f t="shared" si="8"/>
        <v>0</v>
      </c>
      <c r="CL29" s="239" t="str">
        <f>IF(D29="","",IF(E29=Data!$ZI$2,VLOOKUP(D29,Data!$ZK$2:$ZP$15,3,FALSE),IF(E29=Data!$ZI$1,VLOOKUP(D29,Data!$ZQ$2:$ZS$13,3,FALSE),IF(E29=Data!$ZI$3,VLOOKUP(D29,Data!$ZW$2:$AAB$13,3,FALSE),IF(E29=Data!$ZI$4,VLOOKUP(D29,Data!$AAC$2:$AAI$13,3,FALSE),IF(E29=Data!$ZI$5,VLOOKUP(D29,Data!$AAC$26:$AAI$37,3,FALSE)))))))</f>
        <v/>
      </c>
      <c r="CM29" s="251">
        <f t="shared" si="20"/>
        <v>0</v>
      </c>
      <c r="CN29" s="251" t="e">
        <f t="shared" si="21"/>
        <v>#VALUE!</v>
      </c>
      <c r="CO29" s="239" t="e">
        <f t="shared" si="22"/>
        <v>#VALUE!</v>
      </c>
      <c r="CP29" s="239" t="str">
        <f>IF(D29="","",IF(E29=Data!$ZI$2,VLOOKUP(D29,Data!$ZK$2:$ZN$15,4,FALSE),IF(E29=Data!$ZI$1,VLOOKUP(D29,Data!$ZQ$2:$ZT$13,4,FALSE),IF(E29=Data!$ZI$3,VLOOKUP(D29,Data!$ZW$2:$AAC$13,4,FALSE),IF(E29=Data!$ZI$4,VLOOKUP(D29,Data!$AAC$2:$AAJ$13,4,FALSE),IF(E29=Data!$ZI$5,VLOOKUP(D29,Data!$AAC$26:$AAJ$37,4,FALSE)))))))</f>
        <v/>
      </c>
      <c r="CQ29" s="251">
        <f t="shared" si="23"/>
        <v>0</v>
      </c>
      <c r="CR29" s="251" t="e">
        <f t="shared" si="24"/>
        <v>#VALUE!</v>
      </c>
      <c r="CS29" s="239" t="e">
        <f t="shared" si="25"/>
        <v>#VALUE!</v>
      </c>
      <c r="CT29" s="311">
        <f t="shared" si="26"/>
        <v>0</v>
      </c>
      <c r="CU29" s="239" t="str">
        <f>IF(D29="","",IF(E29=Data!$ZI$2,VLOOKUP(D29,Data!$ZK$2:$ZO$15,5,FALSE),IF(E29=Data!$ZI$1,VLOOKUP(D29,Data!$ZQ$2:$ZU$13,5,FALSE),IF(E29=Data!$ZI$3,VLOOKUP(D29,Data!$ZW$2:$AAD$13,5,FALSE),IF(E29=Data!$ZI$4,VLOOKUP(D29,Data!$AAC$2:$AAK$13,5,FALSE),IF(E29=Data!$ZI$5,VLOOKUP(D29,Data!$AAC$26:$AAK$37,5,FALSE)))))))</f>
        <v/>
      </c>
      <c r="CV29" s="251">
        <f t="shared" si="27"/>
        <v>0</v>
      </c>
      <c r="CW29" s="251" t="e">
        <f t="shared" si="28"/>
        <v>#VALUE!</v>
      </c>
      <c r="CX29" s="239" t="e">
        <f t="shared" si="29"/>
        <v>#VALUE!</v>
      </c>
      <c r="CY29" s="239" t="str">
        <f>IF(D29="","",IF(E29=Data!$ZI$2,VLOOKUP(D29,Data!$ZK$2:$ZP$15,6,FALSE),IF(E29=Data!$ZI$1,VLOOKUP(D29,Data!$ZQ$2:$ZV$13,6,FALSE),IF(E29=Data!$ZI$3,VLOOKUP(D29,Data!$ZW$2:$AAE$13,6,FALSE),IF(E29=Data!$ZI$4,VLOOKUP(D29,Data!$AAC$2:$AAL$13,6,FALSE),IF(E29=Data!$ZI$5,VLOOKUP(D29,Data!$AAC$26:$AAL$37,6,FALSE)))))))</f>
        <v/>
      </c>
      <c r="CZ29" s="251">
        <f t="shared" si="30"/>
        <v>0</v>
      </c>
      <c r="DA29" s="251" t="e">
        <f t="shared" si="31"/>
        <v>#VALUE!</v>
      </c>
      <c r="DB29" s="239" t="e">
        <f t="shared" si="32"/>
        <v>#VALUE!</v>
      </c>
      <c r="DC29" s="311">
        <f t="shared" si="33"/>
        <v>0</v>
      </c>
    </row>
    <row r="30" spans="1:107" ht="30" customHeight="1">
      <c r="A30" s="52">
        <v>23</v>
      </c>
      <c r="B30" s="13"/>
      <c r="C30" s="13"/>
      <c r="D30" s="13"/>
      <c r="E30" s="235"/>
      <c r="F30" s="235"/>
      <c r="G30" s="235"/>
      <c r="H30" s="235"/>
      <c r="I30" s="14"/>
      <c r="J30" s="14"/>
      <c r="K30" s="14"/>
      <c r="L30" s="14"/>
      <c r="M30" s="563"/>
      <c r="N30" s="564"/>
      <c r="O30" s="15"/>
      <c r="P30" s="15"/>
      <c r="Q30" s="15"/>
      <c r="R30" s="15"/>
      <c r="S30" s="15"/>
      <c r="T30" s="13" t="str">
        <f t="shared" si="9"/>
        <v/>
      </c>
      <c r="U30" s="253" t="str">
        <f t="shared" si="10"/>
        <v/>
      </c>
      <c r="V30" s="470"/>
      <c r="W30" s="481" t="b">
        <f t="shared" si="11"/>
        <v>0</v>
      </c>
      <c r="X30" s="230"/>
      <c r="Y30" s="253"/>
      <c r="AA30" s="33" t="str">
        <f>IF(SUM(--ISNUMBER(SEARCH({"Skylight"}, D30))),Data!$AJ$19,Data!$AJ$1)</f>
        <v>WindowType</v>
      </c>
      <c r="AB30" s="33" t="str">
        <f t="shared" si="0"/>
        <v>OK</v>
      </c>
      <c r="AE30" s="239" t="e">
        <f>MATCH(E30, Data!$TB$2:$TB$6,0)</f>
        <v>#N/A</v>
      </c>
      <c r="AF30" s="239" t="e">
        <f>MATCH(F30,Data!$TC$1:$UB$1,0)</f>
        <v>#N/A</v>
      </c>
      <c r="AG30" s="239" t="e">
        <f>INDEX(Data!$TC$2:$UB$6,'Cellular Blinds'!AE30,'Cellular Blinds'!AF30)</f>
        <v>#N/A</v>
      </c>
      <c r="AH30" s="33" t="e">
        <f>VLOOKUP(D30,Data!$RU$2:$RV$15,2,FALSE)</f>
        <v>#N/A</v>
      </c>
      <c r="AI30" s="33" t="b">
        <f>IF(D30=Data!$UT$2,Data!$UU$1,IF(D30=Data!$UT$3,Data!$UV$1,IF(D30=Data!$UT$4,Data!$UW$1,IF(D30=Data!$UT$5,Data!$UX$1,IF(D30=Data!$UT$6,Data!$UY$1,IF(D30=Data!$UT$7,Data!$UZ$1,IF(D30=Data!$UT$8,Data!$VA$1,IF(D30=Data!$UT$9,Data!$VB$1,IF(D30=Data!$UT$10,Data!$VC$1,IF(D30=Data!$UT$11,Data!$VD$1,IF(D30=Data!$UT$12,Data!$VD$22,IF(D30=Data!$UT$13,Data!$VD$22,IF(D30=Data!$UT$14,Data!$UU$13,IF(D30=Data!$UT$15,Data!$UV$13))))))))))))))</f>
        <v>0</v>
      </c>
      <c r="AJ30" s="239" t="e">
        <f>MATCH(D30,Data!$VL$27:$VL$40,0)</f>
        <v>#N/A</v>
      </c>
      <c r="AK30" s="239" t="e">
        <f>MATCH(E30,Data!$VM$26:$VQ$26,0)</f>
        <v>#N/A</v>
      </c>
      <c r="AL30" s="239" t="e">
        <f>INDEX(Data!$VM$27:$VQ$40,'Cellular Blinds'!AJ30,'Cellular Blinds'!AK30)</f>
        <v>#N/A</v>
      </c>
      <c r="AM30" s="239" t="e">
        <f>MATCH(D30, Data!$VL$2:$VL$16,0)</f>
        <v>#N/A</v>
      </c>
      <c r="AN30" s="239" t="e">
        <f>MATCH(E30,Data!$VM$1:$VQ$1,0)</f>
        <v>#N/A</v>
      </c>
      <c r="AO30" s="239" t="e">
        <f>INDEX(Data!$VM$2:$VQ$16,'Cellular Blinds'!AM30,'Cellular Blinds'!AN30)</f>
        <v>#N/A</v>
      </c>
      <c r="AP30" s="33" t="e">
        <f>VLOOKUP(P30,Data!$UW$14:$UX$28,2,FALSE)</f>
        <v>#N/A</v>
      </c>
      <c r="AQ30" s="239" t="e">
        <f>MATCH(E30, Data!$XS$2:$XS$6,0)</f>
        <v>#N/A</v>
      </c>
      <c r="AR30" s="239" t="e">
        <f>MATCH(F30,Data!$XT$1:$YR$1,0)</f>
        <v>#N/A</v>
      </c>
      <c r="AS30" s="239" t="e">
        <f>INDEX(Data!$XT$2:$YR$6,'Cellular Blinds'!AQ30,'Cellular Blinds'!AR30)</f>
        <v>#N/A</v>
      </c>
      <c r="AT30" s="239" t="b">
        <f>IF(D30=Data!$YU$2,Data!$YV$1,IF(D30=Data!$YU$3,Data!$YW$1,IF(D30=Data!$YU$4,Data!$YX$1,IF(D30=Data!$YU$5,Data!$YY$1,IF(D30=Data!$YU$6,Data!$YZ$1,IF(D30=Data!$YU$7,Data!$ZA$1,IF(D30=Data!$YU$8,Data!$ZB$1,IF(D30=Data!$YU$9,Data!$ZC$1,IF(D30=Data!$YU$10,Data!$ZD$1,IF(D30=Data!$YU$11,Data!$ZE$1,IF(D30=Data!$YU$12,Data!$ZE$1,IF(D30=Data!$YU$13,Data!$ZE$1,IF(D30=Data!$YU$14,Data!$ZG$11,IF(D30=Data!$YU$15,Data!$ZF$11))))))))))))))</f>
        <v>0</v>
      </c>
      <c r="AU30" s="239" t="str">
        <f>IF(D30="","",IF(E30=Data!$ZI$2,VLOOKUP(D30,Data!$ZK$2:$ZL$15,2,FALSE),IF(E30=Data!$ZI$1,VLOOKUP(D30,Data!$ZQ$2:$ZR$13,2,FALSE),IF(E30=Data!$ZI$3,VLOOKUP(D30,Data!$ZW$2:$ZX$13,2,FALSE),IF(E30=Data!$ZI$4,VLOOKUP(D30,Data!$AAC$2:$AAD$13,2,FALSE),IF(E30=Data!$ZI$5,VLOOKUP(D30,Data!$AAC$26:$AAD$37,2,FALSE)))))))</f>
        <v/>
      </c>
      <c r="AV30" s="251" t="str">
        <f t="shared" si="12"/>
        <v/>
      </c>
      <c r="AW30" s="251" t="str">
        <f t="shared" si="13"/>
        <v/>
      </c>
      <c r="AX30" s="239" t="str">
        <f t="shared" si="14"/>
        <v/>
      </c>
      <c r="BA30" s="33" t="str">
        <f t="shared" si="15"/>
        <v>FittingBoth</v>
      </c>
      <c r="BN30" s="475" t="str">
        <f t="shared" si="1"/>
        <v>UChannelNA</v>
      </c>
      <c r="BO30" s="475" t="e">
        <f t="shared" si="16"/>
        <v>#N/A</v>
      </c>
      <c r="BP30" s="475" t="str">
        <f t="shared" si="17"/>
        <v>No</v>
      </c>
      <c r="BQ30" s="475" t="str">
        <f t="shared" si="18"/>
        <v>No</v>
      </c>
      <c r="BR30" s="475" t="e">
        <f t="shared" si="2"/>
        <v>#N/A</v>
      </c>
      <c r="BU30" s="172">
        <f t="shared" si="19"/>
        <v>2</v>
      </c>
      <c r="CB30" s="33" t="e">
        <f t="shared" si="3"/>
        <v>#N/A</v>
      </c>
      <c r="CC30" s="172" t="b">
        <f t="shared" si="4"/>
        <v>0</v>
      </c>
      <c r="CD30" s="172">
        <f t="shared" si="5"/>
        <v>0</v>
      </c>
      <c r="CE30" s="172">
        <f t="shared" si="6"/>
        <v>0</v>
      </c>
      <c r="CF30" s="172">
        <f t="shared" si="7"/>
        <v>0</v>
      </c>
      <c r="CG30" s="172">
        <f t="shared" si="8"/>
        <v>0</v>
      </c>
      <c r="CL30" s="239" t="str">
        <f>IF(D30="","",IF(E30=Data!$ZI$2,VLOOKUP(D30,Data!$ZK$2:$ZP$15,3,FALSE),IF(E30=Data!$ZI$1,VLOOKUP(D30,Data!$ZQ$2:$ZS$13,3,FALSE),IF(E30=Data!$ZI$3,VLOOKUP(D30,Data!$ZW$2:$AAB$13,3,FALSE),IF(E30=Data!$ZI$4,VLOOKUP(D30,Data!$AAC$2:$AAI$13,3,FALSE),IF(E30=Data!$ZI$5,VLOOKUP(D30,Data!$AAC$26:$AAI$37,3,FALSE)))))))</f>
        <v/>
      </c>
      <c r="CM30" s="251">
        <f t="shared" si="20"/>
        <v>0</v>
      </c>
      <c r="CN30" s="251" t="e">
        <f t="shared" si="21"/>
        <v>#VALUE!</v>
      </c>
      <c r="CO30" s="239" t="e">
        <f t="shared" si="22"/>
        <v>#VALUE!</v>
      </c>
      <c r="CP30" s="239" t="str">
        <f>IF(D30="","",IF(E30=Data!$ZI$2,VLOOKUP(D30,Data!$ZK$2:$ZN$15,4,FALSE),IF(E30=Data!$ZI$1,VLOOKUP(D30,Data!$ZQ$2:$ZT$13,4,FALSE),IF(E30=Data!$ZI$3,VLOOKUP(D30,Data!$ZW$2:$AAC$13,4,FALSE),IF(E30=Data!$ZI$4,VLOOKUP(D30,Data!$AAC$2:$AAJ$13,4,FALSE),IF(E30=Data!$ZI$5,VLOOKUP(D30,Data!$AAC$26:$AAJ$37,4,FALSE)))))))</f>
        <v/>
      </c>
      <c r="CQ30" s="251">
        <f t="shared" si="23"/>
        <v>0</v>
      </c>
      <c r="CR30" s="251" t="e">
        <f t="shared" si="24"/>
        <v>#VALUE!</v>
      </c>
      <c r="CS30" s="239" t="e">
        <f t="shared" si="25"/>
        <v>#VALUE!</v>
      </c>
      <c r="CT30" s="311">
        <f t="shared" si="26"/>
        <v>0</v>
      </c>
      <c r="CU30" s="239" t="str">
        <f>IF(D30="","",IF(E30=Data!$ZI$2,VLOOKUP(D30,Data!$ZK$2:$ZO$15,5,FALSE),IF(E30=Data!$ZI$1,VLOOKUP(D30,Data!$ZQ$2:$ZU$13,5,FALSE),IF(E30=Data!$ZI$3,VLOOKUP(D30,Data!$ZW$2:$AAD$13,5,FALSE),IF(E30=Data!$ZI$4,VLOOKUP(D30,Data!$AAC$2:$AAK$13,5,FALSE),IF(E30=Data!$ZI$5,VLOOKUP(D30,Data!$AAC$26:$AAK$37,5,FALSE)))))))</f>
        <v/>
      </c>
      <c r="CV30" s="251">
        <f t="shared" si="27"/>
        <v>0</v>
      </c>
      <c r="CW30" s="251" t="e">
        <f t="shared" si="28"/>
        <v>#VALUE!</v>
      </c>
      <c r="CX30" s="239" t="e">
        <f t="shared" si="29"/>
        <v>#VALUE!</v>
      </c>
      <c r="CY30" s="239" t="str">
        <f>IF(D30="","",IF(E30=Data!$ZI$2,VLOOKUP(D30,Data!$ZK$2:$ZP$15,6,FALSE),IF(E30=Data!$ZI$1,VLOOKUP(D30,Data!$ZQ$2:$ZV$13,6,FALSE),IF(E30=Data!$ZI$3,VLOOKUP(D30,Data!$ZW$2:$AAE$13,6,FALSE),IF(E30=Data!$ZI$4,VLOOKUP(D30,Data!$AAC$2:$AAL$13,6,FALSE),IF(E30=Data!$ZI$5,VLOOKUP(D30,Data!$AAC$26:$AAL$37,6,FALSE)))))))</f>
        <v/>
      </c>
      <c r="CZ30" s="251">
        <f t="shared" si="30"/>
        <v>0</v>
      </c>
      <c r="DA30" s="251" t="e">
        <f t="shared" si="31"/>
        <v>#VALUE!</v>
      </c>
      <c r="DB30" s="239" t="e">
        <f t="shared" si="32"/>
        <v>#VALUE!</v>
      </c>
      <c r="DC30" s="311">
        <f t="shared" si="33"/>
        <v>0</v>
      </c>
    </row>
    <row r="31" spans="1:107" ht="30" customHeight="1">
      <c r="A31" s="52">
        <v>24</v>
      </c>
      <c r="B31" s="13"/>
      <c r="C31" s="13"/>
      <c r="D31" s="13"/>
      <c r="E31" s="235"/>
      <c r="F31" s="235"/>
      <c r="G31" s="235"/>
      <c r="H31" s="235"/>
      <c r="I31" s="14"/>
      <c r="J31" s="14"/>
      <c r="K31" s="14"/>
      <c r="L31" s="14"/>
      <c r="M31" s="563"/>
      <c r="N31" s="564"/>
      <c r="O31" s="15"/>
      <c r="P31" s="15"/>
      <c r="Q31" s="15"/>
      <c r="R31" s="15"/>
      <c r="S31" s="15"/>
      <c r="T31" s="13" t="str">
        <f t="shared" si="9"/>
        <v/>
      </c>
      <c r="U31" s="253" t="str">
        <f t="shared" si="10"/>
        <v/>
      </c>
      <c r="V31" s="470"/>
      <c r="W31" s="481" t="b">
        <f t="shared" si="11"/>
        <v>0</v>
      </c>
      <c r="X31" s="230"/>
      <c r="Y31" s="253"/>
      <c r="AA31" s="33" t="str">
        <f>IF(SUM(--ISNUMBER(SEARCH({"Skylight"}, D31))),Data!$AJ$19,Data!$AJ$1)</f>
        <v>WindowType</v>
      </c>
      <c r="AB31" s="33" t="str">
        <f t="shared" si="0"/>
        <v>OK</v>
      </c>
      <c r="AE31" s="239" t="e">
        <f>MATCH(E31, Data!$TB$2:$TB$6,0)</f>
        <v>#N/A</v>
      </c>
      <c r="AF31" s="239" t="e">
        <f>MATCH(F31,Data!$TC$1:$UB$1,0)</f>
        <v>#N/A</v>
      </c>
      <c r="AG31" s="239" t="e">
        <f>INDEX(Data!$TC$2:$UB$6,'Cellular Blinds'!AE31,'Cellular Blinds'!AF31)</f>
        <v>#N/A</v>
      </c>
      <c r="AH31" s="33" t="e">
        <f>VLOOKUP(D31,Data!$RU$2:$RV$15,2,FALSE)</f>
        <v>#N/A</v>
      </c>
      <c r="AI31" s="33" t="b">
        <f>IF(D31=Data!$UT$2,Data!$UU$1,IF(D31=Data!$UT$3,Data!$UV$1,IF(D31=Data!$UT$4,Data!$UW$1,IF(D31=Data!$UT$5,Data!$UX$1,IF(D31=Data!$UT$6,Data!$UY$1,IF(D31=Data!$UT$7,Data!$UZ$1,IF(D31=Data!$UT$8,Data!$VA$1,IF(D31=Data!$UT$9,Data!$VB$1,IF(D31=Data!$UT$10,Data!$VC$1,IF(D31=Data!$UT$11,Data!$VD$1,IF(D31=Data!$UT$12,Data!$VD$22,IF(D31=Data!$UT$13,Data!$VD$22,IF(D31=Data!$UT$14,Data!$UU$13,IF(D31=Data!$UT$15,Data!$UV$13))))))))))))))</f>
        <v>0</v>
      </c>
      <c r="AJ31" s="239" t="e">
        <f>MATCH(D31,Data!$VL$27:$VL$40,0)</f>
        <v>#N/A</v>
      </c>
      <c r="AK31" s="239" t="e">
        <f>MATCH(E31,Data!$VM$26:$VQ$26,0)</f>
        <v>#N/A</v>
      </c>
      <c r="AL31" s="239" t="e">
        <f>INDEX(Data!$VM$27:$VQ$40,'Cellular Blinds'!AJ31,'Cellular Blinds'!AK31)</f>
        <v>#N/A</v>
      </c>
      <c r="AM31" s="239" t="e">
        <f>MATCH(D31, Data!$VL$2:$VL$16,0)</f>
        <v>#N/A</v>
      </c>
      <c r="AN31" s="239" t="e">
        <f>MATCH(E31,Data!$VM$1:$VQ$1,0)</f>
        <v>#N/A</v>
      </c>
      <c r="AO31" s="239" t="e">
        <f>INDEX(Data!$VM$2:$VQ$16,'Cellular Blinds'!AM31,'Cellular Blinds'!AN31)</f>
        <v>#N/A</v>
      </c>
      <c r="AP31" s="33" t="e">
        <f>VLOOKUP(P31,Data!$UW$14:$UX$28,2,FALSE)</f>
        <v>#N/A</v>
      </c>
      <c r="AQ31" s="239" t="e">
        <f>MATCH(E31, Data!$XS$2:$XS$6,0)</f>
        <v>#N/A</v>
      </c>
      <c r="AR31" s="239" t="e">
        <f>MATCH(F31,Data!$XT$1:$YR$1,0)</f>
        <v>#N/A</v>
      </c>
      <c r="AS31" s="239" t="e">
        <f>INDEX(Data!$XT$2:$YR$6,'Cellular Blinds'!AQ31,'Cellular Blinds'!AR31)</f>
        <v>#N/A</v>
      </c>
      <c r="AT31" s="239" t="b">
        <f>IF(D31=Data!$YU$2,Data!$YV$1,IF(D31=Data!$YU$3,Data!$YW$1,IF(D31=Data!$YU$4,Data!$YX$1,IF(D31=Data!$YU$5,Data!$YY$1,IF(D31=Data!$YU$6,Data!$YZ$1,IF(D31=Data!$YU$7,Data!$ZA$1,IF(D31=Data!$YU$8,Data!$ZB$1,IF(D31=Data!$YU$9,Data!$ZC$1,IF(D31=Data!$YU$10,Data!$ZD$1,IF(D31=Data!$YU$11,Data!$ZE$1,IF(D31=Data!$YU$12,Data!$ZE$1,IF(D31=Data!$YU$13,Data!$ZE$1,IF(D31=Data!$YU$14,Data!$ZG$11,IF(D31=Data!$YU$15,Data!$ZF$11))))))))))))))</f>
        <v>0</v>
      </c>
      <c r="AU31" s="239" t="str">
        <f>IF(D31="","",IF(E31=Data!$ZI$2,VLOOKUP(D31,Data!$ZK$2:$ZL$15,2,FALSE),IF(E31=Data!$ZI$1,VLOOKUP(D31,Data!$ZQ$2:$ZR$13,2,FALSE),IF(E31=Data!$ZI$3,VLOOKUP(D31,Data!$ZW$2:$ZX$13,2,FALSE),IF(E31=Data!$ZI$4,VLOOKUP(D31,Data!$AAC$2:$AAD$13,2,FALSE),IF(E31=Data!$ZI$5,VLOOKUP(D31,Data!$AAC$26:$AAD$37,2,FALSE)))))))</f>
        <v/>
      </c>
      <c r="AV31" s="251" t="str">
        <f t="shared" si="12"/>
        <v/>
      </c>
      <c r="AW31" s="251" t="str">
        <f t="shared" si="13"/>
        <v/>
      </c>
      <c r="AX31" s="239" t="str">
        <f t="shared" si="14"/>
        <v/>
      </c>
      <c r="BA31" s="33" t="str">
        <f t="shared" si="15"/>
        <v>FittingBoth</v>
      </c>
      <c r="BN31" s="475" t="str">
        <f t="shared" si="1"/>
        <v>UChannelNA</v>
      </c>
      <c r="BO31" s="475" t="e">
        <f t="shared" si="16"/>
        <v>#N/A</v>
      </c>
      <c r="BP31" s="475" t="str">
        <f t="shared" si="17"/>
        <v>No</v>
      </c>
      <c r="BQ31" s="475" t="str">
        <f t="shared" si="18"/>
        <v>No</v>
      </c>
      <c r="BR31" s="475" t="e">
        <f t="shared" si="2"/>
        <v>#N/A</v>
      </c>
      <c r="BU31" s="172">
        <f t="shared" si="19"/>
        <v>2</v>
      </c>
      <c r="CB31" s="33" t="e">
        <f t="shared" si="3"/>
        <v>#N/A</v>
      </c>
      <c r="CC31" s="172" t="b">
        <f t="shared" si="4"/>
        <v>0</v>
      </c>
      <c r="CD31" s="172">
        <f t="shared" si="5"/>
        <v>0</v>
      </c>
      <c r="CE31" s="172">
        <f t="shared" si="6"/>
        <v>0</v>
      </c>
      <c r="CF31" s="172">
        <f t="shared" si="7"/>
        <v>0</v>
      </c>
      <c r="CG31" s="172">
        <f t="shared" si="8"/>
        <v>0</v>
      </c>
      <c r="CL31" s="239" t="str">
        <f>IF(D31="","",IF(E31=Data!$ZI$2,VLOOKUP(D31,Data!$ZK$2:$ZP$15,3,FALSE),IF(E31=Data!$ZI$1,VLOOKUP(D31,Data!$ZQ$2:$ZS$13,3,FALSE),IF(E31=Data!$ZI$3,VLOOKUP(D31,Data!$ZW$2:$AAB$13,3,FALSE),IF(E31=Data!$ZI$4,VLOOKUP(D31,Data!$AAC$2:$AAI$13,3,FALSE),IF(E31=Data!$ZI$5,VLOOKUP(D31,Data!$AAC$26:$AAI$37,3,FALSE)))))))</f>
        <v/>
      </c>
      <c r="CM31" s="251">
        <f t="shared" si="20"/>
        <v>0</v>
      </c>
      <c r="CN31" s="251" t="e">
        <f t="shared" si="21"/>
        <v>#VALUE!</v>
      </c>
      <c r="CO31" s="239" t="e">
        <f t="shared" si="22"/>
        <v>#VALUE!</v>
      </c>
      <c r="CP31" s="239" t="str">
        <f>IF(D31="","",IF(E31=Data!$ZI$2,VLOOKUP(D31,Data!$ZK$2:$ZN$15,4,FALSE),IF(E31=Data!$ZI$1,VLOOKUP(D31,Data!$ZQ$2:$ZT$13,4,FALSE),IF(E31=Data!$ZI$3,VLOOKUP(D31,Data!$ZW$2:$AAC$13,4,FALSE),IF(E31=Data!$ZI$4,VLOOKUP(D31,Data!$AAC$2:$AAJ$13,4,FALSE),IF(E31=Data!$ZI$5,VLOOKUP(D31,Data!$AAC$26:$AAJ$37,4,FALSE)))))))</f>
        <v/>
      </c>
      <c r="CQ31" s="251">
        <f t="shared" si="23"/>
        <v>0</v>
      </c>
      <c r="CR31" s="251" t="e">
        <f t="shared" si="24"/>
        <v>#VALUE!</v>
      </c>
      <c r="CS31" s="239" t="e">
        <f t="shared" si="25"/>
        <v>#VALUE!</v>
      </c>
      <c r="CT31" s="311">
        <f t="shared" si="26"/>
        <v>0</v>
      </c>
      <c r="CU31" s="239" t="str">
        <f>IF(D31="","",IF(E31=Data!$ZI$2,VLOOKUP(D31,Data!$ZK$2:$ZO$15,5,FALSE),IF(E31=Data!$ZI$1,VLOOKUP(D31,Data!$ZQ$2:$ZU$13,5,FALSE),IF(E31=Data!$ZI$3,VLOOKUP(D31,Data!$ZW$2:$AAD$13,5,FALSE),IF(E31=Data!$ZI$4,VLOOKUP(D31,Data!$AAC$2:$AAK$13,5,FALSE),IF(E31=Data!$ZI$5,VLOOKUP(D31,Data!$AAC$26:$AAK$37,5,FALSE)))))))</f>
        <v/>
      </c>
      <c r="CV31" s="251">
        <f t="shared" si="27"/>
        <v>0</v>
      </c>
      <c r="CW31" s="251" t="e">
        <f t="shared" si="28"/>
        <v>#VALUE!</v>
      </c>
      <c r="CX31" s="239" t="e">
        <f t="shared" si="29"/>
        <v>#VALUE!</v>
      </c>
      <c r="CY31" s="239" t="str">
        <f>IF(D31="","",IF(E31=Data!$ZI$2,VLOOKUP(D31,Data!$ZK$2:$ZP$15,6,FALSE),IF(E31=Data!$ZI$1,VLOOKUP(D31,Data!$ZQ$2:$ZV$13,6,FALSE),IF(E31=Data!$ZI$3,VLOOKUP(D31,Data!$ZW$2:$AAE$13,6,FALSE),IF(E31=Data!$ZI$4,VLOOKUP(D31,Data!$AAC$2:$AAL$13,6,FALSE),IF(E31=Data!$ZI$5,VLOOKUP(D31,Data!$AAC$26:$AAL$37,6,FALSE)))))))</f>
        <v/>
      </c>
      <c r="CZ31" s="251">
        <f t="shared" si="30"/>
        <v>0</v>
      </c>
      <c r="DA31" s="251" t="e">
        <f t="shared" si="31"/>
        <v>#VALUE!</v>
      </c>
      <c r="DB31" s="239" t="e">
        <f t="shared" si="32"/>
        <v>#VALUE!</v>
      </c>
      <c r="DC31" s="311">
        <f t="shared" si="33"/>
        <v>0</v>
      </c>
    </row>
    <row r="32" spans="1:107" ht="30" customHeight="1">
      <c r="A32" s="52">
        <v>25</v>
      </c>
      <c r="B32" s="13"/>
      <c r="C32" s="13"/>
      <c r="D32" s="13"/>
      <c r="E32" s="235"/>
      <c r="F32" s="235"/>
      <c r="G32" s="235"/>
      <c r="H32" s="235"/>
      <c r="I32" s="14"/>
      <c r="J32" s="14"/>
      <c r="K32" s="14"/>
      <c r="L32" s="14"/>
      <c r="M32" s="563"/>
      <c r="N32" s="564"/>
      <c r="O32" s="15"/>
      <c r="P32" s="15"/>
      <c r="Q32" s="15"/>
      <c r="R32" s="15"/>
      <c r="S32" s="15"/>
      <c r="T32" s="13" t="str">
        <f t="shared" si="9"/>
        <v/>
      </c>
      <c r="U32" s="253" t="str">
        <f t="shared" si="10"/>
        <v/>
      </c>
      <c r="V32" s="470"/>
      <c r="W32" s="481" t="b">
        <f t="shared" si="11"/>
        <v>0</v>
      </c>
      <c r="X32" s="230"/>
      <c r="Y32" s="253"/>
      <c r="AA32" s="33" t="str">
        <f>IF(SUM(--ISNUMBER(SEARCH({"Skylight"}, D32))),Data!$AJ$19,Data!$AJ$1)</f>
        <v>WindowType</v>
      </c>
      <c r="AB32" s="33" t="str">
        <f t="shared" si="0"/>
        <v>OK</v>
      </c>
      <c r="AE32" s="239" t="e">
        <f>MATCH(E32, Data!$TB$2:$TB$6,0)</f>
        <v>#N/A</v>
      </c>
      <c r="AF32" s="239" t="e">
        <f>MATCH(F32,Data!$TC$1:$UB$1,0)</f>
        <v>#N/A</v>
      </c>
      <c r="AG32" s="239" t="e">
        <f>INDEX(Data!$TC$2:$UB$6,'Cellular Blinds'!AE32,'Cellular Blinds'!AF32)</f>
        <v>#N/A</v>
      </c>
      <c r="AH32" s="33" t="e">
        <f>VLOOKUP(D32,Data!$RU$2:$RV$15,2,FALSE)</f>
        <v>#N/A</v>
      </c>
      <c r="AI32" s="33" t="b">
        <f>IF(D32=Data!$UT$2,Data!$UU$1,IF(D32=Data!$UT$3,Data!$UV$1,IF(D32=Data!$UT$4,Data!$UW$1,IF(D32=Data!$UT$5,Data!$UX$1,IF(D32=Data!$UT$6,Data!$UY$1,IF(D32=Data!$UT$7,Data!$UZ$1,IF(D32=Data!$UT$8,Data!$VA$1,IF(D32=Data!$UT$9,Data!$VB$1,IF(D32=Data!$UT$10,Data!$VC$1,IF(D32=Data!$UT$11,Data!$VD$1,IF(D32=Data!$UT$12,Data!$VD$22,IF(D32=Data!$UT$13,Data!$VD$22,IF(D32=Data!$UT$14,Data!$UU$13,IF(D32=Data!$UT$15,Data!$UV$13))))))))))))))</f>
        <v>0</v>
      </c>
      <c r="AJ32" s="239" t="e">
        <f>MATCH(D32,Data!$VL$27:$VL$40,0)</f>
        <v>#N/A</v>
      </c>
      <c r="AK32" s="239" t="e">
        <f>MATCH(E32,Data!$VM$26:$VQ$26,0)</f>
        <v>#N/A</v>
      </c>
      <c r="AL32" s="239" t="e">
        <f>INDEX(Data!$VM$27:$VQ$40,'Cellular Blinds'!AJ32,'Cellular Blinds'!AK32)</f>
        <v>#N/A</v>
      </c>
      <c r="AM32" s="239" t="e">
        <f>MATCH(D32, Data!$VL$2:$VL$16,0)</f>
        <v>#N/A</v>
      </c>
      <c r="AN32" s="239" t="e">
        <f>MATCH(E32,Data!$VM$1:$VQ$1,0)</f>
        <v>#N/A</v>
      </c>
      <c r="AO32" s="239" t="e">
        <f>INDEX(Data!$VM$2:$VQ$16,'Cellular Blinds'!AM32,'Cellular Blinds'!AN32)</f>
        <v>#N/A</v>
      </c>
      <c r="AP32" s="33" t="e">
        <f>VLOOKUP(P32,Data!$UW$14:$UX$28,2,FALSE)</f>
        <v>#N/A</v>
      </c>
      <c r="AQ32" s="239" t="e">
        <f>MATCH(E32, Data!$XS$2:$XS$6,0)</f>
        <v>#N/A</v>
      </c>
      <c r="AR32" s="239" t="e">
        <f>MATCH(F32,Data!$XT$1:$YR$1,0)</f>
        <v>#N/A</v>
      </c>
      <c r="AS32" s="239" t="e">
        <f>INDEX(Data!$XT$2:$YR$6,'Cellular Blinds'!AQ32,'Cellular Blinds'!AR32)</f>
        <v>#N/A</v>
      </c>
      <c r="AT32" s="239" t="b">
        <f>IF(D32=Data!$YU$2,Data!$YV$1,IF(D32=Data!$YU$3,Data!$YW$1,IF(D32=Data!$YU$4,Data!$YX$1,IF(D32=Data!$YU$5,Data!$YY$1,IF(D32=Data!$YU$6,Data!$YZ$1,IF(D32=Data!$YU$7,Data!$ZA$1,IF(D32=Data!$YU$8,Data!$ZB$1,IF(D32=Data!$YU$9,Data!$ZC$1,IF(D32=Data!$YU$10,Data!$ZD$1,IF(D32=Data!$YU$11,Data!$ZE$1,IF(D32=Data!$YU$12,Data!$ZE$1,IF(D32=Data!$YU$13,Data!$ZE$1,IF(D32=Data!$YU$14,Data!$ZG$11,IF(D32=Data!$YU$15,Data!$ZF$11))))))))))))))</f>
        <v>0</v>
      </c>
      <c r="AU32" s="239" t="str">
        <f>IF(D32="","",IF(E32=Data!$ZI$2,VLOOKUP(D32,Data!$ZK$2:$ZL$15,2,FALSE),IF(E32=Data!$ZI$1,VLOOKUP(D32,Data!$ZQ$2:$ZR$13,2,FALSE),IF(E32=Data!$ZI$3,VLOOKUP(D32,Data!$ZW$2:$ZX$13,2,FALSE),IF(E32=Data!$ZI$4,VLOOKUP(D32,Data!$AAC$2:$AAD$13,2,FALSE),IF(E32=Data!$ZI$5,VLOOKUP(D32,Data!$AAC$26:$AAD$37,2,FALSE)))))))</f>
        <v/>
      </c>
      <c r="AV32" s="251" t="str">
        <f t="shared" si="12"/>
        <v/>
      </c>
      <c r="AW32" s="251" t="str">
        <f t="shared" si="13"/>
        <v/>
      </c>
      <c r="AX32" s="239" t="str">
        <f t="shared" si="14"/>
        <v/>
      </c>
      <c r="BA32" s="33" t="str">
        <f t="shared" si="15"/>
        <v>FittingBoth</v>
      </c>
      <c r="BN32" s="475" t="str">
        <f t="shared" si="1"/>
        <v>UChannelNA</v>
      </c>
      <c r="BO32" s="475" t="e">
        <f t="shared" si="16"/>
        <v>#N/A</v>
      </c>
      <c r="BP32" s="475" t="str">
        <f t="shared" si="17"/>
        <v>No</v>
      </c>
      <c r="BQ32" s="475" t="str">
        <f t="shared" si="18"/>
        <v>No</v>
      </c>
      <c r="BR32" s="475" t="e">
        <f t="shared" si="2"/>
        <v>#N/A</v>
      </c>
      <c r="BU32" s="172">
        <f t="shared" si="19"/>
        <v>2</v>
      </c>
      <c r="CB32" s="33" t="e">
        <f t="shared" si="3"/>
        <v>#N/A</v>
      </c>
      <c r="CC32" s="172" t="b">
        <f t="shared" si="4"/>
        <v>0</v>
      </c>
      <c r="CD32" s="172">
        <f t="shared" si="5"/>
        <v>0</v>
      </c>
      <c r="CE32" s="172">
        <f t="shared" si="6"/>
        <v>0</v>
      </c>
      <c r="CF32" s="172">
        <f t="shared" si="7"/>
        <v>0</v>
      </c>
      <c r="CG32" s="172">
        <f t="shared" si="8"/>
        <v>0</v>
      </c>
      <c r="CL32" s="239" t="str">
        <f>IF(D32="","",IF(E32=Data!$ZI$2,VLOOKUP(D32,Data!$ZK$2:$ZP$15,3,FALSE),IF(E32=Data!$ZI$1,VLOOKUP(D32,Data!$ZQ$2:$ZS$13,3,FALSE),IF(E32=Data!$ZI$3,VLOOKUP(D32,Data!$ZW$2:$AAB$13,3,FALSE),IF(E32=Data!$ZI$4,VLOOKUP(D32,Data!$AAC$2:$AAI$13,3,FALSE),IF(E32=Data!$ZI$5,VLOOKUP(D32,Data!$AAC$26:$AAI$37,3,FALSE)))))))</f>
        <v/>
      </c>
      <c r="CM32" s="251">
        <f t="shared" si="20"/>
        <v>0</v>
      </c>
      <c r="CN32" s="251" t="e">
        <f t="shared" si="21"/>
        <v>#VALUE!</v>
      </c>
      <c r="CO32" s="239" t="e">
        <f t="shared" si="22"/>
        <v>#VALUE!</v>
      </c>
      <c r="CP32" s="239" t="str">
        <f>IF(D32="","",IF(E32=Data!$ZI$2,VLOOKUP(D32,Data!$ZK$2:$ZN$15,4,FALSE),IF(E32=Data!$ZI$1,VLOOKUP(D32,Data!$ZQ$2:$ZT$13,4,FALSE),IF(E32=Data!$ZI$3,VLOOKUP(D32,Data!$ZW$2:$AAC$13,4,FALSE),IF(E32=Data!$ZI$4,VLOOKUP(D32,Data!$AAC$2:$AAJ$13,4,FALSE),IF(E32=Data!$ZI$5,VLOOKUP(D32,Data!$AAC$26:$AAJ$37,4,FALSE)))))))</f>
        <v/>
      </c>
      <c r="CQ32" s="251">
        <f t="shared" si="23"/>
        <v>0</v>
      </c>
      <c r="CR32" s="251" t="e">
        <f t="shared" si="24"/>
        <v>#VALUE!</v>
      </c>
      <c r="CS32" s="239" t="e">
        <f t="shared" si="25"/>
        <v>#VALUE!</v>
      </c>
      <c r="CT32" s="311">
        <f t="shared" si="26"/>
        <v>0</v>
      </c>
      <c r="CU32" s="239" t="str">
        <f>IF(D32="","",IF(E32=Data!$ZI$2,VLOOKUP(D32,Data!$ZK$2:$ZO$15,5,FALSE),IF(E32=Data!$ZI$1,VLOOKUP(D32,Data!$ZQ$2:$ZU$13,5,FALSE),IF(E32=Data!$ZI$3,VLOOKUP(D32,Data!$ZW$2:$AAD$13,5,FALSE),IF(E32=Data!$ZI$4,VLOOKUP(D32,Data!$AAC$2:$AAK$13,5,FALSE),IF(E32=Data!$ZI$5,VLOOKUP(D32,Data!$AAC$26:$AAK$37,5,FALSE)))))))</f>
        <v/>
      </c>
      <c r="CV32" s="251">
        <f t="shared" si="27"/>
        <v>0</v>
      </c>
      <c r="CW32" s="251" t="e">
        <f t="shared" si="28"/>
        <v>#VALUE!</v>
      </c>
      <c r="CX32" s="239" t="e">
        <f t="shared" si="29"/>
        <v>#VALUE!</v>
      </c>
      <c r="CY32" s="239" t="str">
        <f>IF(D32="","",IF(E32=Data!$ZI$2,VLOOKUP(D32,Data!$ZK$2:$ZP$15,6,FALSE),IF(E32=Data!$ZI$1,VLOOKUP(D32,Data!$ZQ$2:$ZV$13,6,FALSE),IF(E32=Data!$ZI$3,VLOOKUP(D32,Data!$ZW$2:$AAE$13,6,FALSE),IF(E32=Data!$ZI$4,VLOOKUP(D32,Data!$AAC$2:$AAL$13,6,FALSE),IF(E32=Data!$ZI$5,VLOOKUP(D32,Data!$AAC$26:$AAL$37,6,FALSE)))))))</f>
        <v/>
      </c>
      <c r="CZ32" s="251">
        <f t="shared" si="30"/>
        <v>0</v>
      </c>
      <c r="DA32" s="251" t="e">
        <f t="shared" si="31"/>
        <v>#VALUE!</v>
      </c>
      <c r="DB32" s="239" t="e">
        <f t="shared" si="32"/>
        <v>#VALUE!</v>
      </c>
      <c r="DC32" s="311">
        <f t="shared" si="33"/>
        <v>0</v>
      </c>
    </row>
    <row r="33" spans="1:107" ht="30" customHeight="1">
      <c r="A33" s="52">
        <v>26</v>
      </c>
      <c r="B33" s="13"/>
      <c r="C33" s="13"/>
      <c r="D33" s="13"/>
      <c r="E33" s="235"/>
      <c r="F33" s="235"/>
      <c r="G33" s="235"/>
      <c r="H33" s="235"/>
      <c r="I33" s="14"/>
      <c r="J33" s="14"/>
      <c r="K33" s="14"/>
      <c r="L33" s="14"/>
      <c r="M33" s="563"/>
      <c r="N33" s="564"/>
      <c r="O33" s="15"/>
      <c r="P33" s="15"/>
      <c r="Q33" s="15"/>
      <c r="R33" s="15"/>
      <c r="S33" s="15"/>
      <c r="T33" s="13" t="str">
        <f t="shared" si="9"/>
        <v/>
      </c>
      <c r="U33" s="253" t="str">
        <f t="shared" si="10"/>
        <v/>
      </c>
      <c r="V33" s="470"/>
      <c r="W33" s="481" t="b">
        <f t="shared" si="11"/>
        <v>0</v>
      </c>
      <c r="X33" s="230"/>
      <c r="Y33" s="253"/>
      <c r="AA33" s="33" t="str">
        <f>IF(SUM(--ISNUMBER(SEARCH({"Skylight"}, D33))),Data!$AJ$19,Data!$AJ$1)</f>
        <v>WindowType</v>
      </c>
      <c r="AB33" s="33" t="str">
        <f t="shared" si="0"/>
        <v>OK</v>
      </c>
      <c r="AE33" s="239" t="e">
        <f>MATCH(E33, Data!$TB$2:$TB$6,0)</f>
        <v>#N/A</v>
      </c>
      <c r="AF33" s="239" t="e">
        <f>MATCH(F33,Data!$TC$1:$UB$1,0)</f>
        <v>#N/A</v>
      </c>
      <c r="AG33" s="239" t="e">
        <f>INDEX(Data!$TC$2:$UB$6,'Cellular Blinds'!AE33,'Cellular Blinds'!AF33)</f>
        <v>#N/A</v>
      </c>
      <c r="AH33" s="33" t="e">
        <f>VLOOKUP(D33,Data!$RU$2:$RV$15,2,FALSE)</f>
        <v>#N/A</v>
      </c>
      <c r="AI33" s="33" t="b">
        <f>IF(D33=Data!$UT$2,Data!$UU$1,IF(D33=Data!$UT$3,Data!$UV$1,IF(D33=Data!$UT$4,Data!$UW$1,IF(D33=Data!$UT$5,Data!$UX$1,IF(D33=Data!$UT$6,Data!$UY$1,IF(D33=Data!$UT$7,Data!$UZ$1,IF(D33=Data!$UT$8,Data!$VA$1,IF(D33=Data!$UT$9,Data!$VB$1,IF(D33=Data!$UT$10,Data!$VC$1,IF(D33=Data!$UT$11,Data!$VD$1,IF(D33=Data!$UT$12,Data!$VD$22,IF(D33=Data!$UT$13,Data!$VD$22,IF(D33=Data!$UT$14,Data!$UU$13,IF(D33=Data!$UT$15,Data!$UV$13))))))))))))))</f>
        <v>0</v>
      </c>
      <c r="AJ33" s="239" t="e">
        <f>MATCH(D33,Data!$VL$27:$VL$40,0)</f>
        <v>#N/A</v>
      </c>
      <c r="AK33" s="239" t="e">
        <f>MATCH(E33,Data!$VM$26:$VQ$26,0)</f>
        <v>#N/A</v>
      </c>
      <c r="AL33" s="239" t="e">
        <f>INDEX(Data!$VM$27:$VQ$40,'Cellular Blinds'!AJ33,'Cellular Blinds'!AK33)</f>
        <v>#N/A</v>
      </c>
      <c r="AM33" s="239" t="e">
        <f>MATCH(D33, Data!$VL$2:$VL$16,0)</f>
        <v>#N/A</v>
      </c>
      <c r="AN33" s="239" t="e">
        <f>MATCH(E33,Data!$VM$1:$VQ$1,0)</f>
        <v>#N/A</v>
      </c>
      <c r="AO33" s="239" t="e">
        <f>INDEX(Data!$VM$2:$VQ$16,'Cellular Blinds'!AM33,'Cellular Blinds'!AN33)</f>
        <v>#N/A</v>
      </c>
      <c r="AP33" s="33" t="e">
        <f>VLOOKUP(P33,Data!$UW$14:$UX$28,2,FALSE)</f>
        <v>#N/A</v>
      </c>
      <c r="AQ33" s="239" t="e">
        <f>MATCH(E33, Data!$XS$2:$XS$6,0)</f>
        <v>#N/A</v>
      </c>
      <c r="AR33" s="239" t="e">
        <f>MATCH(F33,Data!$XT$1:$YR$1,0)</f>
        <v>#N/A</v>
      </c>
      <c r="AS33" s="239" t="e">
        <f>INDEX(Data!$XT$2:$YR$6,'Cellular Blinds'!AQ33,'Cellular Blinds'!AR33)</f>
        <v>#N/A</v>
      </c>
      <c r="AT33" s="239" t="b">
        <f>IF(D33=Data!$YU$2,Data!$YV$1,IF(D33=Data!$YU$3,Data!$YW$1,IF(D33=Data!$YU$4,Data!$YX$1,IF(D33=Data!$YU$5,Data!$YY$1,IF(D33=Data!$YU$6,Data!$YZ$1,IF(D33=Data!$YU$7,Data!$ZA$1,IF(D33=Data!$YU$8,Data!$ZB$1,IF(D33=Data!$YU$9,Data!$ZC$1,IF(D33=Data!$YU$10,Data!$ZD$1,IF(D33=Data!$YU$11,Data!$ZE$1,IF(D33=Data!$YU$12,Data!$ZE$1,IF(D33=Data!$YU$13,Data!$ZE$1,IF(D33=Data!$YU$14,Data!$ZG$11,IF(D33=Data!$YU$15,Data!$ZF$11))))))))))))))</f>
        <v>0</v>
      </c>
      <c r="AU33" s="239" t="str">
        <f>IF(D33="","",IF(E33=Data!$ZI$2,VLOOKUP(D33,Data!$ZK$2:$ZL$15,2,FALSE),IF(E33=Data!$ZI$1,VLOOKUP(D33,Data!$ZQ$2:$ZR$13,2,FALSE),IF(E33=Data!$ZI$3,VLOOKUP(D33,Data!$ZW$2:$ZX$13,2,FALSE),IF(E33=Data!$ZI$4,VLOOKUP(D33,Data!$AAC$2:$AAD$13,2,FALSE),IF(E33=Data!$ZI$5,VLOOKUP(D33,Data!$AAC$26:$AAD$37,2,FALSE)))))))</f>
        <v/>
      </c>
      <c r="AV33" s="251" t="str">
        <f t="shared" si="12"/>
        <v/>
      </c>
      <c r="AW33" s="251" t="str">
        <f t="shared" si="13"/>
        <v/>
      </c>
      <c r="AX33" s="239" t="str">
        <f t="shared" si="14"/>
        <v/>
      </c>
      <c r="BA33" s="33" t="str">
        <f t="shared" si="15"/>
        <v>FittingBoth</v>
      </c>
      <c r="BN33" s="475" t="str">
        <f t="shared" si="1"/>
        <v>UChannelNA</v>
      </c>
      <c r="BO33" s="475" t="e">
        <f t="shared" si="16"/>
        <v>#N/A</v>
      </c>
      <c r="BP33" s="475" t="str">
        <f t="shared" si="17"/>
        <v>No</v>
      </c>
      <c r="BQ33" s="475" t="str">
        <f t="shared" si="18"/>
        <v>No</v>
      </c>
      <c r="BR33" s="475" t="e">
        <f t="shared" si="2"/>
        <v>#N/A</v>
      </c>
      <c r="BU33" s="172">
        <f t="shared" si="19"/>
        <v>2</v>
      </c>
      <c r="CB33" s="33" t="e">
        <f t="shared" si="3"/>
        <v>#N/A</v>
      </c>
      <c r="CC33" s="172" t="b">
        <f t="shared" si="4"/>
        <v>0</v>
      </c>
      <c r="CD33" s="172">
        <f t="shared" si="5"/>
        <v>0</v>
      </c>
      <c r="CE33" s="172">
        <f t="shared" si="6"/>
        <v>0</v>
      </c>
      <c r="CF33" s="172">
        <f t="shared" si="7"/>
        <v>0</v>
      </c>
      <c r="CG33" s="172">
        <f t="shared" si="8"/>
        <v>0</v>
      </c>
      <c r="CL33" s="239" t="str">
        <f>IF(D33="","",IF(E33=Data!$ZI$2,VLOOKUP(D33,Data!$ZK$2:$ZP$15,3,FALSE),IF(E33=Data!$ZI$1,VLOOKUP(D33,Data!$ZQ$2:$ZS$13,3,FALSE),IF(E33=Data!$ZI$3,VLOOKUP(D33,Data!$ZW$2:$AAB$13,3,FALSE),IF(E33=Data!$ZI$4,VLOOKUP(D33,Data!$AAC$2:$AAI$13,3,FALSE),IF(E33=Data!$ZI$5,VLOOKUP(D33,Data!$AAC$26:$AAI$37,3,FALSE)))))))</f>
        <v/>
      </c>
      <c r="CM33" s="251">
        <f t="shared" si="20"/>
        <v>0</v>
      </c>
      <c r="CN33" s="251" t="e">
        <f t="shared" si="21"/>
        <v>#VALUE!</v>
      </c>
      <c r="CO33" s="239" t="e">
        <f t="shared" si="22"/>
        <v>#VALUE!</v>
      </c>
      <c r="CP33" s="239" t="str">
        <f>IF(D33="","",IF(E33=Data!$ZI$2,VLOOKUP(D33,Data!$ZK$2:$ZN$15,4,FALSE),IF(E33=Data!$ZI$1,VLOOKUP(D33,Data!$ZQ$2:$ZT$13,4,FALSE),IF(E33=Data!$ZI$3,VLOOKUP(D33,Data!$ZW$2:$AAC$13,4,FALSE),IF(E33=Data!$ZI$4,VLOOKUP(D33,Data!$AAC$2:$AAJ$13,4,FALSE),IF(E33=Data!$ZI$5,VLOOKUP(D33,Data!$AAC$26:$AAJ$37,4,FALSE)))))))</f>
        <v/>
      </c>
      <c r="CQ33" s="251">
        <f t="shared" si="23"/>
        <v>0</v>
      </c>
      <c r="CR33" s="251" t="e">
        <f t="shared" si="24"/>
        <v>#VALUE!</v>
      </c>
      <c r="CS33" s="239" t="e">
        <f t="shared" si="25"/>
        <v>#VALUE!</v>
      </c>
      <c r="CT33" s="311">
        <f t="shared" si="26"/>
        <v>0</v>
      </c>
      <c r="CU33" s="239" t="str">
        <f>IF(D33="","",IF(E33=Data!$ZI$2,VLOOKUP(D33,Data!$ZK$2:$ZO$15,5,FALSE),IF(E33=Data!$ZI$1,VLOOKUP(D33,Data!$ZQ$2:$ZU$13,5,FALSE),IF(E33=Data!$ZI$3,VLOOKUP(D33,Data!$ZW$2:$AAD$13,5,FALSE),IF(E33=Data!$ZI$4,VLOOKUP(D33,Data!$AAC$2:$AAK$13,5,FALSE),IF(E33=Data!$ZI$5,VLOOKUP(D33,Data!$AAC$26:$AAK$37,5,FALSE)))))))</f>
        <v/>
      </c>
      <c r="CV33" s="251">
        <f t="shared" si="27"/>
        <v>0</v>
      </c>
      <c r="CW33" s="251" t="e">
        <f t="shared" si="28"/>
        <v>#VALUE!</v>
      </c>
      <c r="CX33" s="239" t="e">
        <f t="shared" si="29"/>
        <v>#VALUE!</v>
      </c>
      <c r="CY33" s="239" t="str">
        <f>IF(D33="","",IF(E33=Data!$ZI$2,VLOOKUP(D33,Data!$ZK$2:$ZP$15,6,FALSE),IF(E33=Data!$ZI$1,VLOOKUP(D33,Data!$ZQ$2:$ZV$13,6,FALSE),IF(E33=Data!$ZI$3,VLOOKUP(D33,Data!$ZW$2:$AAE$13,6,FALSE),IF(E33=Data!$ZI$4,VLOOKUP(D33,Data!$AAC$2:$AAL$13,6,FALSE),IF(E33=Data!$ZI$5,VLOOKUP(D33,Data!$AAC$26:$AAL$37,6,FALSE)))))))</f>
        <v/>
      </c>
      <c r="CZ33" s="251">
        <f t="shared" si="30"/>
        <v>0</v>
      </c>
      <c r="DA33" s="251" t="e">
        <f t="shared" si="31"/>
        <v>#VALUE!</v>
      </c>
      <c r="DB33" s="239" t="e">
        <f t="shared" si="32"/>
        <v>#VALUE!</v>
      </c>
      <c r="DC33" s="311">
        <f t="shared" si="33"/>
        <v>0</v>
      </c>
    </row>
    <row r="34" spans="1:107" ht="30" customHeight="1">
      <c r="A34" s="52">
        <v>27</v>
      </c>
      <c r="B34" s="19"/>
      <c r="C34" s="13"/>
      <c r="D34" s="13"/>
      <c r="E34" s="235"/>
      <c r="F34" s="235"/>
      <c r="G34" s="235"/>
      <c r="H34" s="235"/>
      <c r="I34" s="14"/>
      <c r="J34" s="14"/>
      <c r="K34" s="14"/>
      <c r="L34" s="14"/>
      <c r="M34" s="563"/>
      <c r="N34" s="564"/>
      <c r="O34" s="15"/>
      <c r="P34" s="15"/>
      <c r="Q34" s="15"/>
      <c r="R34" s="15"/>
      <c r="S34" s="15"/>
      <c r="T34" s="13" t="str">
        <f t="shared" si="9"/>
        <v/>
      </c>
      <c r="U34" s="253" t="str">
        <f t="shared" si="10"/>
        <v/>
      </c>
      <c r="V34" s="470"/>
      <c r="W34" s="481" t="b">
        <f t="shared" si="11"/>
        <v>0</v>
      </c>
      <c r="X34" s="230"/>
      <c r="Y34" s="253"/>
      <c r="AA34" s="33" t="str">
        <f>IF(SUM(--ISNUMBER(SEARCH({"Skylight"}, D34))),Data!$AJ$19,Data!$AJ$1)</f>
        <v>WindowType</v>
      </c>
      <c r="AB34" s="33" t="str">
        <f t="shared" si="0"/>
        <v>OK</v>
      </c>
      <c r="AE34" s="239" t="e">
        <f>MATCH(E34, Data!$TB$2:$TB$6,0)</f>
        <v>#N/A</v>
      </c>
      <c r="AF34" s="239" t="e">
        <f>MATCH(F34,Data!$TC$1:$UB$1,0)</f>
        <v>#N/A</v>
      </c>
      <c r="AG34" s="239" t="e">
        <f>INDEX(Data!$TC$2:$UB$6,'Cellular Blinds'!AE34,'Cellular Blinds'!AF34)</f>
        <v>#N/A</v>
      </c>
      <c r="AH34" s="33" t="e">
        <f>VLOOKUP(D34,Data!$RU$2:$RV$15,2,FALSE)</f>
        <v>#N/A</v>
      </c>
      <c r="AI34" s="33" t="b">
        <f>IF(D34=Data!$UT$2,Data!$UU$1,IF(D34=Data!$UT$3,Data!$UV$1,IF(D34=Data!$UT$4,Data!$UW$1,IF(D34=Data!$UT$5,Data!$UX$1,IF(D34=Data!$UT$6,Data!$UY$1,IF(D34=Data!$UT$7,Data!$UZ$1,IF(D34=Data!$UT$8,Data!$VA$1,IF(D34=Data!$UT$9,Data!$VB$1,IF(D34=Data!$UT$10,Data!$VC$1,IF(D34=Data!$UT$11,Data!$VD$1,IF(D34=Data!$UT$12,Data!$VD$22,IF(D34=Data!$UT$13,Data!$VD$22,IF(D34=Data!$UT$14,Data!$UU$13,IF(D34=Data!$UT$15,Data!$UV$13))))))))))))))</f>
        <v>0</v>
      </c>
      <c r="AJ34" s="239" t="e">
        <f>MATCH(D34,Data!$VL$27:$VL$40,0)</f>
        <v>#N/A</v>
      </c>
      <c r="AK34" s="239" t="e">
        <f>MATCH(E34,Data!$VM$26:$VQ$26,0)</f>
        <v>#N/A</v>
      </c>
      <c r="AL34" s="239" t="e">
        <f>INDEX(Data!$VM$27:$VQ$40,'Cellular Blinds'!AJ34,'Cellular Blinds'!AK34)</f>
        <v>#N/A</v>
      </c>
      <c r="AM34" s="239" t="e">
        <f>MATCH(D34, Data!$VL$2:$VL$16,0)</f>
        <v>#N/A</v>
      </c>
      <c r="AN34" s="239" t="e">
        <f>MATCH(E34,Data!$VM$1:$VQ$1,0)</f>
        <v>#N/A</v>
      </c>
      <c r="AO34" s="239" t="e">
        <f>INDEX(Data!$VM$2:$VQ$16,'Cellular Blinds'!AM34,'Cellular Blinds'!AN34)</f>
        <v>#N/A</v>
      </c>
      <c r="AP34" s="33" t="e">
        <f>VLOOKUP(P34,Data!$UW$14:$UX$28,2,FALSE)</f>
        <v>#N/A</v>
      </c>
      <c r="AQ34" s="239" t="e">
        <f>MATCH(E34, Data!$XS$2:$XS$6,0)</f>
        <v>#N/A</v>
      </c>
      <c r="AR34" s="239" t="e">
        <f>MATCH(F34,Data!$XT$1:$YR$1,0)</f>
        <v>#N/A</v>
      </c>
      <c r="AS34" s="239" t="e">
        <f>INDEX(Data!$XT$2:$YR$6,'Cellular Blinds'!AQ34,'Cellular Blinds'!AR34)</f>
        <v>#N/A</v>
      </c>
      <c r="AT34" s="239" t="b">
        <f>IF(D34=Data!$YU$2,Data!$YV$1,IF(D34=Data!$YU$3,Data!$YW$1,IF(D34=Data!$YU$4,Data!$YX$1,IF(D34=Data!$YU$5,Data!$YY$1,IF(D34=Data!$YU$6,Data!$YZ$1,IF(D34=Data!$YU$7,Data!$ZA$1,IF(D34=Data!$YU$8,Data!$ZB$1,IF(D34=Data!$YU$9,Data!$ZC$1,IF(D34=Data!$YU$10,Data!$ZD$1,IF(D34=Data!$YU$11,Data!$ZE$1,IF(D34=Data!$YU$12,Data!$ZE$1,IF(D34=Data!$YU$13,Data!$ZE$1,IF(D34=Data!$YU$14,Data!$ZG$11,IF(D34=Data!$YU$15,Data!$ZF$11))))))))))))))</f>
        <v>0</v>
      </c>
      <c r="AU34" s="239" t="str">
        <f>IF(D34="","",IF(E34=Data!$ZI$2,VLOOKUP(D34,Data!$ZK$2:$ZL$15,2,FALSE),IF(E34=Data!$ZI$1,VLOOKUP(D34,Data!$ZQ$2:$ZR$13,2,FALSE),IF(E34=Data!$ZI$3,VLOOKUP(D34,Data!$ZW$2:$ZX$13,2,FALSE),IF(E34=Data!$ZI$4,VLOOKUP(D34,Data!$AAC$2:$AAD$13,2,FALSE),IF(E34=Data!$ZI$5,VLOOKUP(D34,Data!$AAC$26:$AAD$37,2,FALSE)))))))</f>
        <v/>
      </c>
      <c r="AV34" s="251" t="str">
        <f t="shared" si="12"/>
        <v/>
      </c>
      <c r="AW34" s="251" t="str">
        <f t="shared" si="13"/>
        <v/>
      </c>
      <c r="AX34" s="239" t="str">
        <f t="shared" si="14"/>
        <v/>
      </c>
      <c r="BA34" s="33" t="str">
        <f t="shared" si="15"/>
        <v>FittingBoth</v>
      </c>
      <c r="BN34" s="475" t="str">
        <f t="shared" si="1"/>
        <v>UChannelNA</v>
      </c>
      <c r="BO34" s="475" t="e">
        <f t="shared" si="16"/>
        <v>#N/A</v>
      </c>
      <c r="BP34" s="475" t="str">
        <f t="shared" si="17"/>
        <v>No</v>
      </c>
      <c r="BQ34" s="475" t="str">
        <f t="shared" si="18"/>
        <v>No</v>
      </c>
      <c r="BR34" s="475" t="e">
        <f t="shared" si="2"/>
        <v>#N/A</v>
      </c>
      <c r="BU34" s="172">
        <f t="shared" si="19"/>
        <v>2</v>
      </c>
      <c r="CB34" s="33" t="e">
        <f t="shared" si="3"/>
        <v>#N/A</v>
      </c>
      <c r="CC34" s="172" t="b">
        <f t="shared" si="4"/>
        <v>0</v>
      </c>
      <c r="CD34" s="172">
        <f t="shared" si="5"/>
        <v>0</v>
      </c>
      <c r="CE34" s="172">
        <f t="shared" si="6"/>
        <v>0</v>
      </c>
      <c r="CF34" s="172">
        <f t="shared" si="7"/>
        <v>0</v>
      </c>
      <c r="CG34" s="172">
        <f t="shared" si="8"/>
        <v>0</v>
      </c>
      <c r="CL34" s="239" t="str">
        <f>IF(D34="","",IF(E34=Data!$ZI$2,VLOOKUP(D34,Data!$ZK$2:$ZP$15,3,FALSE),IF(E34=Data!$ZI$1,VLOOKUP(D34,Data!$ZQ$2:$ZS$13,3,FALSE),IF(E34=Data!$ZI$3,VLOOKUP(D34,Data!$ZW$2:$AAB$13,3,FALSE),IF(E34=Data!$ZI$4,VLOOKUP(D34,Data!$AAC$2:$AAI$13,3,FALSE),IF(E34=Data!$ZI$5,VLOOKUP(D34,Data!$AAC$26:$AAI$37,3,FALSE)))))))</f>
        <v/>
      </c>
      <c r="CM34" s="251">
        <f t="shared" si="20"/>
        <v>0</v>
      </c>
      <c r="CN34" s="251" t="e">
        <f t="shared" si="21"/>
        <v>#VALUE!</v>
      </c>
      <c r="CO34" s="239" t="e">
        <f t="shared" si="22"/>
        <v>#VALUE!</v>
      </c>
      <c r="CP34" s="239" t="str">
        <f>IF(D34="","",IF(E34=Data!$ZI$2,VLOOKUP(D34,Data!$ZK$2:$ZN$15,4,FALSE),IF(E34=Data!$ZI$1,VLOOKUP(D34,Data!$ZQ$2:$ZT$13,4,FALSE),IF(E34=Data!$ZI$3,VLOOKUP(D34,Data!$ZW$2:$AAC$13,4,FALSE),IF(E34=Data!$ZI$4,VLOOKUP(D34,Data!$AAC$2:$AAJ$13,4,FALSE),IF(E34=Data!$ZI$5,VLOOKUP(D34,Data!$AAC$26:$AAJ$37,4,FALSE)))))))</f>
        <v/>
      </c>
      <c r="CQ34" s="251">
        <f t="shared" si="23"/>
        <v>0</v>
      </c>
      <c r="CR34" s="251" t="e">
        <f t="shared" si="24"/>
        <v>#VALUE!</v>
      </c>
      <c r="CS34" s="239" t="e">
        <f t="shared" si="25"/>
        <v>#VALUE!</v>
      </c>
      <c r="CT34" s="311">
        <f t="shared" si="26"/>
        <v>0</v>
      </c>
      <c r="CU34" s="239" t="str">
        <f>IF(D34="","",IF(E34=Data!$ZI$2,VLOOKUP(D34,Data!$ZK$2:$ZO$15,5,FALSE),IF(E34=Data!$ZI$1,VLOOKUP(D34,Data!$ZQ$2:$ZU$13,5,FALSE),IF(E34=Data!$ZI$3,VLOOKUP(D34,Data!$ZW$2:$AAD$13,5,FALSE),IF(E34=Data!$ZI$4,VLOOKUP(D34,Data!$AAC$2:$AAK$13,5,FALSE),IF(E34=Data!$ZI$5,VLOOKUP(D34,Data!$AAC$26:$AAK$37,5,FALSE)))))))</f>
        <v/>
      </c>
      <c r="CV34" s="251">
        <f t="shared" si="27"/>
        <v>0</v>
      </c>
      <c r="CW34" s="251" t="e">
        <f t="shared" si="28"/>
        <v>#VALUE!</v>
      </c>
      <c r="CX34" s="239" t="e">
        <f t="shared" si="29"/>
        <v>#VALUE!</v>
      </c>
      <c r="CY34" s="239" t="str">
        <f>IF(D34="","",IF(E34=Data!$ZI$2,VLOOKUP(D34,Data!$ZK$2:$ZP$15,6,FALSE),IF(E34=Data!$ZI$1,VLOOKUP(D34,Data!$ZQ$2:$ZV$13,6,FALSE),IF(E34=Data!$ZI$3,VLOOKUP(D34,Data!$ZW$2:$AAE$13,6,FALSE),IF(E34=Data!$ZI$4,VLOOKUP(D34,Data!$AAC$2:$AAL$13,6,FALSE),IF(E34=Data!$ZI$5,VLOOKUP(D34,Data!$AAC$26:$AAL$37,6,FALSE)))))))</f>
        <v/>
      </c>
      <c r="CZ34" s="251">
        <f t="shared" si="30"/>
        <v>0</v>
      </c>
      <c r="DA34" s="251" t="e">
        <f t="shared" si="31"/>
        <v>#VALUE!</v>
      </c>
      <c r="DB34" s="239" t="e">
        <f t="shared" si="32"/>
        <v>#VALUE!</v>
      </c>
      <c r="DC34" s="311">
        <f t="shared" si="33"/>
        <v>0</v>
      </c>
    </row>
    <row r="35" spans="1:107" ht="30" customHeight="1">
      <c r="A35" s="52">
        <v>28</v>
      </c>
      <c r="B35" s="13"/>
      <c r="C35" s="13"/>
      <c r="D35" s="13"/>
      <c r="E35" s="235"/>
      <c r="F35" s="235"/>
      <c r="G35" s="235"/>
      <c r="H35" s="235"/>
      <c r="I35" s="14"/>
      <c r="J35" s="14"/>
      <c r="K35" s="14"/>
      <c r="L35" s="14"/>
      <c r="M35" s="563"/>
      <c r="N35" s="564"/>
      <c r="O35" s="15"/>
      <c r="P35" s="15"/>
      <c r="Q35" s="15"/>
      <c r="R35" s="15"/>
      <c r="S35" s="15"/>
      <c r="T35" s="13" t="str">
        <f t="shared" si="9"/>
        <v/>
      </c>
      <c r="U35" s="253" t="str">
        <f t="shared" si="10"/>
        <v/>
      </c>
      <c r="V35" s="470"/>
      <c r="W35" s="481" t="b">
        <f t="shared" si="11"/>
        <v>0</v>
      </c>
      <c r="X35" s="230"/>
      <c r="Y35" s="253"/>
      <c r="AA35" s="33" t="str">
        <f>IF(SUM(--ISNUMBER(SEARCH({"Skylight"}, D35))),Data!$AJ$19,Data!$AJ$1)</f>
        <v>WindowType</v>
      </c>
      <c r="AB35" s="33" t="str">
        <f t="shared" si="0"/>
        <v>OK</v>
      </c>
      <c r="AE35" s="239" t="e">
        <f>MATCH(E35, Data!$TB$2:$TB$6,0)</f>
        <v>#N/A</v>
      </c>
      <c r="AF35" s="239" t="e">
        <f>MATCH(F35,Data!$TC$1:$UB$1,0)</f>
        <v>#N/A</v>
      </c>
      <c r="AG35" s="239" t="e">
        <f>INDEX(Data!$TC$2:$UB$6,'Cellular Blinds'!AE35,'Cellular Blinds'!AF35)</f>
        <v>#N/A</v>
      </c>
      <c r="AH35" s="33" t="e">
        <f>VLOOKUP(D35,Data!$RU$2:$RV$15,2,FALSE)</f>
        <v>#N/A</v>
      </c>
      <c r="AI35" s="33" t="b">
        <f>IF(D35=Data!$UT$2,Data!$UU$1,IF(D35=Data!$UT$3,Data!$UV$1,IF(D35=Data!$UT$4,Data!$UW$1,IF(D35=Data!$UT$5,Data!$UX$1,IF(D35=Data!$UT$6,Data!$UY$1,IF(D35=Data!$UT$7,Data!$UZ$1,IF(D35=Data!$UT$8,Data!$VA$1,IF(D35=Data!$UT$9,Data!$VB$1,IF(D35=Data!$UT$10,Data!$VC$1,IF(D35=Data!$UT$11,Data!$VD$1,IF(D35=Data!$UT$12,Data!$VD$22,IF(D35=Data!$UT$13,Data!$VD$22,IF(D35=Data!$UT$14,Data!$UU$13,IF(D35=Data!$UT$15,Data!$UV$13))))))))))))))</f>
        <v>0</v>
      </c>
      <c r="AJ35" s="239" t="e">
        <f>MATCH(D35,Data!$VL$27:$VL$40,0)</f>
        <v>#N/A</v>
      </c>
      <c r="AK35" s="239" t="e">
        <f>MATCH(E35,Data!$VM$26:$VQ$26,0)</f>
        <v>#N/A</v>
      </c>
      <c r="AL35" s="239" t="e">
        <f>INDEX(Data!$VM$27:$VQ$40,'Cellular Blinds'!AJ35,'Cellular Blinds'!AK35)</f>
        <v>#N/A</v>
      </c>
      <c r="AM35" s="239" t="e">
        <f>MATCH(D35, Data!$VL$2:$VL$16,0)</f>
        <v>#N/A</v>
      </c>
      <c r="AN35" s="239" t="e">
        <f>MATCH(E35,Data!$VM$1:$VQ$1,0)</f>
        <v>#N/A</v>
      </c>
      <c r="AO35" s="239" t="e">
        <f>INDEX(Data!$VM$2:$VQ$16,'Cellular Blinds'!AM35,'Cellular Blinds'!AN35)</f>
        <v>#N/A</v>
      </c>
      <c r="AP35" s="33" t="e">
        <f>VLOOKUP(P35,Data!$UW$14:$UX$28,2,FALSE)</f>
        <v>#N/A</v>
      </c>
      <c r="AQ35" s="239" t="e">
        <f>MATCH(E35, Data!$XS$2:$XS$6,0)</f>
        <v>#N/A</v>
      </c>
      <c r="AR35" s="239" t="e">
        <f>MATCH(F35,Data!$XT$1:$YR$1,0)</f>
        <v>#N/A</v>
      </c>
      <c r="AS35" s="239" t="e">
        <f>INDEX(Data!$XT$2:$YR$6,'Cellular Blinds'!AQ35,'Cellular Blinds'!AR35)</f>
        <v>#N/A</v>
      </c>
      <c r="AT35" s="239" t="b">
        <f>IF(D35=Data!$YU$2,Data!$YV$1,IF(D35=Data!$YU$3,Data!$YW$1,IF(D35=Data!$YU$4,Data!$YX$1,IF(D35=Data!$YU$5,Data!$YY$1,IF(D35=Data!$YU$6,Data!$YZ$1,IF(D35=Data!$YU$7,Data!$ZA$1,IF(D35=Data!$YU$8,Data!$ZB$1,IF(D35=Data!$YU$9,Data!$ZC$1,IF(D35=Data!$YU$10,Data!$ZD$1,IF(D35=Data!$YU$11,Data!$ZE$1,IF(D35=Data!$YU$12,Data!$ZE$1,IF(D35=Data!$YU$13,Data!$ZE$1,IF(D35=Data!$YU$14,Data!$ZG$11,IF(D35=Data!$YU$15,Data!$ZF$11))))))))))))))</f>
        <v>0</v>
      </c>
      <c r="AU35" s="239" t="str">
        <f>IF(D35="","",IF(E35=Data!$ZI$2,VLOOKUP(D35,Data!$ZK$2:$ZL$15,2,FALSE),IF(E35=Data!$ZI$1,VLOOKUP(D35,Data!$ZQ$2:$ZR$13,2,FALSE),IF(E35=Data!$ZI$3,VLOOKUP(D35,Data!$ZW$2:$ZX$13,2,FALSE),IF(E35=Data!$ZI$4,VLOOKUP(D35,Data!$AAC$2:$AAD$13,2,FALSE),IF(E35=Data!$ZI$5,VLOOKUP(D35,Data!$AAC$26:$AAD$37,2,FALSE)))))))</f>
        <v/>
      </c>
      <c r="AV35" s="251" t="str">
        <f t="shared" si="12"/>
        <v/>
      </c>
      <c r="AW35" s="251" t="str">
        <f t="shared" si="13"/>
        <v/>
      </c>
      <c r="AX35" s="239" t="str">
        <f t="shared" si="14"/>
        <v/>
      </c>
      <c r="BA35" s="33" t="str">
        <f t="shared" si="15"/>
        <v>FittingBoth</v>
      </c>
      <c r="BN35" s="475" t="str">
        <f t="shared" si="1"/>
        <v>UChannelNA</v>
      </c>
      <c r="BO35" s="475" t="e">
        <f t="shared" si="16"/>
        <v>#N/A</v>
      </c>
      <c r="BP35" s="475" t="str">
        <f t="shared" si="17"/>
        <v>No</v>
      </c>
      <c r="BQ35" s="475" t="str">
        <f t="shared" si="18"/>
        <v>No</v>
      </c>
      <c r="BR35" s="475" t="e">
        <f t="shared" si="2"/>
        <v>#N/A</v>
      </c>
      <c r="BU35" s="172">
        <f t="shared" si="19"/>
        <v>2</v>
      </c>
      <c r="CB35" s="33" t="e">
        <f t="shared" si="3"/>
        <v>#N/A</v>
      </c>
      <c r="CC35" s="172" t="b">
        <f t="shared" si="4"/>
        <v>0</v>
      </c>
      <c r="CD35" s="172">
        <f t="shared" si="5"/>
        <v>0</v>
      </c>
      <c r="CE35" s="172">
        <f t="shared" si="6"/>
        <v>0</v>
      </c>
      <c r="CF35" s="172">
        <f t="shared" si="7"/>
        <v>0</v>
      </c>
      <c r="CG35" s="172">
        <f t="shared" si="8"/>
        <v>0</v>
      </c>
      <c r="CL35" s="239" t="str">
        <f>IF(D35="","",IF(E35=Data!$ZI$2,VLOOKUP(D35,Data!$ZK$2:$ZP$15,3,FALSE),IF(E35=Data!$ZI$1,VLOOKUP(D35,Data!$ZQ$2:$ZS$13,3,FALSE),IF(E35=Data!$ZI$3,VLOOKUP(D35,Data!$ZW$2:$AAB$13,3,FALSE),IF(E35=Data!$ZI$4,VLOOKUP(D35,Data!$AAC$2:$AAI$13,3,FALSE),IF(E35=Data!$ZI$5,VLOOKUP(D35,Data!$AAC$26:$AAI$37,3,FALSE)))))))</f>
        <v/>
      </c>
      <c r="CM35" s="251">
        <f t="shared" si="20"/>
        <v>0</v>
      </c>
      <c r="CN35" s="251" t="e">
        <f t="shared" si="21"/>
        <v>#VALUE!</v>
      </c>
      <c r="CO35" s="239" t="e">
        <f t="shared" si="22"/>
        <v>#VALUE!</v>
      </c>
      <c r="CP35" s="239" t="str">
        <f>IF(D35="","",IF(E35=Data!$ZI$2,VLOOKUP(D35,Data!$ZK$2:$ZN$15,4,FALSE),IF(E35=Data!$ZI$1,VLOOKUP(D35,Data!$ZQ$2:$ZT$13,4,FALSE),IF(E35=Data!$ZI$3,VLOOKUP(D35,Data!$ZW$2:$AAC$13,4,FALSE),IF(E35=Data!$ZI$4,VLOOKUP(D35,Data!$AAC$2:$AAJ$13,4,FALSE),IF(E35=Data!$ZI$5,VLOOKUP(D35,Data!$AAC$26:$AAJ$37,4,FALSE)))))))</f>
        <v/>
      </c>
      <c r="CQ35" s="251">
        <f t="shared" si="23"/>
        <v>0</v>
      </c>
      <c r="CR35" s="251" t="e">
        <f t="shared" si="24"/>
        <v>#VALUE!</v>
      </c>
      <c r="CS35" s="239" t="e">
        <f t="shared" si="25"/>
        <v>#VALUE!</v>
      </c>
      <c r="CT35" s="311">
        <f t="shared" si="26"/>
        <v>0</v>
      </c>
      <c r="CU35" s="239" t="str">
        <f>IF(D35="","",IF(E35=Data!$ZI$2,VLOOKUP(D35,Data!$ZK$2:$ZO$15,5,FALSE),IF(E35=Data!$ZI$1,VLOOKUP(D35,Data!$ZQ$2:$ZU$13,5,FALSE),IF(E35=Data!$ZI$3,VLOOKUP(D35,Data!$ZW$2:$AAD$13,5,FALSE),IF(E35=Data!$ZI$4,VLOOKUP(D35,Data!$AAC$2:$AAK$13,5,FALSE),IF(E35=Data!$ZI$5,VLOOKUP(D35,Data!$AAC$26:$AAK$37,5,FALSE)))))))</f>
        <v/>
      </c>
      <c r="CV35" s="251">
        <f t="shared" si="27"/>
        <v>0</v>
      </c>
      <c r="CW35" s="251" t="e">
        <f t="shared" si="28"/>
        <v>#VALUE!</v>
      </c>
      <c r="CX35" s="239" t="e">
        <f t="shared" si="29"/>
        <v>#VALUE!</v>
      </c>
      <c r="CY35" s="239" t="str">
        <f>IF(D35="","",IF(E35=Data!$ZI$2,VLOOKUP(D35,Data!$ZK$2:$ZP$15,6,FALSE),IF(E35=Data!$ZI$1,VLOOKUP(D35,Data!$ZQ$2:$ZV$13,6,FALSE),IF(E35=Data!$ZI$3,VLOOKUP(D35,Data!$ZW$2:$AAE$13,6,FALSE),IF(E35=Data!$ZI$4,VLOOKUP(D35,Data!$AAC$2:$AAL$13,6,FALSE),IF(E35=Data!$ZI$5,VLOOKUP(D35,Data!$AAC$26:$AAL$37,6,FALSE)))))))</f>
        <v/>
      </c>
      <c r="CZ35" s="251">
        <f t="shared" si="30"/>
        <v>0</v>
      </c>
      <c r="DA35" s="251" t="e">
        <f t="shared" si="31"/>
        <v>#VALUE!</v>
      </c>
      <c r="DB35" s="239" t="e">
        <f t="shared" si="32"/>
        <v>#VALUE!</v>
      </c>
      <c r="DC35" s="311">
        <f t="shared" si="33"/>
        <v>0</v>
      </c>
    </row>
    <row r="36" spans="1:107" ht="30" customHeight="1">
      <c r="A36" s="52">
        <v>29</v>
      </c>
      <c r="B36" s="13"/>
      <c r="C36" s="13"/>
      <c r="D36" s="13"/>
      <c r="E36" s="235"/>
      <c r="F36" s="235"/>
      <c r="G36" s="235"/>
      <c r="H36" s="235"/>
      <c r="I36" s="14"/>
      <c r="J36" s="14"/>
      <c r="K36" s="14"/>
      <c r="L36" s="14"/>
      <c r="M36" s="563"/>
      <c r="N36" s="564"/>
      <c r="O36" s="15"/>
      <c r="P36" s="15"/>
      <c r="Q36" s="15"/>
      <c r="R36" s="15"/>
      <c r="S36" s="15"/>
      <c r="T36" s="13" t="str">
        <f t="shared" si="9"/>
        <v/>
      </c>
      <c r="U36" s="253" t="str">
        <f t="shared" si="10"/>
        <v/>
      </c>
      <c r="V36" s="470"/>
      <c r="W36" s="481" t="b">
        <f t="shared" si="11"/>
        <v>0</v>
      </c>
      <c r="X36" s="230"/>
      <c r="Y36" s="253"/>
      <c r="AA36" s="33" t="str">
        <f>IF(SUM(--ISNUMBER(SEARCH({"Skylight"}, D36))),Data!$AJ$19,Data!$AJ$1)</f>
        <v>WindowType</v>
      </c>
      <c r="AB36" s="33" t="str">
        <f t="shared" si="0"/>
        <v>OK</v>
      </c>
      <c r="AE36" s="239" t="e">
        <f>MATCH(E36, Data!$TB$2:$TB$6,0)</f>
        <v>#N/A</v>
      </c>
      <c r="AF36" s="239" t="e">
        <f>MATCH(F36,Data!$TC$1:$UB$1,0)</f>
        <v>#N/A</v>
      </c>
      <c r="AG36" s="239" t="e">
        <f>INDEX(Data!$TC$2:$UB$6,'Cellular Blinds'!AE36,'Cellular Blinds'!AF36)</f>
        <v>#N/A</v>
      </c>
      <c r="AH36" s="33" t="e">
        <f>VLOOKUP(D36,Data!$RU$2:$RV$15,2,FALSE)</f>
        <v>#N/A</v>
      </c>
      <c r="AI36" s="33" t="b">
        <f>IF(D36=Data!$UT$2,Data!$UU$1,IF(D36=Data!$UT$3,Data!$UV$1,IF(D36=Data!$UT$4,Data!$UW$1,IF(D36=Data!$UT$5,Data!$UX$1,IF(D36=Data!$UT$6,Data!$UY$1,IF(D36=Data!$UT$7,Data!$UZ$1,IF(D36=Data!$UT$8,Data!$VA$1,IF(D36=Data!$UT$9,Data!$VB$1,IF(D36=Data!$UT$10,Data!$VC$1,IF(D36=Data!$UT$11,Data!$VD$1,IF(D36=Data!$UT$12,Data!$VD$22,IF(D36=Data!$UT$13,Data!$VD$22,IF(D36=Data!$UT$14,Data!$UU$13,IF(D36=Data!$UT$15,Data!$UV$13))))))))))))))</f>
        <v>0</v>
      </c>
      <c r="AJ36" s="239" t="e">
        <f>MATCH(D36,Data!$VL$27:$VL$40,0)</f>
        <v>#N/A</v>
      </c>
      <c r="AK36" s="239" t="e">
        <f>MATCH(E36,Data!$VM$26:$VQ$26,0)</f>
        <v>#N/A</v>
      </c>
      <c r="AL36" s="239" t="e">
        <f>INDEX(Data!$VM$27:$VQ$40,'Cellular Blinds'!AJ36,'Cellular Blinds'!AK36)</f>
        <v>#N/A</v>
      </c>
      <c r="AM36" s="239" t="e">
        <f>MATCH(D36, Data!$VL$2:$VL$16,0)</f>
        <v>#N/A</v>
      </c>
      <c r="AN36" s="239" t="e">
        <f>MATCH(E36,Data!$VM$1:$VQ$1,0)</f>
        <v>#N/A</v>
      </c>
      <c r="AO36" s="239" t="e">
        <f>INDEX(Data!$VM$2:$VQ$16,'Cellular Blinds'!AM36,'Cellular Blinds'!AN36)</f>
        <v>#N/A</v>
      </c>
      <c r="AP36" s="33" t="e">
        <f>VLOOKUP(P36,Data!$UW$14:$UX$28,2,FALSE)</f>
        <v>#N/A</v>
      </c>
      <c r="AQ36" s="239" t="e">
        <f>MATCH(E36, Data!$XS$2:$XS$6,0)</f>
        <v>#N/A</v>
      </c>
      <c r="AR36" s="239" t="e">
        <f>MATCH(F36,Data!$XT$1:$YR$1,0)</f>
        <v>#N/A</v>
      </c>
      <c r="AS36" s="239" t="e">
        <f>INDEX(Data!$XT$2:$YR$6,'Cellular Blinds'!AQ36,'Cellular Blinds'!AR36)</f>
        <v>#N/A</v>
      </c>
      <c r="AT36" s="239" t="b">
        <f>IF(D36=Data!$YU$2,Data!$YV$1,IF(D36=Data!$YU$3,Data!$YW$1,IF(D36=Data!$YU$4,Data!$YX$1,IF(D36=Data!$YU$5,Data!$YY$1,IF(D36=Data!$YU$6,Data!$YZ$1,IF(D36=Data!$YU$7,Data!$ZA$1,IF(D36=Data!$YU$8,Data!$ZB$1,IF(D36=Data!$YU$9,Data!$ZC$1,IF(D36=Data!$YU$10,Data!$ZD$1,IF(D36=Data!$YU$11,Data!$ZE$1,IF(D36=Data!$YU$12,Data!$ZE$1,IF(D36=Data!$YU$13,Data!$ZE$1,IF(D36=Data!$YU$14,Data!$ZG$11,IF(D36=Data!$YU$15,Data!$ZF$11))))))))))))))</f>
        <v>0</v>
      </c>
      <c r="AU36" s="239" t="str">
        <f>IF(D36="","",IF(E36=Data!$ZI$2,VLOOKUP(D36,Data!$ZK$2:$ZL$15,2,FALSE),IF(E36=Data!$ZI$1,VLOOKUP(D36,Data!$ZQ$2:$ZR$13,2,FALSE),IF(E36=Data!$ZI$3,VLOOKUP(D36,Data!$ZW$2:$ZX$13,2,FALSE),IF(E36=Data!$ZI$4,VLOOKUP(D36,Data!$AAC$2:$AAD$13,2,FALSE),IF(E36=Data!$ZI$5,VLOOKUP(D36,Data!$AAC$26:$AAD$37,2,FALSE)))))))</f>
        <v/>
      </c>
      <c r="AV36" s="251" t="str">
        <f t="shared" si="12"/>
        <v/>
      </c>
      <c r="AW36" s="251" t="str">
        <f t="shared" si="13"/>
        <v/>
      </c>
      <c r="AX36" s="239" t="str">
        <f t="shared" si="14"/>
        <v/>
      </c>
      <c r="BA36" s="33" t="str">
        <f t="shared" si="15"/>
        <v>FittingBoth</v>
      </c>
      <c r="BN36" s="475" t="str">
        <f t="shared" si="1"/>
        <v>UChannelNA</v>
      </c>
      <c r="BO36" s="475" t="e">
        <f t="shared" si="16"/>
        <v>#N/A</v>
      </c>
      <c r="BP36" s="475" t="str">
        <f t="shared" si="17"/>
        <v>No</v>
      </c>
      <c r="BQ36" s="475" t="str">
        <f t="shared" si="18"/>
        <v>No</v>
      </c>
      <c r="BR36" s="475" t="e">
        <f t="shared" si="2"/>
        <v>#N/A</v>
      </c>
      <c r="BU36" s="172">
        <f t="shared" si="19"/>
        <v>2</v>
      </c>
      <c r="CB36" s="33" t="e">
        <f t="shared" si="3"/>
        <v>#N/A</v>
      </c>
      <c r="CC36" s="172" t="b">
        <f t="shared" si="4"/>
        <v>0</v>
      </c>
      <c r="CD36" s="172">
        <f t="shared" si="5"/>
        <v>0</v>
      </c>
      <c r="CE36" s="172">
        <f t="shared" si="6"/>
        <v>0</v>
      </c>
      <c r="CF36" s="172">
        <f t="shared" si="7"/>
        <v>0</v>
      </c>
      <c r="CG36" s="172">
        <f t="shared" si="8"/>
        <v>0</v>
      </c>
      <c r="CL36" s="239" t="str">
        <f>IF(D36="","",IF(E36=Data!$ZI$2,VLOOKUP(D36,Data!$ZK$2:$ZP$15,3,FALSE),IF(E36=Data!$ZI$1,VLOOKUP(D36,Data!$ZQ$2:$ZS$13,3,FALSE),IF(E36=Data!$ZI$3,VLOOKUP(D36,Data!$ZW$2:$AAB$13,3,FALSE),IF(E36=Data!$ZI$4,VLOOKUP(D36,Data!$AAC$2:$AAI$13,3,FALSE),IF(E36=Data!$ZI$5,VLOOKUP(D36,Data!$AAC$26:$AAI$37,3,FALSE)))))))</f>
        <v/>
      </c>
      <c r="CM36" s="251">
        <f t="shared" si="20"/>
        <v>0</v>
      </c>
      <c r="CN36" s="251" t="e">
        <f t="shared" si="21"/>
        <v>#VALUE!</v>
      </c>
      <c r="CO36" s="239" t="e">
        <f t="shared" si="22"/>
        <v>#VALUE!</v>
      </c>
      <c r="CP36" s="239" t="str">
        <f>IF(D36="","",IF(E36=Data!$ZI$2,VLOOKUP(D36,Data!$ZK$2:$ZN$15,4,FALSE),IF(E36=Data!$ZI$1,VLOOKUP(D36,Data!$ZQ$2:$ZT$13,4,FALSE),IF(E36=Data!$ZI$3,VLOOKUP(D36,Data!$ZW$2:$AAC$13,4,FALSE),IF(E36=Data!$ZI$4,VLOOKUP(D36,Data!$AAC$2:$AAJ$13,4,FALSE),IF(E36=Data!$ZI$5,VLOOKUP(D36,Data!$AAC$26:$AAJ$37,4,FALSE)))))))</f>
        <v/>
      </c>
      <c r="CQ36" s="251">
        <f t="shared" si="23"/>
        <v>0</v>
      </c>
      <c r="CR36" s="251" t="e">
        <f t="shared" si="24"/>
        <v>#VALUE!</v>
      </c>
      <c r="CS36" s="239" t="e">
        <f t="shared" si="25"/>
        <v>#VALUE!</v>
      </c>
      <c r="CT36" s="311">
        <f t="shared" si="26"/>
        <v>0</v>
      </c>
      <c r="CU36" s="239" t="str">
        <f>IF(D36="","",IF(E36=Data!$ZI$2,VLOOKUP(D36,Data!$ZK$2:$ZO$15,5,FALSE),IF(E36=Data!$ZI$1,VLOOKUP(D36,Data!$ZQ$2:$ZU$13,5,FALSE),IF(E36=Data!$ZI$3,VLOOKUP(D36,Data!$ZW$2:$AAD$13,5,FALSE),IF(E36=Data!$ZI$4,VLOOKUP(D36,Data!$AAC$2:$AAK$13,5,FALSE),IF(E36=Data!$ZI$5,VLOOKUP(D36,Data!$AAC$26:$AAK$37,5,FALSE)))))))</f>
        <v/>
      </c>
      <c r="CV36" s="251">
        <f t="shared" si="27"/>
        <v>0</v>
      </c>
      <c r="CW36" s="251" t="e">
        <f t="shared" si="28"/>
        <v>#VALUE!</v>
      </c>
      <c r="CX36" s="239" t="e">
        <f t="shared" si="29"/>
        <v>#VALUE!</v>
      </c>
      <c r="CY36" s="239" t="str">
        <f>IF(D36="","",IF(E36=Data!$ZI$2,VLOOKUP(D36,Data!$ZK$2:$ZP$15,6,FALSE),IF(E36=Data!$ZI$1,VLOOKUP(D36,Data!$ZQ$2:$ZV$13,6,FALSE),IF(E36=Data!$ZI$3,VLOOKUP(D36,Data!$ZW$2:$AAE$13,6,FALSE),IF(E36=Data!$ZI$4,VLOOKUP(D36,Data!$AAC$2:$AAL$13,6,FALSE),IF(E36=Data!$ZI$5,VLOOKUP(D36,Data!$AAC$26:$AAL$37,6,FALSE)))))))</f>
        <v/>
      </c>
      <c r="CZ36" s="251">
        <f t="shared" si="30"/>
        <v>0</v>
      </c>
      <c r="DA36" s="251" t="e">
        <f t="shared" si="31"/>
        <v>#VALUE!</v>
      </c>
      <c r="DB36" s="239" t="e">
        <f t="shared" si="32"/>
        <v>#VALUE!</v>
      </c>
      <c r="DC36" s="311">
        <f t="shared" si="33"/>
        <v>0</v>
      </c>
    </row>
    <row r="37" spans="1:107" ht="30" customHeight="1">
      <c r="A37" s="52">
        <v>30</v>
      </c>
      <c r="B37" s="13"/>
      <c r="C37" s="13"/>
      <c r="D37" s="13"/>
      <c r="E37" s="235"/>
      <c r="F37" s="235"/>
      <c r="G37" s="235"/>
      <c r="H37" s="235"/>
      <c r="I37" s="14"/>
      <c r="J37" s="14"/>
      <c r="K37" s="14"/>
      <c r="L37" s="14"/>
      <c r="M37" s="563"/>
      <c r="N37" s="564"/>
      <c r="O37" s="15"/>
      <c r="P37" s="15"/>
      <c r="Q37" s="15"/>
      <c r="R37" s="15"/>
      <c r="S37" s="15"/>
      <c r="T37" s="13" t="str">
        <f t="shared" si="9"/>
        <v/>
      </c>
      <c r="U37" s="253" t="str">
        <f t="shared" si="10"/>
        <v/>
      </c>
      <c r="V37" s="470"/>
      <c r="W37" s="481" t="b">
        <f t="shared" si="11"/>
        <v>0</v>
      </c>
      <c r="X37" s="230"/>
      <c r="Y37" s="253"/>
      <c r="AA37" s="33" t="str">
        <f>IF(SUM(--ISNUMBER(SEARCH({"Skylight"}, D37))),Data!$AJ$19,Data!$AJ$1)</f>
        <v>WindowType</v>
      </c>
      <c r="AB37" s="33" t="str">
        <f t="shared" si="0"/>
        <v>OK</v>
      </c>
      <c r="AE37" s="239" t="e">
        <f>MATCH(E37, Data!$TB$2:$TB$6,0)</f>
        <v>#N/A</v>
      </c>
      <c r="AF37" s="239" t="e">
        <f>MATCH(F37,Data!$TC$1:$UB$1,0)</f>
        <v>#N/A</v>
      </c>
      <c r="AG37" s="239" t="e">
        <f>INDEX(Data!$TC$2:$UB$6,'Cellular Blinds'!AE37,'Cellular Blinds'!AF37)</f>
        <v>#N/A</v>
      </c>
      <c r="AH37" s="33" t="e">
        <f>VLOOKUP(D37,Data!$RU$2:$RV$15,2,FALSE)</f>
        <v>#N/A</v>
      </c>
      <c r="AI37" s="33" t="b">
        <f>IF(D37=Data!$UT$2,Data!$UU$1,IF(D37=Data!$UT$3,Data!$UV$1,IF(D37=Data!$UT$4,Data!$UW$1,IF(D37=Data!$UT$5,Data!$UX$1,IF(D37=Data!$UT$6,Data!$UY$1,IF(D37=Data!$UT$7,Data!$UZ$1,IF(D37=Data!$UT$8,Data!$VA$1,IF(D37=Data!$UT$9,Data!$VB$1,IF(D37=Data!$UT$10,Data!$VC$1,IF(D37=Data!$UT$11,Data!$VD$1,IF(D37=Data!$UT$12,Data!$VD$22,IF(D37=Data!$UT$13,Data!$VD$22,IF(D37=Data!$UT$14,Data!$UU$13,IF(D37=Data!$UT$15,Data!$UV$13))))))))))))))</f>
        <v>0</v>
      </c>
      <c r="AJ37" s="239" t="e">
        <f>MATCH(D37,Data!$VL$27:$VL$40,0)</f>
        <v>#N/A</v>
      </c>
      <c r="AK37" s="239" t="e">
        <f>MATCH(E37,Data!$VM$26:$VQ$26,0)</f>
        <v>#N/A</v>
      </c>
      <c r="AL37" s="239" t="e">
        <f>INDEX(Data!$VM$27:$VQ$40,'Cellular Blinds'!AJ37,'Cellular Blinds'!AK37)</f>
        <v>#N/A</v>
      </c>
      <c r="AM37" s="239" t="e">
        <f>MATCH(D37, Data!$VL$2:$VL$16,0)</f>
        <v>#N/A</v>
      </c>
      <c r="AN37" s="239" t="e">
        <f>MATCH(E37,Data!$VM$1:$VQ$1,0)</f>
        <v>#N/A</v>
      </c>
      <c r="AO37" s="239" t="e">
        <f>INDEX(Data!$VM$2:$VQ$16,'Cellular Blinds'!AM37,'Cellular Blinds'!AN37)</f>
        <v>#N/A</v>
      </c>
      <c r="AP37" s="33" t="e">
        <f>VLOOKUP(P37,Data!$UW$14:$UX$28,2,FALSE)</f>
        <v>#N/A</v>
      </c>
      <c r="AQ37" s="239" t="e">
        <f>MATCH(E37, Data!$XS$2:$XS$6,0)</f>
        <v>#N/A</v>
      </c>
      <c r="AR37" s="239" t="e">
        <f>MATCH(F37,Data!$XT$1:$YR$1,0)</f>
        <v>#N/A</v>
      </c>
      <c r="AS37" s="239" t="e">
        <f>INDEX(Data!$XT$2:$YR$6,'Cellular Blinds'!AQ37,'Cellular Blinds'!AR37)</f>
        <v>#N/A</v>
      </c>
      <c r="AT37" s="239" t="b">
        <f>IF(D37=Data!$YU$2,Data!$YV$1,IF(D37=Data!$YU$3,Data!$YW$1,IF(D37=Data!$YU$4,Data!$YX$1,IF(D37=Data!$YU$5,Data!$YY$1,IF(D37=Data!$YU$6,Data!$YZ$1,IF(D37=Data!$YU$7,Data!$ZA$1,IF(D37=Data!$YU$8,Data!$ZB$1,IF(D37=Data!$YU$9,Data!$ZC$1,IF(D37=Data!$YU$10,Data!$ZD$1,IF(D37=Data!$YU$11,Data!$ZE$1,IF(D37=Data!$YU$12,Data!$ZE$1,IF(D37=Data!$YU$13,Data!$ZE$1,IF(D37=Data!$YU$14,Data!$ZG$11,IF(D37=Data!$YU$15,Data!$ZF$11))))))))))))))</f>
        <v>0</v>
      </c>
      <c r="AU37" s="239" t="str">
        <f>IF(D37="","",IF(E37=Data!$ZI$2,VLOOKUP(D37,Data!$ZK$2:$ZL$15,2,FALSE),IF(E37=Data!$ZI$1,VLOOKUP(D37,Data!$ZQ$2:$ZR$13,2,FALSE),IF(E37=Data!$ZI$3,VLOOKUP(D37,Data!$ZW$2:$ZX$13,2,FALSE),IF(E37=Data!$ZI$4,VLOOKUP(D37,Data!$AAC$2:$AAD$13,2,FALSE),IF(E37=Data!$ZI$5,VLOOKUP(D37,Data!$AAC$26:$AAD$37,2,FALSE)))))))</f>
        <v/>
      </c>
      <c r="AV37" s="251" t="str">
        <f t="shared" si="12"/>
        <v/>
      </c>
      <c r="AW37" s="251" t="str">
        <f t="shared" si="13"/>
        <v/>
      </c>
      <c r="AX37" s="239" t="str">
        <f t="shared" si="14"/>
        <v/>
      </c>
      <c r="BA37" s="33" t="str">
        <f t="shared" si="15"/>
        <v>FittingBoth</v>
      </c>
      <c r="BN37" s="475" t="str">
        <f t="shared" si="1"/>
        <v>UChannelNA</v>
      </c>
      <c r="BO37" s="475" t="e">
        <f t="shared" si="16"/>
        <v>#N/A</v>
      </c>
      <c r="BP37" s="475" t="str">
        <f t="shared" si="17"/>
        <v>No</v>
      </c>
      <c r="BQ37" s="475" t="str">
        <f t="shared" si="18"/>
        <v>No</v>
      </c>
      <c r="BR37" s="475" t="e">
        <f t="shared" si="2"/>
        <v>#N/A</v>
      </c>
      <c r="BU37" s="172">
        <f t="shared" si="19"/>
        <v>2</v>
      </c>
      <c r="CB37" s="33" t="e">
        <f t="shared" si="3"/>
        <v>#N/A</v>
      </c>
      <c r="CC37" s="172" t="b">
        <f t="shared" si="4"/>
        <v>0</v>
      </c>
      <c r="CD37" s="172">
        <f t="shared" si="5"/>
        <v>0</v>
      </c>
      <c r="CE37" s="172">
        <f t="shared" si="6"/>
        <v>0</v>
      </c>
      <c r="CF37" s="172">
        <f t="shared" si="7"/>
        <v>0</v>
      </c>
      <c r="CG37" s="172">
        <f t="shared" si="8"/>
        <v>0</v>
      </c>
      <c r="CL37" s="239" t="str">
        <f>IF(D37="","",IF(E37=Data!$ZI$2,VLOOKUP(D37,Data!$ZK$2:$ZP$15,3,FALSE),IF(E37=Data!$ZI$1,VLOOKUP(D37,Data!$ZQ$2:$ZS$13,3,FALSE),IF(E37=Data!$ZI$3,VLOOKUP(D37,Data!$ZW$2:$AAB$13,3,FALSE),IF(E37=Data!$ZI$4,VLOOKUP(D37,Data!$AAC$2:$AAI$13,3,FALSE),IF(E37=Data!$ZI$5,VLOOKUP(D37,Data!$AAC$26:$AAI$37,3,FALSE)))))))</f>
        <v/>
      </c>
      <c r="CM37" s="251">
        <f t="shared" si="20"/>
        <v>0</v>
      </c>
      <c r="CN37" s="251" t="e">
        <f t="shared" si="21"/>
        <v>#VALUE!</v>
      </c>
      <c r="CO37" s="239" t="e">
        <f t="shared" si="22"/>
        <v>#VALUE!</v>
      </c>
      <c r="CP37" s="239" t="str">
        <f>IF(D37="","",IF(E37=Data!$ZI$2,VLOOKUP(D37,Data!$ZK$2:$ZN$15,4,FALSE),IF(E37=Data!$ZI$1,VLOOKUP(D37,Data!$ZQ$2:$ZT$13,4,FALSE),IF(E37=Data!$ZI$3,VLOOKUP(D37,Data!$ZW$2:$AAC$13,4,FALSE),IF(E37=Data!$ZI$4,VLOOKUP(D37,Data!$AAC$2:$AAJ$13,4,FALSE),IF(E37=Data!$ZI$5,VLOOKUP(D37,Data!$AAC$26:$AAJ$37,4,FALSE)))))))</f>
        <v/>
      </c>
      <c r="CQ37" s="251">
        <f t="shared" si="23"/>
        <v>0</v>
      </c>
      <c r="CR37" s="251" t="e">
        <f t="shared" si="24"/>
        <v>#VALUE!</v>
      </c>
      <c r="CS37" s="239" t="e">
        <f t="shared" si="25"/>
        <v>#VALUE!</v>
      </c>
      <c r="CT37" s="311">
        <f t="shared" si="26"/>
        <v>0</v>
      </c>
      <c r="CU37" s="239" t="str">
        <f>IF(D37="","",IF(E37=Data!$ZI$2,VLOOKUP(D37,Data!$ZK$2:$ZO$15,5,FALSE),IF(E37=Data!$ZI$1,VLOOKUP(D37,Data!$ZQ$2:$ZU$13,5,FALSE),IF(E37=Data!$ZI$3,VLOOKUP(D37,Data!$ZW$2:$AAD$13,5,FALSE),IF(E37=Data!$ZI$4,VLOOKUP(D37,Data!$AAC$2:$AAK$13,5,FALSE),IF(E37=Data!$ZI$5,VLOOKUP(D37,Data!$AAC$26:$AAK$37,5,FALSE)))))))</f>
        <v/>
      </c>
      <c r="CV37" s="251">
        <f t="shared" si="27"/>
        <v>0</v>
      </c>
      <c r="CW37" s="251" t="e">
        <f t="shared" si="28"/>
        <v>#VALUE!</v>
      </c>
      <c r="CX37" s="239" t="e">
        <f t="shared" si="29"/>
        <v>#VALUE!</v>
      </c>
      <c r="CY37" s="239" t="str">
        <f>IF(D37="","",IF(E37=Data!$ZI$2,VLOOKUP(D37,Data!$ZK$2:$ZP$15,6,FALSE),IF(E37=Data!$ZI$1,VLOOKUP(D37,Data!$ZQ$2:$ZV$13,6,FALSE),IF(E37=Data!$ZI$3,VLOOKUP(D37,Data!$ZW$2:$AAE$13,6,FALSE),IF(E37=Data!$ZI$4,VLOOKUP(D37,Data!$AAC$2:$AAL$13,6,FALSE),IF(E37=Data!$ZI$5,VLOOKUP(D37,Data!$AAC$26:$AAL$37,6,FALSE)))))))</f>
        <v/>
      </c>
      <c r="CZ37" s="251">
        <f t="shared" si="30"/>
        <v>0</v>
      </c>
      <c r="DA37" s="251" t="e">
        <f t="shared" si="31"/>
        <v>#VALUE!</v>
      </c>
      <c r="DB37" s="239" t="e">
        <f t="shared" si="32"/>
        <v>#VALUE!</v>
      </c>
      <c r="DC37" s="311">
        <f t="shared" si="33"/>
        <v>0</v>
      </c>
    </row>
    <row r="38" spans="1:107" ht="30" customHeight="1">
      <c r="A38" s="52">
        <v>31</v>
      </c>
      <c r="B38" s="13"/>
      <c r="C38" s="13"/>
      <c r="D38" s="13"/>
      <c r="E38" s="235"/>
      <c r="F38" s="235"/>
      <c r="G38" s="235"/>
      <c r="H38" s="235"/>
      <c r="I38" s="14"/>
      <c r="J38" s="14"/>
      <c r="K38" s="14"/>
      <c r="L38" s="14"/>
      <c r="M38" s="563"/>
      <c r="N38" s="564"/>
      <c r="O38" s="15"/>
      <c r="P38" s="15"/>
      <c r="Q38" s="15"/>
      <c r="R38" s="15"/>
      <c r="S38" s="15"/>
      <c r="T38" s="13" t="str">
        <f t="shared" si="9"/>
        <v/>
      </c>
      <c r="U38" s="253" t="str">
        <f t="shared" si="10"/>
        <v/>
      </c>
      <c r="V38" s="470"/>
      <c r="W38" s="481" t="b">
        <f t="shared" si="11"/>
        <v>0</v>
      </c>
      <c r="X38" s="230"/>
      <c r="Y38" s="253"/>
      <c r="AA38" s="33" t="str">
        <f>IF(SUM(--ISNUMBER(SEARCH({"Skylight"}, D38))),Data!$AJ$19,Data!$AJ$1)</f>
        <v>WindowType</v>
      </c>
      <c r="AB38" s="33" t="str">
        <f t="shared" si="0"/>
        <v>OK</v>
      </c>
      <c r="AE38" s="239" t="e">
        <f>MATCH(E38, Data!$TB$2:$TB$6,0)</f>
        <v>#N/A</v>
      </c>
      <c r="AF38" s="239" t="e">
        <f>MATCH(F38,Data!$TC$1:$UB$1,0)</f>
        <v>#N/A</v>
      </c>
      <c r="AG38" s="239" t="e">
        <f>INDEX(Data!$TC$2:$UB$6,'Cellular Blinds'!AE38,'Cellular Blinds'!AF38)</f>
        <v>#N/A</v>
      </c>
      <c r="AH38" s="33" t="e">
        <f>VLOOKUP(D38,Data!$RU$2:$RV$15,2,FALSE)</f>
        <v>#N/A</v>
      </c>
      <c r="AI38" s="33" t="b">
        <f>IF(D38=Data!$UT$2,Data!$UU$1,IF(D38=Data!$UT$3,Data!$UV$1,IF(D38=Data!$UT$4,Data!$UW$1,IF(D38=Data!$UT$5,Data!$UX$1,IF(D38=Data!$UT$6,Data!$UY$1,IF(D38=Data!$UT$7,Data!$UZ$1,IF(D38=Data!$UT$8,Data!$VA$1,IF(D38=Data!$UT$9,Data!$VB$1,IF(D38=Data!$UT$10,Data!$VC$1,IF(D38=Data!$UT$11,Data!$VD$1,IF(D38=Data!$UT$12,Data!$VD$22,IF(D38=Data!$UT$13,Data!$VD$22,IF(D38=Data!$UT$14,Data!$UU$13,IF(D38=Data!$UT$15,Data!$UV$13))))))))))))))</f>
        <v>0</v>
      </c>
      <c r="AJ38" s="239" t="e">
        <f>MATCH(D38,Data!$VL$27:$VL$40,0)</f>
        <v>#N/A</v>
      </c>
      <c r="AK38" s="239" t="e">
        <f>MATCH(E38,Data!$VM$26:$VQ$26,0)</f>
        <v>#N/A</v>
      </c>
      <c r="AL38" s="239" t="e">
        <f>INDEX(Data!$VM$27:$VQ$40,'Cellular Blinds'!AJ38,'Cellular Blinds'!AK38)</f>
        <v>#N/A</v>
      </c>
      <c r="AM38" s="239" t="e">
        <f>MATCH(D38, Data!$VL$2:$VL$16,0)</f>
        <v>#N/A</v>
      </c>
      <c r="AN38" s="239" t="e">
        <f>MATCH(E38,Data!$VM$1:$VQ$1,0)</f>
        <v>#N/A</v>
      </c>
      <c r="AO38" s="239" t="e">
        <f>INDEX(Data!$VM$2:$VQ$16,'Cellular Blinds'!AM38,'Cellular Blinds'!AN38)</f>
        <v>#N/A</v>
      </c>
      <c r="AP38" s="33" t="e">
        <f>VLOOKUP(P38,Data!$UW$14:$UX$28,2,FALSE)</f>
        <v>#N/A</v>
      </c>
      <c r="AQ38" s="239" t="e">
        <f>MATCH(E38, Data!$XS$2:$XS$6,0)</f>
        <v>#N/A</v>
      </c>
      <c r="AR38" s="239" t="e">
        <f>MATCH(F38,Data!$XT$1:$YR$1,0)</f>
        <v>#N/A</v>
      </c>
      <c r="AS38" s="239" t="e">
        <f>INDEX(Data!$XT$2:$YR$6,'Cellular Blinds'!AQ38,'Cellular Blinds'!AR38)</f>
        <v>#N/A</v>
      </c>
      <c r="AT38" s="239" t="b">
        <f>IF(D38=Data!$YU$2,Data!$YV$1,IF(D38=Data!$YU$3,Data!$YW$1,IF(D38=Data!$YU$4,Data!$YX$1,IF(D38=Data!$YU$5,Data!$YY$1,IF(D38=Data!$YU$6,Data!$YZ$1,IF(D38=Data!$YU$7,Data!$ZA$1,IF(D38=Data!$YU$8,Data!$ZB$1,IF(D38=Data!$YU$9,Data!$ZC$1,IF(D38=Data!$YU$10,Data!$ZD$1,IF(D38=Data!$YU$11,Data!$ZE$1,IF(D38=Data!$YU$12,Data!$ZE$1,IF(D38=Data!$YU$13,Data!$ZE$1,IF(D38=Data!$YU$14,Data!$ZG$11,IF(D38=Data!$YU$15,Data!$ZF$11))))))))))))))</f>
        <v>0</v>
      </c>
      <c r="AU38" s="239" t="str">
        <f>IF(D38="","",IF(E38=Data!$ZI$2,VLOOKUP(D38,Data!$ZK$2:$ZL$15,2,FALSE),IF(E38=Data!$ZI$1,VLOOKUP(D38,Data!$ZQ$2:$ZR$13,2,FALSE),IF(E38=Data!$ZI$3,VLOOKUP(D38,Data!$ZW$2:$ZX$13,2,FALSE),IF(E38=Data!$ZI$4,VLOOKUP(D38,Data!$AAC$2:$AAD$13,2,FALSE),IF(E38=Data!$ZI$5,VLOOKUP(D38,Data!$AAC$26:$AAD$37,2,FALSE)))))))</f>
        <v/>
      </c>
      <c r="AV38" s="251" t="str">
        <f t="shared" si="12"/>
        <v/>
      </c>
      <c r="AW38" s="251" t="str">
        <f t="shared" si="13"/>
        <v/>
      </c>
      <c r="AX38" s="239" t="str">
        <f t="shared" si="14"/>
        <v/>
      </c>
      <c r="BA38" s="33" t="str">
        <f t="shared" si="15"/>
        <v>FittingBoth</v>
      </c>
      <c r="BN38" s="475" t="str">
        <f t="shared" si="1"/>
        <v>UChannelNA</v>
      </c>
      <c r="BO38" s="475" t="e">
        <f t="shared" si="16"/>
        <v>#N/A</v>
      </c>
      <c r="BP38" s="475" t="str">
        <f t="shared" si="17"/>
        <v>No</v>
      </c>
      <c r="BQ38" s="475" t="str">
        <f t="shared" si="18"/>
        <v>No</v>
      </c>
      <c r="BR38" s="475" t="e">
        <f t="shared" si="2"/>
        <v>#N/A</v>
      </c>
      <c r="BU38" s="172">
        <f t="shared" si="19"/>
        <v>2</v>
      </c>
      <c r="CB38" s="33" t="e">
        <f t="shared" si="3"/>
        <v>#N/A</v>
      </c>
      <c r="CC38" s="172" t="b">
        <f t="shared" si="4"/>
        <v>0</v>
      </c>
      <c r="CD38" s="172">
        <f t="shared" si="5"/>
        <v>0</v>
      </c>
      <c r="CE38" s="172">
        <f t="shared" si="6"/>
        <v>0</v>
      </c>
      <c r="CF38" s="172">
        <f t="shared" si="7"/>
        <v>0</v>
      </c>
      <c r="CG38" s="172">
        <f t="shared" si="8"/>
        <v>0</v>
      </c>
      <c r="CL38" s="239" t="str">
        <f>IF(D38="","",IF(E38=Data!$ZI$2,VLOOKUP(D38,Data!$ZK$2:$ZP$15,3,FALSE),IF(E38=Data!$ZI$1,VLOOKUP(D38,Data!$ZQ$2:$ZS$13,3,FALSE),IF(E38=Data!$ZI$3,VLOOKUP(D38,Data!$ZW$2:$AAB$13,3,FALSE),IF(E38=Data!$ZI$4,VLOOKUP(D38,Data!$AAC$2:$AAI$13,3,FALSE),IF(E38=Data!$ZI$5,VLOOKUP(D38,Data!$AAC$26:$AAI$37,3,FALSE)))))))</f>
        <v/>
      </c>
      <c r="CM38" s="251">
        <f t="shared" si="20"/>
        <v>0</v>
      </c>
      <c r="CN38" s="251" t="e">
        <f t="shared" si="21"/>
        <v>#VALUE!</v>
      </c>
      <c r="CO38" s="239" t="e">
        <f t="shared" si="22"/>
        <v>#VALUE!</v>
      </c>
      <c r="CP38" s="239" t="str">
        <f>IF(D38="","",IF(E38=Data!$ZI$2,VLOOKUP(D38,Data!$ZK$2:$ZN$15,4,FALSE),IF(E38=Data!$ZI$1,VLOOKUP(D38,Data!$ZQ$2:$ZT$13,4,FALSE),IF(E38=Data!$ZI$3,VLOOKUP(D38,Data!$ZW$2:$AAC$13,4,FALSE),IF(E38=Data!$ZI$4,VLOOKUP(D38,Data!$AAC$2:$AAJ$13,4,FALSE),IF(E38=Data!$ZI$5,VLOOKUP(D38,Data!$AAC$26:$AAJ$37,4,FALSE)))))))</f>
        <v/>
      </c>
      <c r="CQ38" s="251">
        <f t="shared" si="23"/>
        <v>0</v>
      </c>
      <c r="CR38" s="251" t="e">
        <f t="shared" si="24"/>
        <v>#VALUE!</v>
      </c>
      <c r="CS38" s="239" t="e">
        <f t="shared" si="25"/>
        <v>#VALUE!</v>
      </c>
      <c r="CT38" s="311">
        <f t="shared" si="26"/>
        <v>0</v>
      </c>
      <c r="CU38" s="239" t="str">
        <f>IF(D38="","",IF(E38=Data!$ZI$2,VLOOKUP(D38,Data!$ZK$2:$ZO$15,5,FALSE),IF(E38=Data!$ZI$1,VLOOKUP(D38,Data!$ZQ$2:$ZU$13,5,FALSE),IF(E38=Data!$ZI$3,VLOOKUP(D38,Data!$ZW$2:$AAD$13,5,FALSE),IF(E38=Data!$ZI$4,VLOOKUP(D38,Data!$AAC$2:$AAK$13,5,FALSE),IF(E38=Data!$ZI$5,VLOOKUP(D38,Data!$AAC$26:$AAK$37,5,FALSE)))))))</f>
        <v/>
      </c>
      <c r="CV38" s="251">
        <f t="shared" si="27"/>
        <v>0</v>
      </c>
      <c r="CW38" s="251" t="e">
        <f t="shared" si="28"/>
        <v>#VALUE!</v>
      </c>
      <c r="CX38" s="239" t="e">
        <f t="shared" si="29"/>
        <v>#VALUE!</v>
      </c>
      <c r="CY38" s="239" t="str">
        <f>IF(D38="","",IF(E38=Data!$ZI$2,VLOOKUP(D38,Data!$ZK$2:$ZP$15,6,FALSE),IF(E38=Data!$ZI$1,VLOOKUP(D38,Data!$ZQ$2:$ZV$13,6,FALSE),IF(E38=Data!$ZI$3,VLOOKUP(D38,Data!$ZW$2:$AAE$13,6,FALSE),IF(E38=Data!$ZI$4,VLOOKUP(D38,Data!$AAC$2:$AAL$13,6,FALSE),IF(E38=Data!$ZI$5,VLOOKUP(D38,Data!$AAC$26:$AAL$37,6,FALSE)))))))</f>
        <v/>
      </c>
      <c r="CZ38" s="251">
        <f t="shared" si="30"/>
        <v>0</v>
      </c>
      <c r="DA38" s="251" t="e">
        <f t="shared" si="31"/>
        <v>#VALUE!</v>
      </c>
      <c r="DB38" s="239" t="e">
        <f t="shared" si="32"/>
        <v>#VALUE!</v>
      </c>
      <c r="DC38" s="311">
        <f t="shared" si="33"/>
        <v>0</v>
      </c>
    </row>
    <row r="39" spans="1:107" ht="30" customHeight="1">
      <c r="A39" s="52">
        <v>32</v>
      </c>
      <c r="B39" s="13"/>
      <c r="C39" s="13"/>
      <c r="D39" s="13"/>
      <c r="E39" s="235"/>
      <c r="F39" s="235"/>
      <c r="G39" s="235"/>
      <c r="H39" s="235"/>
      <c r="I39" s="14"/>
      <c r="J39" s="14"/>
      <c r="K39" s="14"/>
      <c r="L39" s="14"/>
      <c r="M39" s="563"/>
      <c r="N39" s="564"/>
      <c r="O39" s="15"/>
      <c r="P39" s="15"/>
      <c r="Q39" s="15"/>
      <c r="R39" s="15"/>
      <c r="S39" s="15"/>
      <c r="T39" s="13" t="str">
        <f t="shared" si="9"/>
        <v/>
      </c>
      <c r="U39" s="253" t="str">
        <f t="shared" si="10"/>
        <v/>
      </c>
      <c r="V39" s="470"/>
      <c r="W39" s="481" t="b">
        <f t="shared" si="11"/>
        <v>0</v>
      </c>
      <c r="X39" s="230"/>
      <c r="Y39" s="253"/>
      <c r="AA39" s="33" t="str">
        <f>IF(SUM(--ISNUMBER(SEARCH({"Skylight"}, D39))),Data!$AJ$19,Data!$AJ$1)</f>
        <v>WindowType</v>
      </c>
      <c r="AB39" s="33" t="str">
        <f t="shared" si="0"/>
        <v>OK</v>
      </c>
      <c r="AE39" s="239" t="e">
        <f>MATCH(E39, Data!$TB$2:$TB$6,0)</f>
        <v>#N/A</v>
      </c>
      <c r="AF39" s="239" t="e">
        <f>MATCH(F39,Data!$TC$1:$UB$1,0)</f>
        <v>#N/A</v>
      </c>
      <c r="AG39" s="239" t="e">
        <f>INDEX(Data!$TC$2:$UB$6,'Cellular Blinds'!AE39,'Cellular Blinds'!AF39)</f>
        <v>#N/A</v>
      </c>
      <c r="AH39" s="33" t="e">
        <f>VLOOKUP(D39,Data!$RU$2:$RV$15,2,FALSE)</f>
        <v>#N/A</v>
      </c>
      <c r="AI39" s="33" t="b">
        <f>IF(D39=Data!$UT$2,Data!$UU$1,IF(D39=Data!$UT$3,Data!$UV$1,IF(D39=Data!$UT$4,Data!$UW$1,IF(D39=Data!$UT$5,Data!$UX$1,IF(D39=Data!$UT$6,Data!$UY$1,IF(D39=Data!$UT$7,Data!$UZ$1,IF(D39=Data!$UT$8,Data!$VA$1,IF(D39=Data!$UT$9,Data!$VB$1,IF(D39=Data!$UT$10,Data!$VC$1,IF(D39=Data!$UT$11,Data!$VD$1,IF(D39=Data!$UT$12,Data!$VD$22,IF(D39=Data!$UT$13,Data!$VD$22,IF(D39=Data!$UT$14,Data!$UU$13,IF(D39=Data!$UT$15,Data!$UV$13))))))))))))))</f>
        <v>0</v>
      </c>
      <c r="AJ39" s="239" t="e">
        <f>MATCH(D39,Data!$VL$27:$VL$40,0)</f>
        <v>#N/A</v>
      </c>
      <c r="AK39" s="239" t="e">
        <f>MATCH(E39,Data!$VM$26:$VQ$26,0)</f>
        <v>#N/A</v>
      </c>
      <c r="AL39" s="239" t="e">
        <f>INDEX(Data!$VM$27:$VQ$40,'Cellular Blinds'!AJ39,'Cellular Blinds'!AK39)</f>
        <v>#N/A</v>
      </c>
      <c r="AM39" s="239" t="e">
        <f>MATCH(D39, Data!$VL$2:$VL$16,0)</f>
        <v>#N/A</v>
      </c>
      <c r="AN39" s="239" t="e">
        <f>MATCH(E39,Data!$VM$1:$VQ$1,0)</f>
        <v>#N/A</v>
      </c>
      <c r="AO39" s="239" t="e">
        <f>INDEX(Data!$VM$2:$VQ$16,'Cellular Blinds'!AM39,'Cellular Blinds'!AN39)</f>
        <v>#N/A</v>
      </c>
      <c r="AP39" s="33" t="e">
        <f>VLOOKUP(P39,Data!$UW$14:$UX$28,2,FALSE)</f>
        <v>#N/A</v>
      </c>
      <c r="AQ39" s="239" t="e">
        <f>MATCH(E39, Data!$XS$2:$XS$6,0)</f>
        <v>#N/A</v>
      </c>
      <c r="AR39" s="239" t="e">
        <f>MATCH(F39,Data!$XT$1:$YR$1,0)</f>
        <v>#N/A</v>
      </c>
      <c r="AS39" s="239" t="e">
        <f>INDEX(Data!$XT$2:$YR$6,'Cellular Blinds'!AQ39,'Cellular Blinds'!AR39)</f>
        <v>#N/A</v>
      </c>
      <c r="AT39" s="239" t="b">
        <f>IF(D39=Data!$YU$2,Data!$YV$1,IF(D39=Data!$YU$3,Data!$YW$1,IF(D39=Data!$YU$4,Data!$YX$1,IF(D39=Data!$YU$5,Data!$YY$1,IF(D39=Data!$YU$6,Data!$YZ$1,IF(D39=Data!$YU$7,Data!$ZA$1,IF(D39=Data!$YU$8,Data!$ZB$1,IF(D39=Data!$YU$9,Data!$ZC$1,IF(D39=Data!$YU$10,Data!$ZD$1,IF(D39=Data!$YU$11,Data!$ZE$1,IF(D39=Data!$YU$12,Data!$ZE$1,IF(D39=Data!$YU$13,Data!$ZE$1,IF(D39=Data!$YU$14,Data!$ZG$11,IF(D39=Data!$YU$15,Data!$ZF$11))))))))))))))</f>
        <v>0</v>
      </c>
      <c r="AU39" s="239" t="str">
        <f>IF(D39="","",IF(E39=Data!$ZI$2,VLOOKUP(D39,Data!$ZK$2:$ZL$15,2,FALSE),IF(E39=Data!$ZI$1,VLOOKUP(D39,Data!$ZQ$2:$ZR$13,2,FALSE),IF(E39=Data!$ZI$3,VLOOKUP(D39,Data!$ZW$2:$ZX$13,2,FALSE),IF(E39=Data!$ZI$4,VLOOKUP(D39,Data!$AAC$2:$AAD$13,2,FALSE),IF(E39=Data!$ZI$5,VLOOKUP(D39,Data!$AAC$26:$AAD$37,2,FALSE)))))))</f>
        <v/>
      </c>
      <c r="AV39" s="251" t="str">
        <f t="shared" si="12"/>
        <v/>
      </c>
      <c r="AW39" s="251" t="str">
        <f t="shared" si="13"/>
        <v/>
      </c>
      <c r="AX39" s="239" t="str">
        <f t="shared" si="14"/>
        <v/>
      </c>
      <c r="BA39" s="33" t="str">
        <f t="shared" si="15"/>
        <v>FittingBoth</v>
      </c>
      <c r="BN39" s="475" t="str">
        <f t="shared" si="1"/>
        <v>UChannelNA</v>
      </c>
      <c r="BO39" s="475" t="e">
        <f t="shared" si="16"/>
        <v>#N/A</v>
      </c>
      <c r="BP39" s="475" t="str">
        <f t="shared" si="17"/>
        <v>No</v>
      </c>
      <c r="BQ39" s="475" t="str">
        <f t="shared" si="18"/>
        <v>No</v>
      </c>
      <c r="BR39" s="475" t="e">
        <f t="shared" si="2"/>
        <v>#N/A</v>
      </c>
      <c r="BU39" s="172">
        <f t="shared" si="19"/>
        <v>2</v>
      </c>
      <c r="CB39" s="33" t="e">
        <f t="shared" si="3"/>
        <v>#N/A</v>
      </c>
      <c r="CC39" s="172" t="b">
        <f t="shared" si="4"/>
        <v>0</v>
      </c>
      <c r="CD39" s="172">
        <f t="shared" si="5"/>
        <v>0</v>
      </c>
      <c r="CE39" s="172">
        <f t="shared" si="6"/>
        <v>0</v>
      </c>
      <c r="CF39" s="172">
        <f t="shared" si="7"/>
        <v>0</v>
      </c>
      <c r="CG39" s="172">
        <f t="shared" si="8"/>
        <v>0</v>
      </c>
      <c r="CL39" s="239" t="str">
        <f>IF(D39="","",IF(E39=Data!$ZI$2,VLOOKUP(D39,Data!$ZK$2:$ZP$15,3,FALSE),IF(E39=Data!$ZI$1,VLOOKUP(D39,Data!$ZQ$2:$ZS$13,3,FALSE),IF(E39=Data!$ZI$3,VLOOKUP(D39,Data!$ZW$2:$AAB$13,3,FALSE),IF(E39=Data!$ZI$4,VLOOKUP(D39,Data!$AAC$2:$AAI$13,3,FALSE),IF(E39=Data!$ZI$5,VLOOKUP(D39,Data!$AAC$26:$AAI$37,3,FALSE)))))))</f>
        <v/>
      </c>
      <c r="CM39" s="251">
        <f t="shared" si="20"/>
        <v>0</v>
      </c>
      <c r="CN39" s="251" t="e">
        <f t="shared" si="21"/>
        <v>#VALUE!</v>
      </c>
      <c r="CO39" s="239" t="e">
        <f t="shared" si="22"/>
        <v>#VALUE!</v>
      </c>
      <c r="CP39" s="239" t="str">
        <f>IF(D39="","",IF(E39=Data!$ZI$2,VLOOKUP(D39,Data!$ZK$2:$ZN$15,4,FALSE),IF(E39=Data!$ZI$1,VLOOKUP(D39,Data!$ZQ$2:$ZT$13,4,FALSE),IF(E39=Data!$ZI$3,VLOOKUP(D39,Data!$ZW$2:$AAC$13,4,FALSE),IF(E39=Data!$ZI$4,VLOOKUP(D39,Data!$AAC$2:$AAJ$13,4,FALSE),IF(E39=Data!$ZI$5,VLOOKUP(D39,Data!$AAC$26:$AAJ$37,4,FALSE)))))))</f>
        <v/>
      </c>
      <c r="CQ39" s="251">
        <f t="shared" si="23"/>
        <v>0</v>
      </c>
      <c r="CR39" s="251" t="e">
        <f t="shared" si="24"/>
        <v>#VALUE!</v>
      </c>
      <c r="CS39" s="239" t="e">
        <f t="shared" si="25"/>
        <v>#VALUE!</v>
      </c>
      <c r="CT39" s="311">
        <f t="shared" si="26"/>
        <v>0</v>
      </c>
      <c r="CU39" s="239" t="str">
        <f>IF(D39="","",IF(E39=Data!$ZI$2,VLOOKUP(D39,Data!$ZK$2:$ZO$15,5,FALSE),IF(E39=Data!$ZI$1,VLOOKUP(D39,Data!$ZQ$2:$ZU$13,5,FALSE),IF(E39=Data!$ZI$3,VLOOKUP(D39,Data!$ZW$2:$AAD$13,5,FALSE),IF(E39=Data!$ZI$4,VLOOKUP(D39,Data!$AAC$2:$AAK$13,5,FALSE),IF(E39=Data!$ZI$5,VLOOKUP(D39,Data!$AAC$26:$AAK$37,5,FALSE)))))))</f>
        <v/>
      </c>
      <c r="CV39" s="251">
        <f t="shared" si="27"/>
        <v>0</v>
      </c>
      <c r="CW39" s="251" t="e">
        <f t="shared" si="28"/>
        <v>#VALUE!</v>
      </c>
      <c r="CX39" s="239" t="e">
        <f t="shared" si="29"/>
        <v>#VALUE!</v>
      </c>
      <c r="CY39" s="239" t="str">
        <f>IF(D39="","",IF(E39=Data!$ZI$2,VLOOKUP(D39,Data!$ZK$2:$ZP$15,6,FALSE),IF(E39=Data!$ZI$1,VLOOKUP(D39,Data!$ZQ$2:$ZV$13,6,FALSE),IF(E39=Data!$ZI$3,VLOOKUP(D39,Data!$ZW$2:$AAE$13,6,FALSE),IF(E39=Data!$ZI$4,VLOOKUP(D39,Data!$AAC$2:$AAL$13,6,FALSE),IF(E39=Data!$ZI$5,VLOOKUP(D39,Data!$AAC$26:$AAL$37,6,FALSE)))))))</f>
        <v/>
      </c>
      <c r="CZ39" s="251">
        <f t="shared" si="30"/>
        <v>0</v>
      </c>
      <c r="DA39" s="251" t="e">
        <f t="shared" si="31"/>
        <v>#VALUE!</v>
      </c>
      <c r="DB39" s="239" t="e">
        <f t="shared" si="32"/>
        <v>#VALUE!</v>
      </c>
      <c r="DC39" s="311">
        <f t="shared" si="33"/>
        <v>0</v>
      </c>
    </row>
    <row r="40" spans="1:107" ht="30" customHeight="1">
      <c r="A40" s="52">
        <v>33</v>
      </c>
      <c r="B40" s="13"/>
      <c r="C40" s="13"/>
      <c r="D40" s="13"/>
      <c r="E40" s="235"/>
      <c r="F40" s="235"/>
      <c r="G40" s="235"/>
      <c r="H40" s="235"/>
      <c r="I40" s="14"/>
      <c r="J40" s="14"/>
      <c r="K40" s="14"/>
      <c r="L40" s="14"/>
      <c r="M40" s="563"/>
      <c r="N40" s="564"/>
      <c r="O40" s="15"/>
      <c r="P40" s="15"/>
      <c r="Q40" s="15"/>
      <c r="R40" s="15"/>
      <c r="S40" s="15"/>
      <c r="T40" s="13" t="str">
        <f t="shared" si="9"/>
        <v/>
      </c>
      <c r="U40" s="253" t="str">
        <f t="shared" si="10"/>
        <v/>
      </c>
      <c r="V40" s="470"/>
      <c r="W40" s="481" t="b">
        <f t="shared" si="11"/>
        <v>0</v>
      </c>
      <c r="X40" s="230"/>
      <c r="Y40" s="253"/>
      <c r="AA40" s="33" t="str">
        <f>IF(SUM(--ISNUMBER(SEARCH({"Skylight"}, D40))),Data!$AJ$19,Data!$AJ$1)</f>
        <v>WindowType</v>
      </c>
      <c r="AB40" s="33" t="str">
        <f t="shared" ref="AB40:AB57" si="34">IF(AND(C40&gt;0,P40=""),"Enter","OK")</f>
        <v>OK</v>
      </c>
      <c r="AE40" s="239" t="e">
        <f>MATCH(E40, Data!$TB$2:$TB$6,0)</f>
        <v>#N/A</v>
      </c>
      <c r="AF40" s="239" t="e">
        <f>MATCH(F40,Data!$TC$1:$UB$1,0)</f>
        <v>#N/A</v>
      </c>
      <c r="AG40" s="239" t="e">
        <f>INDEX(Data!$TC$2:$UB$6,'Cellular Blinds'!AE40,'Cellular Blinds'!AF40)</f>
        <v>#N/A</v>
      </c>
      <c r="AH40" s="33" t="e">
        <f>VLOOKUP(D40,Data!$RU$2:$RV$15,2,FALSE)</f>
        <v>#N/A</v>
      </c>
      <c r="AI40" s="33" t="b">
        <f>IF(D40=Data!$UT$2,Data!$UU$1,IF(D40=Data!$UT$3,Data!$UV$1,IF(D40=Data!$UT$4,Data!$UW$1,IF(D40=Data!$UT$5,Data!$UX$1,IF(D40=Data!$UT$6,Data!$UY$1,IF(D40=Data!$UT$7,Data!$UZ$1,IF(D40=Data!$UT$8,Data!$VA$1,IF(D40=Data!$UT$9,Data!$VB$1,IF(D40=Data!$UT$10,Data!$VC$1,IF(D40=Data!$UT$11,Data!$VD$1,IF(D40=Data!$UT$12,Data!$VD$22,IF(D40=Data!$UT$13,Data!$VD$22,IF(D40=Data!$UT$14,Data!$UU$13,IF(D40=Data!$UT$15,Data!$UV$13))))))))))))))</f>
        <v>0</v>
      </c>
      <c r="AJ40" s="239" t="e">
        <f>MATCH(D40,Data!$VL$27:$VL$40,0)</f>
        <v>#N/A</v>
      </c>
      <c r="AK40" s="239" t="e">
        <f>MATCH(E40,Data!$VM$26:$VQ$26,0)</f>
        <v>#N/A</v>
      </c>
      <c r="AL40" s="239" t="e">
        <f>INDEX(Data!$VM$27:$VQ$40,'Cellular Blinds'!AJ40,'Cellular Blinds'!AK40)</f>
        <v>#N/A</v>
      </c>
      <c r="AM40" s="239" t="e">
        <f>MATCH(D40, Data!$VL$2:$VL$16,0)</f>
        <v>#N/A</v>
      </c>
      <c r="AN40" s="239" t="e">
        <f>MATCH(E40,Data!$VM$1:$VQ$1,0)</f>
        <v>#N/A</v>
      </c>
      <c r="AO40" s="239" t="e">
        <f>INDEX(Data!$VM$2:$VQ$16,'Cellular Blinds'!AM40,'Cellular Blinds'!AN40)</f>
        <v>#N/A</v>
      </c>
      <c r="AP40" s="33" t="e">
        <f>VLOOKUP(P40,Data!$UW$14:$UX$28,2,FALSE)</f>
        <v>#N/A</v>
      </c>
      <c r="AQ40" s="239" t="e">
        <f>MATCH(E40, Data!$XS$2:$XS$6,0)</f>
        <v>#N/A</v>
      </c>
      <c r="AR40" s="239" t="e">
        <f>MATCH(F40,Data!$XT$1:$YR$1,0)</f>
        <v>#N/A</v>
      </c>
      <c r="AS40" s="239" t="e">
        <f>INDEX(Data!$XT$2:$YR$6,'Cellular Blinds'!AQ40,'Cellular Blinds'!AR40)</f>
        <v>#N/A</v>
      </c>
      <c r="AT40" s="239" t="b">
        <f>IF(D40=Data!$YU$2,Data!$YV$1,IF(D40=Data!$YU$3,Data!$YW$1,IF(D40=Data!$YU$4,Data!$YX$1,IF(D40=Data!$YU$5,Data!$YY$1,IF(D40=Data!$YU$6,Data!$YZ$1,IF(D40=Data!$YU$7,Data!$ZA$1,IF(D40=Data!$YU$8,Data!$ZB$1,IF(D40=Data!$YU$9,Data!$ZC$1,IF(D40=Data!$YU$10,Data!$ZD$1,IF(D40=Data!$YU$11,Data!$ZE$1,IF(D40=Data!$YU$12,Data!$ZE$1,IF(D40=Data!$YU$13,Data!$ZE$1,IF(D40=Data!$YU$14,Data!$ZG$11,IF(D40=Data!$YU$15,Data!$ZF$11))))))))))))))</f>
        <v>0</v>
      </c>
      <c r="AU40" s="239" t="str">
        <f>IF(D40="","",IF(E40=Data!$ZI$2,VLOOKUP(D40,Data!$ZK$2:$ZL$15,2,FALSE),IF(E40=Data!$ZI$1,VLOOKUP(D40,Data!$ZQ$2:$ZR$13,2,FALSE),IF(E40=Data!$ZI$3,VLOOKUP(D40,Data!$ZW$2:$ZX$13,2,FALSE),IF(E40=Data!$ZI$4,VLOOKUP(D40,Data!$AAC$2:$AAD$13,2,FALSE),IF(E40=Data!$ZI$5,VLOOKUP(D40,Data!$AAC$26:$AAD$37,2,FALSE)))))))</f>
        <v/>
      </c>
      <c r="AV40" s="251" t="str">
        <f t="shared" si="12"/>
        <v/>
      </c>
      <c r="AW40" s="251" t="str">
        <f t="shared" si="13"/>
        <v/>
      </c>
      <c r="AX40" s="239" t="str">
        <f t="shared" si="14"/>
        <v/>
      </c>
      <c r="BA40" s="33" t="str">
        <f t="shared" si="15"/>
        <v>FittingBoth</v>
      </c>
      <c r="BN40" s="475" t="str">
        <f t="shared" ref="BN40:BN58" si="35">IF(BU40&lt;&gt;0,$BK$7,$BL$7)</f>
        <v>UChannelNA</v>
      </c>
      <c r="BO40" s="475" t="e">
        <f t="shared" si="16"/>
        <v>#N/A</v>
      </c>
      <c r="BP40" s="475" t="str">
        <f t="shared" si="17"/>
        <v>No</v>
      </c>
      <c r="BQ40" s="475" t="str">
        <f t="shared" si="18"/>
        <v>No</v>
      </c>
      <c r="BR40" s="475" t="e">
        <f t="shared" ref="BR40:BR58" si="36">VLOOKUP(D40,$BS$8:$BT$21,2,FALSE)</f>
        <v>#N/A</v>
      </c>
      <c r="BU40" s="172">
        <f t="shared" si="19"/>
        <v>2</v>
      </c>
      <c r="CB40" s="33" t="e">
        <f t="shared" ref="CB40:CB57" si="37">VLOOKUP(R40,$BX$8:$BY$11,2,FALSE)</f>
        <v>#N/A</v>
      </c>
      <c r="CC40" s="172" t="b">
        <f t="shared" ref="CC40:CC57" si="38">IF(R40=$CC$2,((C40*J40*2)/1000),IF(R40=$CC$3,(((C40*J40*2)+C40*I40)/1000)))</f>
        <v>0</v>
      </c>
      <c r="CD40" s="172">
        <f t="shared" ref="CD40:CD57" si="39">IF(S40=$CD$7,CC40,0)</f>
        <v>0</v>
      </c>
      <c r="CE40" s="172">
        <f t="shared" ref="CE40:CE57" si="40">IF(S40=$CE$7,CC40,0)</f>
        <v>0</v>
      </c>
      <c r="CF40" s="172">
        <f t="shared" ref="CF40:CF57" si="41">IF(S40=$CF$7,CC40,0)</f>
        <v>0</v>
      </c>
      <c r="CG40" s="172">
        <f t="shared" ref="CG40:CG57" si="42">IF(S40=$CG$7,CC40,0)</f>
        <v>0</v>
      </c>
      <c r="CL40" s="239" t="str">
        <f>IF(D40="","",IF(E40=Data!$ZI$2,VLOOKUP(D40,Data!$ZK$2:$ZP$15,3,FALSE),IF(E40=Data!$ZI$1,VLOOKUP(D40,Data!$ZQ$2:$ZS$13,3,FALSE),IF(E40=Data!$ZI$3,VLOOKUP(D40,Data!$ZW$2:$AAB$13,3,FALSE),IF(E40=Data!$ZI$4,VLOOKUP(D40,Data!$AAC$2:$AAI$13,3,FALSE),IF(E40=Data!$ZI$5,VLOOKUP(D40,Data!$AAC$26:$AAI$37,3,FALSE)))))))</f>
        <v/>
      </c>
      <c r="CM40" s="251">
        <f t="shared" si="20"/>
        <v>0</v>
      </c>
      <c r="CN40" s="251" t="e">
        <f t="shared" si="21"/>
        <v>#VALUE!</v>
      </c>
      <c r="CO40" s="239" t="e">
        <f t="shared" si="22"/>
        <v>#VALUE!</v>
      </c>
      <c r="CP40" s="239" t="str">
        <f>IF(D40="","",IF(E40=Data!$ZI$2,VLOOKUP(D40,Data!$ZK$2:$ZN$15,4,FALSE),IF(E40=Data!$ZI$1,VLOOKUP(D40,Data!$ZQ$2:$ZT$13,4,FALSE),IF(E40=Data!$ZI$3,VLOOKUP(D40,Data!$ZW$2:$AAC$13,4,FALSE),IF(E40=Data!$ZI$4,VLOOKUP(D40,Data!$AAC$2:$AAJ$13,4,FALSE),IF(E40=Data!$ZI$5,VLOOKUP(D40,Data!$AAC$26:$AAJ$37,4,FALSE)))))))</f>
        <v/>
      </c>
      <c r="CQ40" s="251">
        <f t="shared" si="23"/>
        <v>0</v>
      </c>
      <c r="CR40" s="251" t="e">
        <f t="shared" si="24"/>
        <v>#VALUE!</v>
      </c>
      <c r="CS40" s="239" t="e">
        <f t="shared" si="25"/>
        <v>#VALUE!</v>
      </c>
      <c r="CT40" s="311">
        <f t="shared" si="26"/>
        <v>0</v>
      </c>
      <c r="CU40" s="239" t="str">
        <f>IF(D40="","",IF(E40=Data!$ZI$2,VLOOKUP(D40,Data!$ZK$2:$ZO$15,5,FALSE),IF(E40=Data!$ZI$1,VLOOKUP(D40,Data!$ZQ$2:$ZU$13,5,FALSE),IF(E40=Data!$ZI$3,VLOOKUP(D40,Data!$ZW$2:$AAD$13,5,FALSE),IF(E40=Data!$ZI$4,VLOOKUP(D40,Data!$AAC$2:$AAK$13,5,FALSE),IF(E40=Data!$ZI$5,VLOOKUP(D40,Data!$AAC$26:$AAK$37,5,FALSE)))))))</f>
        <v/>
      </c>
      <c r="CV40" s="251">
        <f t="shared" si="27"/>
        <v>0</v>
      </c>
      <c r="CW40" s="251" t="e">
        <f t="shared" si="28"/>
        <v>#VALUE!</v>
      </c>
      <c r="CX40" s="239" t="e">
        <f t="shared" si="29"/>
        <v>#VALUE!</v>
      </c>
      <c r="CY40" s="239" t="str">
        <f>IF(D40="","",IF(E40=Data!$ZI$2,VLOOKUP(D40,Data!$ZK$2:$ZP$15,6,FALSE),IF(E40=Data!$ZI$1,VLOOKUP(D40,Data!$ZQ$2:$ZV$13,6,FALSE),IF(E40=Data!$ZI$3,VLOOKUP(D40,Data!$ZW$2:$AAE$13,6,FALSE),IF(E40=Data!$ZI$4,VLOOKUP(D40,Data!$AAC$2:$AAL$13,6,FALSE),IF(E40=Data!$ZI$5,VLOOKUP(D40,Data!$AAC$26:$AAL$37,6,FALSE)))))))</f>
        <v/>
      </c>
      <c r="CZ40" s="251">
        <f t="shared" si="30"/>
        <v>0</v>
      </c>
      <c r="DA40" s="251" t="e">
        <f t="shared" si="31"/>
        <v>#VALUE!</v>
      </c>
      <c r="DB40" s="239" t="e">
        <f t="shared" si="32"/>
        <v>#VALUE!</v>
      </c>
      <c r="DC40" s="311">
        <f t="shared" si="33"/>
        <v>0</v>
      </c>
    </row>
    <row r="41" spans="1:107" ht="30" customHeight="1">
      <c r="A41" s="52">
        <v>34</v>
      </c>
      <c r="B41" s="13"/>
      <c r="C41" s="13"/>
      <c r="D41" s="13"/>
      <c r="E41" s="235"/>
      <c r="F41" s="235"/>
      <c r="G41" s="235"/>
      <c r="H41" s="235"/>
      <c r="I41" s="14"/>
      <c r="J41" s="14"/>
      <c r="K41" s="14"/>
      <c r="L41" s="14"/>
      <c r="M41" s="563"/>
      <c r="N41" s="564"/>
      <c r="O41" s="15"/>
      <c r="P41" s="15"/>
      <c r="Q41" s="15"/>
      <c r="R41" s="15"/>
      <c r="S41" s="15"/>
      <c r="T41" s="13" t="str">
        <f t="shared" si="9"/>
        <v/>
      </c>
      <c r="U41" s="253" t="str">
        <f t="shared" si="10"/>
        <v/>
      </c>
      <c r="V41" s="470"/>
      <c r="W41" s="481" t="b">
        <f t="shared" si="11"/>
        <v>0</v>
      </c>
      <c r="X41" s="230"/>
      <c r="Y41" s="253"/>
      <c r="AA41" s="33" t="str">
        <f>IF(SUM(--ISNUMBER(SEARCH({"Skylight"}, D41))),Data!$AJ$19,Data!$AJ$1)</f>
        <v>WindowType</v>
      </c>
      <c r="AB41" s="33" t="str">
        <f t="shared" si="34"/>
        <v>OK</v>
      </c>
      <c r="AE41" s="239" t="e">
        <f>MATCH(E41, Data!$TB$2:$TB$6,0)</f>
        <v>#N/A</v>
      </c>
      <c r="AF41" s="239" t="e">
        <f>MATCH(F41,Data!$TC$1:$UB$1,0)</f>
        <v>#N/A</v>
      </c>
      <c r="AG41" s="239" t="e">
        <f>INDEX(Data!$TC$2:$UB$6,'Cellular Blinds'!AE41,'Cellular Blinds'!AF41)</f>
        <v>#N/A</v>
      </c>
      <c r="AH41" s="33" t="e">
        <f>VLOOKUP(D41,Data!$RU$2:$RV$15,2,FALSE)</f>
        <v>#N/A</v>
      </c>
      <c r="AI41" s="33" t="b">
        <f>IF(D41=Data!$UT$2,Data!$UU$1,IF(D41=Data!$UT$3,Data!$UV$1,IF(D41=Data!$UT$4,Data!$UW$1,IF(D41=Data!$UT$5,Data!$UX$1,IF(D41=Data!$UT$6,Data!$UY$1,IF(D41=Data!$UT$7,Data!$UZ$1,IF(D41=Data!$UT$8,Data!$VA$1,IF(D41=Data!$UT$9,Data!$VB$1,IF(D41=Data!$UT$10,Data!$VC$1,IF(D41=Data!$UT$11,Data!$VD$1,IF(D41=Data!$UT$12,Data!$VD$22,IF(D41=Data!$UT$13,Data!$VD$22,IF(D41=Data!$UT$14,Data!$UU$13,IF(D41=Data!$UT$15,Data!$UV$13))))))))))))))</f>
        <v>0</v>
      </c>
      <c r="AJ41" s="239" t="e">
        <f>MATCH(D41,Data!$VL$27:$VL$40,0)</f>
        <v>#N/A</v>
      </c>
      <c r="AK41" s="239" t="e">
        <f>MATCH(E41,Data!$VM$26:$VQ$26,0)</f>
        <v>#N/A</v>
      </c>
      <c r="AL41" s="239" t="e">
        <f>INDEX(Data!$VM$27:$VQ$40,'Cellular Blinds'!AJ41,'Cellular Blinds'!AK41)</f>
        <v>#N/A</v>
      </c>
      <c r="AM41" s="239" t="e">
        <f>MATCH(D41, Data!$VL$2:$VL$16,0)</f>
        <v>#N/A</v>
      </c>
      <c r="AN41" s="239" t="e">
        <f>MATCH(E41,Data!$VM$1:$VQ$1,0)</f>
        <v>#N/A</v>
      </c>
      <c r="AO41" s="239" t="e">
        <f>INDEX(Data!$VM$2:$VQ$16,'Cellular Blinds'!AM41,'Cellular Blinds'!AN41)</f>
        <v>#N/A</v>
      </c>
      <c r="AP41" s="33" t="e">
        <f>VLOOKUP(P41,Data!$UW$14:$UX$28,2,FALSE)</f>
        <v>#N/A</v>
      </c>
      <c r="AQ41" s="239" t="e">
        <f>MATCH(E41, Data!$XS$2:$XS$6,0)</f>
        <v>#N/A</v>
      </c>
      <c r="AR41" s="239" t="e">
        <f>MATCH(F41,Data!$XT$1:$YR$1,0)</f>
        <v>#N/A</v>
      </c>
      <c r="AS41" s="239" t="e">
        <f>INDEX(Data!$XT$2:$YR$6,'Cellular Blinds'!AQ41,'Cellular Blinds'!AR41)</f>
        <v>#N/A</v>
      </c>
      <c r="AT41" s="239" t="b">
        <f>IF(D41=Data!$YU$2,Data!$YV$1,IF(D41=Data!$YU$3,Data!$YW$1,IF(D41=Data!$YU$4,Data!$YX$1,IF(D41=Data!$YU$5,Data!$YY$1,IF(D41=Data!$YU$6,Data!$YZ$1,IF(D41=Data!$YU$7,Data!$ZA$1,IF(D41=Data!$YU$8,Data!$ZB$1,IF(D41=Data!$YU$9,Data!$ZC$1,IF(D41=Data!$YU$10,Data!$ZD$1,IF(D41=Data!$YU$11,Data!$ZE$1,IF(D41=Data!$YU$12,Data!$ZE$1,IF(D41=Data!$YU$13,Data!$ZE$1,IF(D41=Data!$YU$14,Data!$ZG$11,IF(D41=Data!$YU$15,Data!$ZF$11))))))))))))))</f>
        <v>0</v>
      </c>
      <c r="AU41" s="239" t="str">
        <f>IF(D41="","",IF(E41=Data!$ZI$2,VLOOKUP(D41,Data!$ZK$2:$ZL$15,2,FALSE),IF(E41=Data!$ZI$1,VLOOKUP(D41,Data!$ZQ$2:$ZR$13,2,FALSE),IF(E41=Data!$ZI$3,VLOOKUP(D41,Data!$ZW$2:$ZX$13,2,FALSE),IF(E41=Data!$ZI$4,VLOOKUP(D41,Data!$AAC$2:$AAD$13,2,FALSE),IF(E41=Data!$ZI$5,VLOOKUP(D41,Data!$AAC$26:$AAD$37,2,FALSE)))))))</f>
        <v/>
      </c>
      <c r="AV41" s="251" t="str">
        <f t="shared" si="12"/>
        <v/>
      </c>
      <c r="AW41" s="251" t="str">
        <f t="shared" si="13"/>
        <v/>
      </c>
      <c r="AX41" s="239" t="str">
        <f t="shared" si="14"/>
        <v/>
      </c>
      <c r="BA41" s="33" t="str">
        <f t="shared" si="15"/>
        <v>FittingBoth</v>
      </c>
      <c r="BN41" s="475" t="str">
        <f t="shared" si="35"/>
        <v>UChannelNA</v>
      </c>
      <c r="BO41" s="475" t="e">
        <f t="shared" si="16"/>
        <v>#N/A</v>
      </c>
      <c r="BP41" s="475" t="str">
        <f t="shared" si="17"/>
        <v>No</v>
      </c>
      <c r="BQ41" s="475" t="str">
        <f t="shared" si="18"/>
        <v>No</v>
      </c>
      <c r="BR41" s="475" t="e">
        <f t="shared" si="36"/>
        <v>#N/A</v>
      </c>
      <c r="BU41" s="172">
        <f t="shared" si="19"/>
        <v>2</v>
      </c>
      <c r="CB41" s="33" t="e">
        <f t="shared" si="37"/>
        <v>#N/A</v>
      </c>
      <c r="CC41" s="172" t="b">
        <f t="shared" si="38"/>
        <v>0</v>
      </c>
      <c r="CD41" s="172">
        <f t="shared" si="39"/>
        <v>0</v>
      </c>
      <c r="CE41" s="172">
        <f t="shared" si="40"/>
        <v>0</v>
      </c>
      <c r="CF41" s="172">
        <f t="shared" si="41"/>
        <v>0</v>
      </c>
      <c r="CG41" s="172">
        <f t="shared" si="42"/>
        <v>0</v>
      </c>
      <c r="CL41" s="239" t="str">
        <f>IF(D41="","",IF(E41=Data!$ZI$2,VLOOKUP(D41,Data!$ZK$2:$ZP$15,3,FALSE),IF(E41=Data!$ZI$1,VLOOKUP(D41,Data!$ZQ$2:$ZS$13,3,FALSE),IF(E41=Data!$ZI$3,VLOOKUP(D41,Data!$ZW$2:$AAB$13,3,FALSE),IF(E41=Data!$ZI$4,VLOOKUP(D41,Data!$AAC$2:$AAI$13,3,FALSE),IF(E41=Data!$ZI$5,VLOOKUP(D41,Data!$AAC$26:$AAI$37,3,FALSE)))))))</f>
        <v/>
      </c>
      <c r="CM41" s="251">
        <f t="shared" si="20"/>
        <v>0</v>
      </c>
      <c r="CN41" s="251" t="e">
        <f t="shared" si="21"/>
        <v>#VALUE!</v>
      </c>
      <c r="CO41" s="239" t="e">
        <f t="shared" si="22"/>
        <v>#VALUE!</v>
      </c>
      <c r="CP41" s="239" t="str">
        <f>IF(D41="","",IF(E41=Data!$ZI$2,VLOOKUP(D41,Data!$ZK$2:$ZN$15,4,FALSE),IF(E41=Data!$ZI$1,VLOOKUP(D41,Data!$ZQ$2:$ZT$13,4,FALSE),IF(E41=Data!$ZI$3,VLOOKUP(D41,Data!$ZW$2:$AAC$13,4,FALSE),IF(E41=Data!$ZI$4,VLOOKUP(D41,Data!$AAC$2:$AAJ$13,4,FALSE),IF(E41=Data!$ZI$5,VLOOKUP(D41,Data!$AAC$26:$AAJ$37,4,FALSE)))))))</f>
        <v/>
      </c>
      <c r="CQ41" s="251">
        <f t="shared" si="23"/>
        <v>0</v>
      </c>
      <c r="CR41" s="251" t="e">
        <f t="shared" si="24"/>
        <v>#VALUE!</v>
      </c>
      <c r="CS41" s="239" t="e">
        <f t="shared" si="25"/>
        <v>#VALUE!</v>
      </c>
      <c r="CT41" s="311">
        <f t="shared" si="26"/>
        <v>0</v>
      </c>
      <c r="CU41" s="239" t="str">
        <f>IF(D41="","",IF(E41=Data!$ZI$2,VLOOKUP(D41,Data!$ZK$2:$ZO$15,5,FALSE),IF(E41=Data!$ZI$1,VLOOKUP(D41,Data!$ZQ$2:$ZU$13,5,FALSE),IF(E41=Data!$ZI$3,VLOOKUP(D41,Data!$ZW$2:$AAD$13,5,FALSE),IF(E41=Data!$ZI$4,VLOOKUP(D41,Data!$AAC$2:$AAK$13,5,FALSE),IF(E41=Data!$ZI$5,VLOOKUP(D41,Data!$AAC$26:$AAK$37,5,FALSE)))))))</f>
        <v/>
      </c>
      <c r="CV41" s="251">
        <f t="shared" si="27"/>
        <v>0</v>
      </c>
      <c r="CW41" s="251" t="e">
        <f t="shared" si="28"/>
        <v>#VALUE!</v>
      </c>
      <c r="CX41" s="239" t="e">
        <f t="shared" si="29"/>
        <v>#VALUE!</v>
      </c>
      <c r="CY41" s="239" t="str">
        <f>IF(D41="","",IF(E41=Data!$ZI$2,VLOOKUP(D41,Data!$ZK$2:$ZP$15,6,FALSE),IF(E41=Data!$ZI$1,VLOOKUP(D41,Data!$ZQ$2:$ZV$13,6,FALSE),IF(E41=Data!$ZI$3,VLOOKUP(D41,Data!$ZW$2:$AAE$13,6,FALSE),IF(E41=Data!$ZI$4,VLOOKUP(D41,Data!$AAC$2:$AAL$13,6,FALSE),IF(E41=Data!$ZI$5,VLOOKUP(D41,Data!$AAC$26:$AAL$37,6,FALSE)))))))</f>
        <v/>
      </c>
      <c r="CZ41" s="251">
        <f t="shared" si="30"/>
        <v>0</v>
      </c>
      <c r="DA41" s="251" t="e">
        <f t="shared" si="31"/>
        <v>#VALUE!</v>
      </c>
      <c r="DB41" s="239" t="e">
        <f t="shared" si="32"/>
        <v>#VALUE!</v>
      </c>
      <c r="DC41" s="311">
        <f t="shared" si="33"/>
        <v>0</v>
      </c>
    </row>
    <row r="42" spans="1:107" ht="30" customHeight="1">
      <c r="A42" s="52">
        <v>35</v>
      </c>
      <c r="B42" s="13"/>
      <c r="C42" s="13"/>
      <c r="D42" s="13"/>
      <c r="E42" s="235"/>
      <c r="F42" s="235"/>
      <c r="G42" s="235"/>
      <c r="H42" s="235"/>
      <c r="I42" s="14"/>
      <c r="J42" s="14"/>
      <c r="K42" s="14"/>
      <c r="L42" s="14"/>
      <c r="M42" s="563"/>
      <c r="N42" s="564"/>
      <c r="O42" s="15"/>
      <c r="P42" s="15"/>
      <c r="Q42" s="15"/>
      <c r="R42" s="15"/>
      <c r="S42" s="15"/>
      <c r="T42" s="13" t="str">
        <f t="shared" si="9"/>
        <v/>
      </c>
      <c r="U42" s="253" t="str">
        <f t="shared" si="10"/>
        <v/>
      </c>
      <c r="V42" s="470"/>
      <c r="W42" s="481" t="b">
        <f t="shared" si="11"/>
        <v>0</v>
      </c>
      <c r="X42" s="230"/>
      <c r="Y42" s="253"/>
      <c r="AA42" s="33" t="str">
        <f>IF(SUM(--ISNUMBER(SEARCH({"Skylight"}, D42))),Data!$AJ$19,Data!$AJ$1)</f>
        <v>WindowType</v>
      </c>
      <c r="AB42" s="33" t="str">
        <f t="shared" si="34"/>
        <v>OK</v>
      </c>
      <c r="AE42" s="239" t="e">
        <f>MATCH(E42, Data!$TB$2:$TB$6,0)</f>
        <v>#N/A</v>
      </c>
      <c r="AF42" s="239" t="e">
        <f>MATCH(F42,Data!$TC$1:$UB$1,0)</f>
        <v>#N/A</v>
      </c>
      <c r="AG42" s="239" t="e">
        <f>INDEX(Data!$TC$2:$UB$6,'Cellular Blinds'!AE42,'Cellular Blinds'!AF42)</f>
        <v>#N/A</v>
      </c>
      <c r="AH42" s="33" t="e">
        <f>VLOOKUP(D42,Data!$RU$2:$RV$15,2,FALSE)</f>
        <v>#N/A</v>
      </c>
      <c r="AI42" s="33" t="b">
        <f>IF(D42=Data!$UT$2,Data!$UU$1,IF(D42=Data!$UT$3,Data!$UV$1,IF(D42=Data!$UT$4,Data!$UW$1,IF(D42=Data!$UT$5,Data!$UX$1,IF(D42=Data!$UT$6,Data!$UY$1,IF(D42=Data!$UT$7,Data!$UZ$1,IF(D42=Data!$UT$8,Data!$VA$1,IF(D42=Data!$UT$9,Data!$VB$1,IF(D42=Data!$UT$10,Data!$VC$1,IF(D42=Data!$UT$11,Data!$VD$1,IF(D42=Data!$UT$12,Data!$VD$22,IF(D42=Data!$UT$13,Data!$VD$22,IF(D42=Data!$UT$14,Data!$UU$13,IF(D42=Data!$UT$15,Data!$UV$13))))))))))))))</f>
        <v>0</v>
      </c>
      <c r="AJ42" s="239" t="e">
        <f>MATCH(D42,Data!$VL$27:$VL$40,0)</f>
        <v>#N/A</v>
      </c>
      <c r="AK42" s="239" t="e">
        <f>MATCH(E42,Data!$VM$26:$VQ$26,0)</f>
        <v>#N/A</v>
      </c>
      <c r="AL42" s="239" t="e">
        <f>INDEX(Data!$VM$27:$VQ$40,'Cellular Blinds'!AJ42,'Cellular Blinds'!AK42)</f>
        <v>#N/A</v>
      </c>
      <c r="AM42" s="239" t="e">
        <f>MATCH(D42, Data!$VL$2:$VL$16,0)</f>
        <v>#N/A</v>
      </c>
      <c r="AN42" s="239" t="e">
        <f>MATCH(E42,Data!$VM$1:$VQ$1,0)</f>
        <v>#N/A</v>
      </c>
      <c r="AO42" s="239" t="e">
        <f>INDEX(Data!$VM$2:$VQ$16,'Cellular Blinds'!AM42,'Cellular Blinds'!AN42)</f>
        <v>#N/A</v>
      </c>
      <c r="AP42" s="33" t="e">
        <f>VLOOKUP(P42,Data!$UW$14:$UX$28,2,FALSE)</f>
        <v>#N/A</v>
      </c>
      <c r="AQ42" s="239" t="e">
        <f>MATCH(E42, Data!$XS$2:$XS$6,0)</f>
        <v>#N/A</v>
      </c>
      <c r="AR42" s="239" t="e">
        <f>MATCH(F42,Data!$XT$1:$YR$1,0)</f>
        <v>#N/A</v>
      </c>
      <c r="AS42" s="239" t="e">
        <f>INDEX(Data!$XT$2:$YR$6,'Cellular Blinds'!AQ42,'Cellular Blinds'!AR42)</f>
        <v>#N/A</v>
      </c>
      <c r="AT42" s="239" t="b">
        <f>IF(D42=Data!$YU$2,Data!$YV$1,IF(D42=Data!$YU$3,Data!$YW$1,IF(D42=Data!$YU$4,Data!$YX$1,IF(D42=Data!$YU$5,Data!$YY$1,IF(D42=Data!$YU$6,Data!$YZ$1,IF(D42=Data!$YU$7,Data!$ZA$1,IF(D42=Data!$YU$8,Data!$ZB$1,IF(D42=Data!$YU$9,Data!$ZC$1,IF(D42=Data!$YU$10,Data!$ZD$1,IF(D42=Data!$YU$11,Data!$ZE$1,IF(D42=Data!$YU$12,Data!$ZE$1,IF(D42=Data!$YU$13,Data!$ZE$1,IF(D42=Data!$YU$14,Data!$ZG$11,IF(D42=Data!$YU$15,Data!$ZF$11))))))))))))))</f>
        <v>0</v>
      </c>
      <c r="AU42" s="239" t="str">
        <f>IF(D42="","",IF(E42=Data!$ZI$2,VLOOKUP(D42,Data!$ZK$2:$ZL$15,2,FALSE),IF(E42=Data!$ZI$1,VLOOKUP(D42,Data!$ZQ$2:$ZR$13,2,FALSE),IF(E42=Data!$ZI$3,VLOOKUP(D42,Data!$ZW$2:$ZX$13,2,FALSE),IF(E42=Data!$ZI$4,VLOOKUP(D42,Data!$AAC$2:$AAD$13,2,FALSE),IF(E42=Data!$ZI$5,VLOOKUP(D42,Data!$AAC$26:$AAD$37,2,FALSE)))))))</f>
        <v/>
      </c>
      <c r="AV42" s="251" t="str">
        <f t="shared" si="12"/>
        <v/>
      </c>
      <c r="AW42" s="251" t="str">
        <f t="shared" si="13"/>
        <v/>
      </c>
      <c r="AX42" s="239" t="str">
        <f t="shared" si="14"/>
        <v/>
      </c>
      <c r="BA42" s="33" t="str">
        <f t="shared" si="15"/>
        <v>FittingBoth</v>
      </c>
      <c r="BN42" s="475" t="str">
        <f t="shared" si="35"/>
        <v>UChannelNA</v>
      </c>
      <c r="BO42" s="475" t="e">
        <f t="shared" si="16"/>
        <v>#N/A</v>
      </c>
      <c r="BP42" s="475" t="str">
        <f t="shared" si="17"/>
        <v>No</v>
      </c>
      <c r="BQ42" s="475" t="str">
        <f t="shared" si="18"/>
        <v>No</v>
      </c>
      <c r="BR42" s="475" t="e">
        <f t="shared" si="36"/>
        <v>#N/A</v>
      </c>
      <c r="BU42" s="172">
        <f t="shared" si="19"/>
        <v>2</v>
      </c>
      <c r="CB42" s="33" t="e">
        <f t="shared" si="37"/>
        <v>#N/A</v>
      </c>
      <c r="CC42" s="172" t="b">
        <f t="shared" si="38"/>
        <v>0</v>
      </c>
      <c r="CD42" s="172">
        <f t="shared" si="39"/>
        <v>0</v>
      </c>
      <c r="CE42" s="172">
        <f t="shared" si="40"/>
        <v>0</v>
      </c>
      <c r="CF42" s="172">
        <f t="shared" si="41"/>
        <v>0</v>
      </c>
      <c r="CG42" s="172">
        <f t="shared" si="42"/>
        <v>0</v>
      </c>
      <c r="CL42" s="239" t="str">
        <f>IF(D42="","",IF(E42=Data!$ZI$2,VLOOKUP(D42,Data!$ZK$2:$ZP$15,3,FALSE),IF(E42=Data!$ZI$1,VLOOKUP(D42,Data!$ZQ$2:$ZS$13,3,FALSE),IF(E42=Data!$ZI$3,VLOOKUP(D42,Data!$ZW$2:$AAB$13,3,FALSE),IF(E42=Data!$ZI$4,VLOOKUP(D42,Data!$AAC$2:$AAI$13,3,FALSE),IF(E42=Data!$ZI$5,VLOOKUP(D42,Data!$AAC$26:$AAI$37,3,FALSE)))))))</f>
        <v/>
      </c>
      <c r="CM42" s="251">
        <f t="shared" si="20"/>
        <v>0</v>
      </c>
      <c r="CN42" s="251" t="e">
        <f t="shared" si="21"/>
        <v>#VALUE!</v>
      </c>
      <c r="CO42" s="239" t="e">
        <f t="shared" si="22"/>
        <v>#VALUE!</v>
      </c>
      <c r="CP42" s="239" t="str">
        <f>IF(D42="","",IF(E42=Data!$ZI$2,VLOOKUP(D42,Data!$ZK$2:$ZN$15,4,FALSE),IF(E42=Data!$ZI$1,VLOOKUP(D42,Data!$ZQ$2:$ZT$13,4,FALSE),IF(E42=Data!$ZI$3,VLOOKUP(D42,Data!$ZW$2:$AAC$13,4,FALSE),IF(E42=Data!$ZI$4,VLOOKUP(D42,Data!$AAC$2:$AAJ$13,4,FALSE),IF(E42=Data!$ZI$5,VLOOKUP(D42,Data!$AAC$26:$AAJ$37,4,FALSE)))))))</f>
        <v/>
      </c>
      <c r="CQ42" s="251">
        <f t="shared" si="23"/>
        <v>0</v>
      </c>
      <c r="CR42" s="251" t="e">
        <f t="shared" si="24"/>
        <v>#VALUE!</v>
      </c>
      <c r="CS42" s="239" t="e">
        <f t="shared" si="25"/>
        <v>#VALUE!</v>
      </c>
      <c r="CT42" s="311">
        <f t="shared" si="26"/>
        <v>0</v>
      </c>
      <c r="CU42" s="239" t="str">
        <f>IF(D42="","",IF(E42=Data!$ZI$2,VLOOKUP(D42,Data!$ZK$2:$ZO$15,5,FALSE),IF(E42=Data!$ZI$1,VLOOKUP(D42,Data!$ZQ$2:$ZU$13,5,FALSE),IF(E42=Data!$ZI$3,VLOOKUP(D42,Data!$ZW$2:$AAD$13,5,FALSE),IF(E42=Data!$ZI$4,VLOOKUP(D42,Data!$AAC$2:$AAK$13,5,FALSE),IF(E42=Data!$ZI$5,VLOOKUP(D42,Data!$AAC$26:$AAK$37,5,FALSE)))))))</f>
        <v/>
      </c>
      <c r="CV42" s="251">
        <f t="shared" si="27"/>
        <v>0</v>
      </c>
      <c r="CW42" s="251" t="e">
        <f t="shared" si="28"/>
        <v>#VALUE!</v>
      </c>
      <c r="CX42" s="239" t="e">
        <f t="shared" si="29"/>
        <v>#VALUE!</v>
      </c>
      <c r="CY42" s="239" t="str">
        <f>IF(D42="","",IF(E42=Data!$ZI$2,VLOOKUP(D42,Data!$ZK$2:$ZP$15,6,FALSE),IF(E42=Data!$ZI$1,VLOOKUP(D42,Data!$ZQ$2:$ZV$13,6,FALSE),IF(E42=Data!$ZI$3,VLOOKUP(D42,Data!$ZW$2:$AAE$13,6,FALSE),IF(E42=Data!$ZI$4,VLOOKUP(D42,Data!$AAC$2:$AAL$13,6,FALSE),IF(E42=Data!$ZI$5,VLOOKUP(D42,Data!$AAC$26:$AAL$37,6,FALSE)))))))</f>
        <v/>
      </c>
      <c r="CZ42" s="251">
        <f t="shared" si="30"/>
        <v>0</v>
      </c>
      <c r="DA42" s="251" t="e">
        <f t="shared" si="31"/>
        <v>#VALUE!</v>
      </c>
      <c r="DB42" s="239" t="e">
        <f t="shared" si="32"/>
        <v>#VALUE!</v>
      </c>
      <c r="DC42" s="311">
        <f t="shared" si="33"/>
        <v>0</v>
      </c>
    </row>
    <row r="43" spans="1:107" ht="30" customHeight="1">
      <c r="A43" s="52">
        <v>36</v>
      </c>
      <c r="B43" s="13"/>
      <c r="C43" s="13"/>
      <c r="D43" s="13"/>
      <c r="E43" s="235"/>
      <c r="F43" s="235"/>
      <c r="G43" s="235"/>
      <c r="H43" s="235"/>
      <c r="I43" s="14"/>
      <c r="J43" s="14"/>
      <c r="K43" s="14"/>
      <c r="L43" s="14"/>
      <c r="M43" s="563"/>
      <c r="N43" s="564"/>
      <c r="O43" s="15"/>
      <c r="P43" s="15"/>
      <c r="Q43" s="15"/>
      <c r="R43" s="15"/>
      <c r="S43" s="15"/>
      <c r="T43" s="13" t="str">
        <f t="shared" si="9"/>
        <v/>
      </c>
      <c r="U43" s="253" t="str">
        <f t="shared" si="10"/>
        <v/>
      </c>
      <c r="V43" s="470"/>
      <c r="W43" s="481" t="b">
        <f t="shared" si="11"/>
        <v>0</v>
      </c>
      <c r="X43" s="230"/>
      <c r="Y43" s="253"/>
      <c r="AA43" s="33" t="str">
        <f>IF(SUM(--ISNUMBER(SEARCH({"Skylight"}, D43))),Data!$AJ$19,Data!$AJ$1)</f>
        <v>WindowType</v>
      </c>
      <c r="AB43" s="33" t="str">
        <f t="shared" si="34"/>
        <v>OK</v>
      </c>
      <c r="AE43" s="239" t="e">
        <f>MATCH(E43, Data!$TB$2:$TB$6,0)</f>
        <v>#N/A</v>
      </c>
      <c r="AF43" s="239" t="e">
        <f>MATCH(F43,Data!$TC$1:$UB$1,0)</f>
        <v>#N/A</v>
      </c>
      <c r="AG43" s="239" t="e">
        <f>INDEX(Data!$TC$2:$UB$6,'Cellular Blinds'!AE43,'Cellular Blinds'!AF43)</f>
        <v>#N/A</v>
      </c>
      <c r="AH43" s="33" t="e">
        <f>VLOOKUP(D43,Data!$RU$2:$RV$15,2,FALSE)</f>
        <v>#N/A</v>
      </c>
      <c r="AI43" s="33" t="b">
        <f>IF(D43=Data!$UT$2,Data!$UU$1,IF(D43=Data!$UT$3,Data!$UV$1,IF(D43=Data!$UT$4,Data!$UW$1,IF(D43=Data!$UT$5,Data!$UX$1,IF(D43=Data!$UT$6,Data!$UY$1,IF(D43=Data!$UT$7,Data!$UZ$1,IF(D43=Data!$UT$8,Data!$VA$1,IF(D43=Data!$UT$9,Data!$VB$1,IF(D43=Data!$UT$10,Data!$VC$1,IF(D43=Data!$UT$11,Data!$VD$1,IF(D43=Data!$UT$12,Data!$VD$22,IF(D43=Data!$UT$13,Data!$VD$22,IF(D43=Data!$UT$14,Data!$UU$13,IF(D43=Data!$UT$15,Data!$UV$13))))))))))))))</f>
        <v>0</v>
      </c>
      <c r="AJ43" s="239" t="e">
        <f>MATCH(D43,Data!$VL$27:$VL$40,0)</f>
        <v>#N/A</v>
      </c>
      <c r="AK43" s="239" t="e">
        <f>MATCH(E43,Data!$VM$26:$VQ$26,0)</f>
        <v>#N/A</v>
      </c>
      <c r="AL43" s="239" t="e">
        <f>INDEX(Data!$VM$27:$VQ$40,'Cellular Blinds'!AJ43,'Cellular Blinds'!AK43)</f>
        <v>#N/A</v>
      </c>
      <c r="AM43" s="239" t="e">
        <f>MATCH(D43, Data!$VL$2:$VL$16,0)</f>
        <v>#N/A</v>
      </c>
      <c r="AN43" s="239" t="e">
        <f>MATCH(E43,Data!$VM$1:$VQ$1,0)</f>
        <v>#N/A</v>
      </c>
      <c r="AO43" s="239" t="e">
        <f>INDEX(Data!$VM$2:$VQ$16,'Cellular Blinds'!AM43,'Cellular Blinds'!AN43)</f>
        <v>#N/A</v>
      </c>
      <c r="AP43" s="33" t="e">
        <f>VLOOKUP(P43,Data!$UW$14:$UX$28,2,FALSE)</f>
        <v>#N/A</v>
      </c>
      <c r="AQ43" s="239" t="e">
        <f>MATCH(E43, Data!$XS$2:$XS$6,0)</f>
        <v>#N/A</v>
      </c>
      <c r="AR43" s="239" t="e">
        <f>MATCH(F43,Data!$XT$1:$YR$1,0)</f>
        <v>#N/A</v>
      </c>
      <c r="AS43" s="239" t="e">
        <f>INDEX(Data!$XT$2:$YR$6,'Cellular Blinds'!AQ43,'Cellular Blinds'!AR43)</f>
        <v>#N/A</v>
      </c>
      <c r="AT43" s="239" t="b">
        <f>IF(D43=Data!$YU$2,Data!$YV$1,IF(D43=Data!$YU$3,Data!$YW$1,IF(D43=Data!$YU$4,Data!$YX$1,IF(D43=Data!$YU$5,Data!$YY$1,IF(D43=Data!$YU$6,Data!$YZ$1,IF(D43=Data!$YU$7,Data!$ZA$1,IF(D43=Data!$YU$8,Data!$ZB$1,IF(D43=Data!$YU$9,Data!$ZC$1,IF(D43=Data!$YU$10,Data!$ZD$1,IF(D43=Data!$YU$11,Data!$ZE$1,IF(D43=Data!$YU$12,Data!$ZE$1,IF(D43=Data!$YU$13,Data!$ZE$1,IF(D43=Data!$YU$14,Data!$ZG$11,IF(D43=Data!$YU$15,Data!$ZF$11))))))))))))))</f>
        <v>0</v>
      </c>
      <c r="AU43" s="239" t="str">
        <f>IF(D43="","",IF(E43=Data!$ZI$2,VLOOKUP(D43,Data!$ZK$2:$ZL$15,2,FALSE),IF(E43=Data!$ZI$1,VLOOKUP(D43,Data!$ZQ$2:$ZR$13,2,FALSE),IF(E43=Data!$ZI$3,VLOOKUP(D43,Data!$ZW$2:$ZX$13,2,FALSE),IF(E43=Data!$ZI$4,VLOOKUP(D43,Data!$AAC$2:$AAD$13,2,FALSE),IF(E43=Data!$ZI$5,VLOOKUP(D43,Data!$AAC$26:$AAD$37,2,FALSE)))))))</f>
        <v/>
      </c>
      <c r="AV43" s="251" t="str">
        <f t="shared" si="12"/>
        <v/>
      </c>
      <c r="AW43" s="251" t="str">
        <f t="shared" si="13"/>
        <v/>
      </c>
      <c r="AX43" s="239" t="str">
        <f t="shared" si="14"/>
        <v/>
      </c>
      <c r="BA43" s="33" t="str">
        <f t="shared" si="15"/>
        <v>FittingBoth</v>
      </c>
      <c r="BN43" s="475" t="str">
        <f t="shared" si="35"/>
        <v>UChannelNA</v>
      </c>
      <c r="BO43" s="475" t="e">
        <f t="shared" si="16"/>
        <v>#N/A</v>
      </c>
      <c r="BP43" s="475" t="str">
        <f t="shared" si="17"/>
        <v>No</v>
      </c>
      <c r="BQ43" s="475" t="str">
        <f t="shared" si="18"/>
        <v>No</v>
      </c>
      <c r="BR43" s="475" t="e">
        <f t="shared" si="36"/>
        <v>#N/A</v>
      </c>
      <c r="BU43" s="172">
        <f t="shared" si="19"/>
        <v>2</v>
      </c>
      <c r="CB43" s="33" t="e">
        <f t="shared" si="37"/>
        <v>#N/A</v>
      </c>
      <c r="CC43" s="172" t="b">
        <f t="shared" si="38"/>
        <v>0</v>
      </c>
      <c r="CD43" s="172">
        <f t="shared" si="39"/>
        <v>0</v>
      </c>
      <c r="CE43" s="172">
        <f t="shared" si="40"/>
        <v>0</v>
      </c>
      <c r="CF43" s="172">
        <f t="shared" si="41"/>
        <v>0</v>
      </c>
      <c r="CG43" s="172">
        <f t="shared" si="42"/>
        <v>0</v>
      </c>
      <c r="CL43" s="239" t="str">
        <f>IF(D43="","",IF(E43=Data!$ZI$2,VLOOKUP(D43,Data!$ZK$2:$ZP$15,3,FALSE),IF(E43=Data!$ZI$1,VLOOKUP(D43,Data!$ZQ$2:$ZS$13,3,FALSE),IF(E43=Data!$ZI$3,VLOOKUP(D43,Data!$ZW$2:$AAB$13,3,FALSE),IF(E43=Data!$ZI$4,VLOOKUP(D43,Data!$AAC$2:$AAI$13,3,FALSE),IF(E43=Data!$ZI$5,VLOOKUP(D43,Data!$AAC$26:$AAI$37,3,FALSE)))))))</f>
        <v/>
      </c>
      <c r="CM43" s="251">
        <f t="shared" si="20"/>
        <v>0</v>
      </c>
      <c r="CN43" s="251" t="e">
        <f t="shared" si="21"/>
        <v>#VALUE!</v>
      </c>
      <c r="CO43" s="239" t="e">
        <f t="shared" si="22"/>
        <v>#VALUE!</v>
      </c>
      <c r="CP43" s="239" t="str">
        <f>IF(D43="","",IF(E43=Data!$ZI$2,VLOOKUP(D43,Data!$ZK$2:$ZN$15,4,FALSE),IF(E43=Data!$ZI$1,VLOOKUP(D43,Data!$ZQ$2:$ZT$13,4,FALSE),IF(E43=Data!$ZI$3,VLOOKUP(D43,Data!$ZW$2:$AAC$13,4,FALSE),IF(E43=Data!$ZI$4,VLOOKUP(D43,Data!$AAC$2:$AAJ$13,4,FALSE),IF(E43=Data!$ZI$5,VLOOKUP(D43,Data!$AAC$26:$AAJ$37,4,FALSE)))))))</f>
        <v/>
      </c>
      <c r="CQ43" s="251">
        <f t="shared" si="23"/>
        <v>0</v>
      </c>
      <c r="CR43" s="251" t="e">
        <f t="shared" si="24"/>
        <v>#VALUE!</v>
      </c>
      <c r="CS43" s="239" t="e">
        <f t="shared" si="25"/>
        <v>#VALUE!</v>
      </c>
      <c r="CT43" s="311">
        <f t="shared" si="26"/>
        <v>0</v>
      </c>
      <c r="CU43" s="239" t="str">
        <f>IF(D43="","",IF(E43=Data!$ZI$2,VLOOKUP(D43,Data!$ZK$2:$ZO$15,5,FALSE),IF(E43=Data!$ZI$1,VLOOKUP(D43,Data!$ZQ$2:$ZU$13,5,FALSE),IF(E43=Data!$ZI$3,VLOOKUP(D43,Data!$ZW$2:$AAD$13,5,FALSE),IF(E43=Data!$ZI$4,VLOOKUP(D43,Data!$AAC$2:$AAK$13,5,FALSE),IF(E43=Data!$ZI$5,VLOOKUP(D43,Data!$AAC$26:$AAK$37,5,FALSE)))))))</f>
        <v/>
      </c>
      <c r="CV43" s="251">
        <f t="shared" si="27"/>
        <v>0</v>
      </c>
      <c r="CW43" s="251" t="e">
        <f t="shared" si="28"/>
        <v>#VALUE!</v>
      </c>
      <c r="CX43" s="239" t="e">
        <f t="shared" si="29"/>
        <v>#VALUE!</v>
      </c>
      <c r="CY43" s="239" t="str">
        <f>IF(D43="","",IF(E43=Data!$ZI$2,VLOOKUP(D43,Data!$ZK$2:$ZP$15,6,FALSE),IF(E43=Data!$ZI$1,VLOOKUP(D43,Data!$ZQ$2:$ZV$13,6,FALSE),IF(E43=Data!$ZI$3,VLOOKUP(D43,Data!$ZW$2:$AAE$13,6,FALSE),IF(E43=Data!$ZI$4,VLOOKUP(D43,Data!$AAC$2:$AAL$13,6,FALSE),IF(E43=Data!$ZI$5,VLOOKUP(D43,Data!$AAC$26:$AAL$37,6,FALSE)))))))</f>
        <v/>
      </c>
      <c r="CZ43" s="251">
        <f t="shared" si="30"/>
        <v>0</v>
      </c>
      <c r="DA43" s="251" t="e">
        <f t="shared" si="31"/>
        <v>#VALUE!</v>
      </c>
      <c r="DB43" s="239" t="e">
        <f t="shared" si="32"/>
        <v>#VALUE!</v>
      </c>
      <c r="DC43" s="311">
        <f t="shared" si="33"/>
        <v>0</v>
      </c>
    </row>
    <row r="44" spans="1:107" ht="30" customHeight="1">
      <c r="A44" s="52">
        <v>37</v>
      </c>
      <c r="B44" s="19"/>
      <c r="C44" s="13"/>
      <c r="D44" s="13"/>
      <c r="E44" s="235"/>
      <c r="F44" s="235"/>
      <c r="G44" s="235"/>
      <c r="H44" s="235"/>
      <c r="I44" s="14"/>
      <c r="J44" s="14"/>
      <c r="K44" s="14"/>
      <c r="L44" s="14"/>
      <c r="M44" s="563"/>
      <c r="N44" s="564"/>
      <c r="O44" s="15"/>
      <c r="P44" s="15"/>
      <c r="Q44" s="15"/>
      <c r="R44" s="15"/>
      <c r="S44" s="15"/>
      <c r="T44" s="13" t="str">
        <f t="shared" si="9"/>
        <v/>
      </c>
      <c r="U44" s="253" t="str">
        <f t="shared" si="10"/>
        <v/>
      </c>
      <c r="V44" s="470"/>
      <c r="W44" s="481" t="b">
        <f t="shared" si="11"/>
        <v>0</v>
      </c>
      <c r="X44" s="230"/>
      <c r="Y44" s="253"/>
      <c r="AA44" s="33" t="str">
        <f>IF(SUM(--ISNUMBER(SEARCH({"Skylight"}, D44))),Data!$AJ$19,Data!$AJ$1)</f>
        <v>WindowType</v>
      </c>
      <c r="AB44" s="33" t="str">
        <f t="shared" si="34"/>
        <v>OK</v>
      </c>
      <c r="AE44" s="239" t="e">
        <f>MATCH(E44, Data!$TB$2:$TB$6,0)</f>
        <v>#N/A</v>
      </c>
      <c r="AF44" s="239" t="e">
        <f>MATCH(F44,Data!$TC$1:$UB$1,0)</f>
        <v>#N/A</v>
      </c>
      <c r="AG44" s="239" t="e">
        <f>INDEX(Data!$TC$2:$UB$6,'Cellular Blinds'!AE44,'Cellular Blinds'!AF44)</f>
        <v>#N/A</v>
      </c>
      <c r="AH44" s="33" t="e">
        <f>VLOOKUP(D44,Data!$RU$2:$RV$15,2,FALSE)</f>
        <v>#N/A</v>
      </c>
      <c r="AI44" s="33" t="b">
        <f>IF(D44=Data!$UT$2,Data!$UU$1,IF(D44=Data!$UT$3,Data!$UV$1,IF(D44=Data!$UT$4,Data!$UW$1,IF(D44=Data!$UT$5,Data!$UX$1,IF(D44=Data!$UT$6,Data!$UY$1,IF(D44=Data!$UT$7,Data!$UZ$1,IF(D44=Data!$UT$8,Data!$VA$1,IF(D44=Data!$UT$9,Data!$VB$1,IF(D44=Data!$UT$10,Data!$VC$1,IF(D44=Data!$UT$11,Data!$VD$1,IF(D44=Data!$UT$12,Data!$VD$22,IF(D44=Data!$UT$13,Data!$VD$22,IF(D44=Data!$UT$14,Data!$UU$13,IF(D44=Data!$UT$15,Data!$UV$13))))))))))))))</f>
        <v>0</v>
      </c>
      <c r="AJ44" s="239" t="e">
        <f>MATCH(D44,Data!$VL$27:$VL$40,0)</f>
        <v>#N/A</v>
      </c>
      <c r="AK44" s="239" t="e">
        <f>MATCH(E44,Data!$VM$26:$VQ$26,0)</f>
        <v>#N/A</v>
      </c>
      <c r="AL44" s="239" t="e">
        <f>INDEX(Data!$VM$27:$VQ$40,'Cellular Blinds'!AJ44,'Cellular Blinds'!AK44)</f>
        <v>#N/A</v>
      </c>
      <c r="AM44" s="239" t="e">
        <f>MATCH(D44, Data!$VL$2:$VL$16,0)</f>
        <v>#N/A</v>
      </c>
      <c r="AN44" s="239" t="e">
        <f>MATCH(E44,Data!$VM$1:$VQ$1,0)</f>
        <v>#N/A</v>
      </c>
      <c r="AO44" s="239" t="e">
        <f>INDEX(Data!$VM$2:$VQ$16,'Cellular Blinds'!AM44,'Cellular Blinds'!AN44)</f>
        <v>#N/A</v>
      </c>
      <c r="AP44" s="33" t="e">
        <f>VLOOKUP(P44,Data!$UW$14:$UX$28,2,FALSE)</f>
        <v>#N/A</v>
      </c>
      <c r="AQ44" s="239" t="e">
        <f>MATCH(E44, Data!$XS$2:$XS$6,0)</f>
        <v>#N/A</v>
      </c>
      <c r="AR44" s="239" t="e">
        <f>MATCH(F44,Data!$XT$1:$YR$1,0)</f>
        <v>#N/A</v>
      </c>
      <c r="AS44" s="239" t="e">
        <f>INDEX(Data!$XT$2:$YR$6,'Cellular Blinds'!AQ44,'Cellular Blinds'!AR44)</f>
        <v>#N/A</v>
      </c>
      <c r="AT44" s="239" t="b">
        <f>IF(D44=Data!$YU$2,Data!$YV$1,IF(D44=Data!$YU$3,Data!$YW$1,IF(D44=Data!$YU$4,Data!$YX$1,IF(D44=Data!$YU$5,Data!$YY$1,IF(D44=Data!$YU$6,Data!$YZ$1,IF(D44=Data!$YU$7,Data!$ZA$1,IF(D44=Data!$YU$8,Data!$ZB$1,IF(D44=Data!$YU$9,Data!$ZC$1,IF(D44=Data!$YU$10,Data!$ZD$1,IF(D44=Data!$YU$11,Data!$ZE$1,IF(D44=Data!$YU$12,Data!$ZE$1,IF(D44=Data!$YU$13,Data!$ZE$1,IF(D44=Data!$YU$14,Data!$ZG$11,IF(D44=Data!$YU$15,Data!$ZF$11))))))))))))))</f>
        <v>0</v>
      </c>
      <c r="AU44" s="239" t="str">
        <f>IF(D44="","",IF(E44=Data!$ZI$2,VLOOKUP(D44,Data!$ZK$2:$ZL$15,2,FALSE),IF(E44=Data!$ZI$1,VLOOKUP(D44,Data!$ZQ$2:$ZR$13,2,FALSE),IF(E44=Data!$ZI$3,VLOOKUP(D44,Data!$ZW$2:$ZX$13,2,FALSE),IF(E44=Data!$ZI$4,VLOOKUP(D44,Data!$AAC$2:$AAD$13,2,FALSE),IF(E44=Data!$ZI$5,VLOOKUP(D44,Data!$AAC$26:$AAD$37,2,FALSE)))))))</f>
        <v/>
      </c>
      <c r="AV44" s="251" t="str">
        <f t="shared" si="12"/>
        <v/>
      </c>
      <c r="AW44" s="251" t="str">
        <f t="shared" si="13"/>
        <v/>
      </c>
      <c r="AX44" s="239" t="str">
        <f t="shared" si="14"/>
        <v/>
      </c>
      <c r="BA44" s="33" t="str">
        <f t="shared" si="15"/>
        <v>FittingBoth</v>
      </c>
      <c r="BN44" s="475" t="str">
        <f t="shared" si="35"/>
        <v>UChannelNA</v>
      </c>
      <c r="BO44" s="475" t="e">
        <f t="shared" si="16"/>
        <v>#N/A</v>
      </c>
      <c r="BP44" s="475" t="str">
        <f t="shared" si="17"/>
        <v>No</v>
      </c>
      <c r="BQ44" s="475" t="str">
        <f t="shared" si="18"/>
        <v>No</v>
      </c>
      <c r="BR44" s="475" t="e">
        <f t="shared" si="36"/>
        <v>#N/A</v>
      </c>
      <c r="BU44" s="172">
        <f t="shared" si="19"/>
        <v>2</v>
      </c>
      <c r="CB44" s="33" t="e">
        <f t="shared" si="37"/>
        <v>#N/A</v>
      </c>
      <c r="CC44" s="172" t="b">
        <f t="shared" si="38"/>
        <v>0</v>
      </c>
      <c r="CD44" s="172">
        <f t="shared" si="39"/>
        <v>0</v>
      </c>
      <c r="CE44" s="172">
        <f t="shared" si="40"/>
        <v>0</v>
      </c>
      <c r="CF44" s="172">
        <f t="shared" si="41"/>
        <v>0</v>
      </c>
      <c r="CG44" s="172">
        <f t="shared" si="42"/>
        <v>0</v>
      </c>
      <c r="CL44" s="239" t="str">
        <f>IF(D44="","",IF(E44=Data!$ZI$2,VLOOKUP(D44,Data!$ZK$2:$ZP$15,3,FALSE),IF(E44=Data!$ZI$1,VLOOKUP(D44,Data!$ZQ$2:$ZS$13,3,FALSE),IF(E44=Data!$ZI$3,VLOOKUP(D44,Data!$ZW$2:$AAB$13,3,FALSE),IF(E44=Data!$ZI$4,VLOOKUP(D44,Data!$AAC$2:$AAI$13,3,FALSE),IF(E44=Data!$ZI$5,VLOOKUP(D44,Data!$AAC$26:$AAI$37,3,FALSE)))))))</f>
        <v/>
      </c>
      <c r="CM44" s="251">
        <f t="shared" si="20"/>
        <v>0</v>
      </c>
      <c r="CN44" s="251" t="e">
        <f t="shared" si="21"/>
        <v>#VALUE!</v>
      </c>
      <c r="CO44" s="239" t="e">
        <f t="shared" si="22"/>
        <v>#VALUE!</v>
      </c>
      <c r="CP44" s="239" t="str">
        <f>IF(D44="","",IF(E44=Data!$ZI$2,VLOOKUP(D44,Data!$ZK$2:$ZN$15,4,FALSE),IF(E44=Data!$ZI$1,VLOOKUP(D44,Data!$ZQ$2:$ZT$13,4,FALSE),IF(E44=Data!$ZI$3,VLOOKUP(D44,Data!$ZW$2:$AAC$13,4,FALSE),IF(E44=Data!$ZI$4,VLOOKUP(D44,Data!$AAC$2:$AAJ$13,4,FALSE),IF(E44=Data!$ZI$5,VLOOKUP(D44,Data!$AAC$26:$AAJ$37,4,FALSE)))))))</f>
        <v/>
      </c>
      <c r="CQ44" s="251">
        <f t="shared" si="23"/>
        <v>0</v>
      </c>
      <c r="CR44" s="251" t="e">
        <f t="shared" si="24"/>
        <v>#VALUE!</v>
      </c>
      <c r="CS44" s="239" t="e">
        <f t="shared" si="25"/>
        <v>#VALUE!</v>
      </c>
      <c r="CT44" s="311">
        <f t="shared" si="26"/>
        <v>0</v>
      </c>
      <c r="CU44" s="239" t="str">
        <f>IF(D44="","",IF(E44=Data!$ZI$2,VLOOKUP(D44,Data!$ZK$2:$ZO$15,5,FALSE),IF(E44=Data!$ZI$1,VLOOKUP(D44,Data!$ZQ$2:$ZU$13,5,FALSE),IF(E44=Data!$ZI$3,VLOOKUP(D44,Data!$ZW$2:$AAD$13,5,FALSE),IF(E44=Data!$ZI$4,VLOOKUP(D44,Data!$AAC$2:$AAK$13,5,FALSE),IF(E44=Data!$ZI$5,VLOOKUP(D44,Data!$AAC$26:$AAK$37,5,FALSE)))))))</f>
        <v/>
      </c>
      <c r="CV44" s="251">
        <f t="shared" si="27"/>
        <v>0</v>
      </c>
      <c r="CW44" s="251" t="e">
        <f t="shared" si="28"/>
        <v>#VALUE!</v>
      </c>
      <c r="CX44" s="239" t="e">
        <f t="shared" si="29"/>
        <v>#VALUE!</v>
      </c>
      <c r="CY44" s="239" t="str">
        <f>IF(D44="","",IF(E44=Data!$ZI$2,VLOOKUP(D44,Data!$ZK$2:$ZP$15,6,FALSE),IF(E44=Data!$ZI$1,VLOOKUP(D44,Data!$ZQ$2:$ZV$13,6,FALSE),IF(E44=Data!$ZI$3,VLOOKUP(D44,Data!$ZW$2:$AAE$13,6,FALSE),IF(E44=Data!$ZI$4,VLOOKUP(D44,Data!$AAC$2:$AAL$13,6,FALSE),IF(E44=Data!$ZI$5,VLOOKUP(D44,Data!$AAC$26:$AAL$37,6,FALSE)))))))</f>
        <v/>
      </c>
      <c r="CZ44" s="251">
        <f t="shared" si="30"/>
        <v>0</v>
      </c>
      <c r="DA44" s="251" t="e">
        <f t="shared" si="31"/>
        <v>#VALUE!</v>
      </c>
      <c r="DB44" s="239" t="e">
        <f t="shared" si="32"/>
        <v>#VALUE!</v>
      </c>
      <c r="DC44" s="311">
        <f t="shared" si="33"/>
        <v>0</v>
      </c>
    </row>
    <row r="45" spans="1:107" ht="30" customHeight="1">
      <c r="A45" s="52">
        <v>38</v>
      </c>
      <c r="B45" s="13"/>
      <c r="C45" s="13"/>
      <c r="D45" s="13"/>
      <c r="E45" s="235"/>
      <c r="F45" s="235"/>
      <c r="G45" s="235"/>
      <c r="H45" s="235"/>
      <c r="I45" s="14"/>
      <c r="J45" s="14"/>
      <c r="K45" s="14"/>
      <c r="L45" s="14"/>
      <c r="M45" s="563"/>
      <c r="N45" s="564"/>
      <c r="O45" s="15"/>
      <c r="P45" s="15"/>
      <c r="Q45" s="15"/>
      <c r="R45" s="15"/>
      <c r="S45" s="15"/>
      <c r="T45" s="13" t="str">
        <f t="shared" si="9"/>
        <v/>
      </c>
      <c r="U45" s="253" t="str">
        <f t="shared" si="10"/>
        <v/>
      </c>
      <c r="V45" s="470"/>
      <c r="W45" s="481" t="b">
        <f t="shared" si="11"/>
        <v>0</v>
      </c>
      <c r="X45" s="230"/>
      <c r="Y45" s="253"/>
      <c r="AA45" s="33" t="str">
        <f>IF(SUM(--ISNUMBER(SEARCH({"Skylight"}, D45))),Data!$AJ$19,Data!$AJ$1)</f>
        <v>WindowType</v>
      </c>
      <c r="AB45" s="33" t="str">
        <f t="shared" si="34"/>
        <v>OK</v>
      </c>
      <c r="AE45" s="239" t="e">
        <f>MATCH(E45, Data!$TB$2:$TB$6,0)</f>
        <v>#N/A</v>
      </c>
      <c r="AF45" s="239" t="e">
        <f>MATCH(F45,Data!$TC$1:$UB$1,0)</f>
        <v>#N/A</v>
      </c>
      <c r="AG45" s="239" t="e">
        <f>INDEX(Data!$TC$2:$UB$6,'Cellular Blinds'!AE45,'Cellular Blinds'!AF45)</f>
        <v>#N/A</v>
      </c>
      <c r="AH45" s="33" t="e">
        <f>VLOOKUP(D45,Data!$RU$2:$RV$15,2,FALSE)</f>
        <v>#N/A</v>
      </c>
      <c r="AI45" s="33" t="b">
        <f>IF(D45=Data!$UT$2,Data!$UU$1,IF(D45=Data!$UT$3,Data!$UV$1,IF(D45=Data!$UT$4,Data!$UW$1,IF(D45=Data!$UT$5,Data!$UX$1,IF(D45=Data!$UT$6,Data!$UY$1,IF(D45=Data!$UT$7,Data!$UZ$1,IF(D45=Data!$UT$8,Data!$VA$1,IF(D45=Data!$UT$9,Data!$VB$1,IF(D45=Data!$UT$10,Data!$VC$1,IF(D45=Data!$UT$11,Data!$VD$1,IF(D45=Data!$UT$12,Data!$VD$22,IF(D45=Data!$UT$13,Data!$VD$22,IF(D45=Data!$UT$14,Data!$UU$13,IF(D45=Data!$UT$15,Data!$UV$13))))))))))))))</f>
        <v>0</v>
      </c>
      <c r="AJ45" s="239" t="e">
        <f>MATCH(D45,Data!$VL$27:$VL$40,0)</f>
        <v>#N/A</v>
      </c>
      <c r="AK45" s="239" t="e">
        <f>MATCH(E45,Data!$VM$26:$VQ$26,0)</f>
        <v>#N/A</v>
      </c>
      <c r="AL45" s="239" t="e">
        <f>INDEX(Data!$VM$27:$VQ$40,'Cellular Blinds'!AJ45,'Cellular Blinds'!AK45)</f>
        <v>#N/A</v>
      </c>
      <c r="AM45" s="239" t="e">
        <f>MATCH(D45, Data!$VL$2:$VL$16,0)</f>
        <v>#N/A</v>
      </c>
      <c r="AN45" s="239" t="e">
        <f>MATCH(E45,Data!$VM$1:$VQ$1,0)</f>
        <v>#N/A</v>
      </c>
      <c r="AO45" s="239" t="e">
        <f>INDEX(Data!$VM$2:$VQ$16,'Cellular Blinds'!AM45,'Cellular Blinds'!AN45)</f>
        <v>#N/A</v>
      </c>
      <c r="AP45" s="33" t="e">
        <f>VLOOKUP(P45,Data!$UW$14:$UX$28,2,FALSE)</f>
        <v>#N/A</v>
      </c>
      <c r="AQ45" s="239" t="e">
        <f>MATCH(E45, Data!$XS$2:$XS$6,0)</f>
        <v>#N/A</v>
      </c>
      <c r="AR45" s="239" t="e">
        <f>MATCH(F45,Data!$XT$1:$YR$1,0)</f>
        <v>#N/A</v>
      </c>
      <c r="AS45" s="239" t="e">
        <f>INDEX(Data!$XT$2:$YR$6,'Cellular Blinds'!AQ45,'Cellular Blinds'!AR45)</f>
        <v>#N/A</v>
      </c>
      <c r="AT45" s="239" t="b">
        <f>IF(D45=Data!$YU$2,Data!$YV$1,IF(D45=Data!$YU$3,Data!$YW$1,IF(D45=Data!$YU$4,Data!$YX$1,IF(D45=Data!$YU$5,Data!$YY$1,IF(D45=Data!$YU$6,Data!$YZ$1,IF(D45=Data!$YU$7,Data!$ZA$1,IF(D45=Data!$YU$8,Data!$ZB$1,IF(D45=Data!$YU$9,Data!$ZC$1,IF(D45=Data!$YU$10,Data!$ZD$1,IF(D45=Data!$YU$11,Data!$ZE$1,IF(D45=Data!$YU$12,Data!$ZE$1,IF(D45=Data!$YU$13,Data!$ZE$1,IF(D45=Data!$YU$14,Data!$ZG$11,IF(D45=Data!$YU$15,Data!$ZF$11))))))))))))))</f>
        <v>0</v>
      </c>
      <c r="AU45" s="239" t="str">
        <f>IF(D45="","",IF(E45=Data!$ZI$2,VLOOKUP(D45,Data!$ZK$2:$ZL$15,2,FALSE),IF(E45=Data!$ZI$1,VLOOKUP(D45,Data!$ZQ$2:$ZR$13,2,FALSE),IF(E45=Data!$ZI$3,VLOOKUP(D45,Data!$ZW$2:$ZX$13,2,FALSE),IF(E45=Data!$ZI$4,VLOOKUP(D45,Data!$AAC$2:$AAD$13,2,FALSE),IF(E45=Data!$ZI$5,VLOOKUP(D45,Data!$AAC$26:$AAD$37,2,FALSE)))))))</f>
        <v/>
      </c>
      <c r="AV45" s="251" t="str">
        <f t="shared" si="12"/>
        <v/>
      </c>
      <c r="AW45" s="251" t="str">
        <f t="shared" si="13"/>
        <v/>
      </c>
      <c r="AX45" s="239" t="str">
        <f t="shared" si="14"/>
        <v/>
      </c>
      <c r="BA45" s="33" t="str">
        <f t="shared" si="15"/>
        <v>FittingBoth</v>
      </c>
      <c r="BN45" s="475" t="str">
        <f t="shared" si="35"/>
        <v>UChannelNA</v>
      </c>
      <c r="BO45" s="475" t="e">
        <f t="shared" si="16"/>
        <v>#N/A</v>
      </c>
      <c r="BP45" s="475" t="str">
        <f t="shared" si="17"/>
        <v>No</v>
      </c>
      <c r="BQ45" s="475" t="str">
        <f t="shared" si="18"/>
        <v>No</v>
      </c>
      <c r="BR45" s="475" t="e">
        <f t="shared" si="36"/>
        <v>#N/A</v>
      </c>
      <c r="BU45" s="172">
        <f t="shared" si="19"/>
        <v>2</v>
      </c>
      <c r="CB45" s="33" t="e">
        <f t="shared" si="37"/>
        <v>#N/A</v>
      </c>
      <c r="CC45" s="172" t="b">
        <f t="shared" si="38"/>
        <v>0</v>
      </c>
      <c r="CD45" s="172">
        <f t="shared" si="39"/>
        <v>0</v>
      </c>
      <c r="CE45" s="172">
        <f t="shared" si="40"/>
        <v>0</v>
      </c>
      <c r="CF45" s="172">
        <f t="shared" si="41"/>
        <v>0</v>
      </c>
      <c r="CG45" s="172">
        <f t="shared" si="42"/>
        <v>0</v>
      </c>
      <c r="CL45" s="239" t="str">
        <f>IF(D45="","",IF(E45=Data!$ZI$2,VLOOKUP(D45,Data!$ZK$2:$ZP$15,3,FALSE),IF(E45=Data!$ZI$1,VLOOKUP(D45,Data!$ZQ$2:$ZS$13,3,FALSE),IF(E45=Data!$ZI$3,VLOOKUP(D45,Data!$ZW$2:$AAB$13,3,FALSE),IF(E45=Data!$ZI$4,VLOOKUP(D45,Data!$AAC$2:$AAI$13,3,FALSE),IF(E45=Data!$ZI$5,VLOOKUP(D45,Data!$AAC$26:$AAI$37,3,FALSE)))))))</f>
        <v/>
      </c>
      <c r="CM45" s="251">
        <f t="shared" si="20"/>
        <v>0</v>
      </c>
      <c r="CN45" s="251" t="e">
        <f t="shared" si="21"/>
        <v>#VALUE!</v>
      </c>
      <c r="CO45" s="239" t="e">
        <f t="shared" si="22"/>
        <v>#VALUE!</v>
      </c>
      <c r="CP45" s="239" t="str">
        <f>IF(D45="","",IF(E45=Data!$ZI$2,VLOOKUP(D45,Data!$ZK$2:$ZN$15,4,FALSE),IF(E45=Data!$ZI$1,VLOOKUP(D45,Data!$ZQ$2:$ZT$13,4,FALSE),IF(E45=Data!$ZI$3,VLOOKUP(D45,Data!$ZW$2:$AAC$13,4,FALSE),IF(E45=Data!$ZI$4,VLOOKUP(D45,Data!$AAC$2:$AAJ$13,4,FALSE),IF(E45=Data!$ZI$5,VLOOKUP(D45,Data!$AAC$26:$AAJ$37,4,FALSE)))))))</f>
        <v/>
      </c>
      <c r="CQ45" s="251">
        <f t="shared" si="23"/>
        <v>0</v>
      </c>
      <c r="CR45" s="251" t="e">
        <f t="shared" si="24"/>
        <v>#VALUE!</v>
      </c>
      <c r="CS45" s="239" t="e">
        <f t="shared" si="25"/>
        <v>#VALUE!</v>
      </c>
      <c r="CT45" s="311">
        <f t="shared" si="26"/>
        <v>0</v>
      </c>
      <c r="CU45" s="239" t="str">
        <f>IF(D45="","",IF(E45=Data!$ZI$2,VLOOKUP(D45,Data!$ZK$2:$ZO$15,5,FALSE),IF(E45=Data!$ZI$1,VLOOKUP(D45,Data!$ZQ$2:$ZU$13,5,FALSE),IF(E45=Data!$ZI$3,VLOOKUP(D45,Data!$ZW$2:$AAD$13,5,FALSE),IF(E45=Data!$ZI$4,VLOOKUP(D45,Data!$AAC$2:$AAK$13,5,FALSE),IF(E45=Data!$ZI$5,VLOOKUP(D45,Data!$AAC$26:$AAK$37,5,FALSE)))))))</f>
        <v/>
      </c>
      <c r="CV45" s="251">
        <f t="shared" si="27"/>
        <v>0</v>
      </c>
      <c r="CW45" s="251" t="e">
        <f t="shared" si="28"/>
        <v>#VALUE!</v>
      </c>
      <c r="CX45" s="239" t="e">
        <f t="shared" si="29"/>
        <v>#VALUE!</v>
      </c>
      <c r="CY45" s="239" t="str">
        <f>IF(D45="","",IF(E45=Data!$ZI$2,VLOOKUP(D45,Data!$ZK$2:$ZP$15,6,FALSE),IF(E45=Data!$ZI$1,VLOOKUP(D45,Data!$ZQ$2:$ZV$13,6,FALSE),IF(E45=Data!$ZI$3,VLOOKUP(D45,Data!$ZW$2:$AAE$13,6,FALSE),IF(E45=Data!$ZI$4,VLOOKUP(D45,Data!$AAC$2:$AAL$13,6,FALSE),IF(E45=Data!$ZI$5,VLOOKUP(D45,Data!$AAC$26:$AAL$37,6,FALSE)))))))</f>
        <v/>
      </c>
      <c r="CZ45" s="251">
        <f t="shared" si="30"/>
        <v>0</v>
      </c>
      <c r="DA45" s="251" t="e">
        <f t="shared" si="31"/>
        <v>#VALUE!</v>
      </c>
      <c r="DB45" s="239" t="e">
        <f t="shared" si="32"/>
        <v>#VALUE!</v>
      </c>
      <c r="DC45" s="311">
        <f t="shared" si="33"/>
        <v>0</v>
      </c>
    </row>
    <row r="46" spans="1:107" ht="30" customHeight="1">
      <c r="A46" s="52">
        <v>39</v>
      </c>
      <c r="B46" s="13"/>
      <c r="C46" s="13"/>
      <c r="D46" s="13"/>
      <c r="E46" s="235"/>
      <c r="F46" s="235"/>
      <c r="G46" s="235"/>
      <c r="H46" s="235"/>
      <c r="I46" s="14"/>
      <c r="J46" s="14"/>
      <c r="K46" s="14"/>
      <c r="L46" s="14"/>
      <c r="M46" s="563"/>
      <c r="N46" s="564"/>
      <c r="O46" s="15"/>
      <c r="P46" s="15"/>
      <c r="Q46" s="15"/>
      <c r="R46" s="15"/>
      <c r="S46" s="15"/>
      <c r="T46" s="13" t="str">
        <f t="shared" si="9"/>
        <v/>
      </c>
      <c r="U46" s="253" t="str">
        <f t="shared" si="10"/>
        <v/>
      </c>
      <c r="V46" s="470"/>
      <c r="W46" s="481" t="b">
        <f t="shared" si="11"/>
        <v>0</v>
      </c>
      <c r="X46" s="230"/>
      <c r="Y46" s="253"/>
      <c r="AA46" s="33" t="str">
        <f>IF(SUM(--ISNUMBER(SEARCH({"Skylight"}, D46))),Data!$AJ$19,Data!$AJ$1)</f>
        <v>WindowType</v>
      </c>
      <c r="AB46" s="33" t="str">
        <f t="shared" si="34"/>
        <v>OK</v>
      </c>
      <c r="AE46" s="239" t="e">
        <f>MATCH(E46, Data!$TB$2:$TB$6,0)</f>
        <v>#N/A</v>
      </c>
      <c r="AF46" s="239" t="e">
        <f>MATCH(F46,Data!$TC$1:$UB$1,0)</f>
        <v>#N/A</v>
      </c>
      <c r="AG46" s="239" t="e">
        <f>INDEX(Data!$TC$2:$UB$6,'Cellular Blinds'!AE46,'Cellular Blinds'!AF46)</f>
        <v>#N/A</v>
      </c>
      <c r="AH46" s="33" t="e">
        <f>VLOOKUP(D46,Data!$RU$2:$RV$15,2,FALSE)</f>
        <v>#N/A</v>
      </c>
      <c r="AI46" s="33" t="b">
        <f>IF(D46=Data!$UT$2,Data!$UU$1,IF(D46=Data!$UT$3,Data!$UV$1,IF(D46=Data!$UT$4,Data!$UW$1,IF(D46=Data!$UT$5,Data!$UX$1,IF(D46=Data!$UT$6,Data!$UY$1,IF(D46=Data!$UT$7,Data!$UZ$1,IF(D46=Data!$UT$8,Data!$VA$1,IF(D46=Data!$UT$9,Data!$VB$1,IF(D46=Data!$UT$10,Data!$VC$1,IF(D46=Data!$UT$11,Data!$VD$1,IF(D46=Data!$UT$12,Data!$VD$22,IF(D46=Data!$UT$13,Data!$VD$22,IF(D46=Data!$UT$14,Data!$UU$13,IF(D46=Data!$UT$15,Data!$UV$13))))))))))))))</f>
        <v>0</v>
      </c>
      <c r="AJ46" s="239" t="e">
        <f>MATCH(D46,Data!$VL$27:$VL$40,0)</f>
        <v>#N/A</v>
      </c>
      <c r="AK46" s="239" t="e">
        <f>MATCH(E46,Data!$VM$26:$VQ$26,0)</f>
        <v>#N/A</v>
      </c>
      <c r="AL46" s="239" t="e">
        <f>INDEX(Data!$VM$27:$VQ$40,'Cellular Blinds'!AJ46,'Cellular Blinds'!AK46)</f>
        <v>#N/A</v>
      </c>
      <c r="AM46" s="239" t="e">
        <f>MATCH(D46, Data!$VL$2:$VL$16,0)</f>
        <v>#N/A</v>
      </c>
      <c r="AN46" s="239" t="e">
        <f>MATCH(E46,Data!$VM$1:$VQ$1,0)</f>
        <v>#N/A</v>
      </c>
      <c r="AO46" s="239" t="e">
        <f>INDEX(Data!$VM$2:$VQ$16,'Cellular Blinds'!AM46,'Cellular Blinds'!AN46)</f>
        <v>#N/A</v>
      </c>
      <c r="AP46" s="33" t="e">
        <f>VLOOKUP(P46,Data!$UW$14:$UX$28,2,FALSE)</f>
        <v>#N/A</v>
      </c>
      <c r="AQ46" s="239" t="e">
        <f>MATCH(E46, Data!$XS$2:$XS$6,0)</f>
        <v>#N/A</v>
      </c>
      <c r="AR46" s="239" t="e">
        <f>MATCH(F46,Data!$XT$1:$YR$1,0)</f>
        <v>#N/A</v>
      </c>
      <c r="AS46" s="239" t="e">
        <f>INDEX(Data!$XT$2:$YR$6,'Cellular Blinds'!AQ46,'Cellular Blinds'!AR46)</f>
        <v>#N/A</v>
      </c>
      <c r="AT46" s="239" t="b">
        <f>IF(D46=Data!$YU$2,Data!$YV$1,IF(D46=Data!$YU$3,Data!$YW$1,IF(D46=Data!$YU$4,Data!$YX$1,IF(D46=Data!$YU$5,Data!$YY$1,IF(D46=Data!$YU$6,Data!$YZ$1,IF(D46=Data!$YU$7,Data!$ZA$1,IF(D46=Data!$YU$8,Data!$ZB$1,IF(D46=Data!$YU$9,Data!$ZC$1,IF(D46=Data!$YU$10,Data!$ZD$1,IF(D46=Data!$YU$11,Data!$ZE$1,IF(D46=Data!$YU$12,Data!$ZE$1,IF(D46=Data!$YU$13,Data!$ZE$1,IF(D46=Data!$YU$14,Data!$ZG$11,IF(D46=Data!$YU$15,Data!$ZF$11))))))))))))))</f>
        <v>0</v>
      </c>
      <c r="AU46" s="239" t="str">
        <f>IF(D46="","",IF(E46=Data!$ZI$2,VLOOKUP(D46,Data!$ZK$2:$ZL$15,2,FALSE),IF(E46=Data!$ZI$1,VLOOKUP(D46,Data!$ZQ$2:$ZR$13,2,FALSE),IF(E46=Data!$ZI$3,VLOOKUP(D46,Data!$ZW$2:$ZX$13,2,FALSE),IF(E46=Data!$ZI$4,VLOOKUP(D46,Data!$AAC$2:$AAD$13,2,FALSE),IF(E46=Data!$ZI$5,VLOOKUP(D46,Data!$AAC$26:$AAD$37,2,FALSE)))))))</f>
        <v/>
      </c>
      <c r="AV46" s="251" t="str">
        <f t="shared" si="12"/>
        <v/>
      </c>
      <c r="AW46" s="251" t="str">
        <f t="shared" si="13"/>
        <v/>
      </c>
      <c r="AX46" s="239" t="str">
        <f t="shared" si="14"/>
        <v/>
      </c>
      <c r="BA46" s="33" t="str">
        <f t="shared" si="15"/>
        <v>FittingBoth</v>
      </c>
      <c r="BN46" s="475" t="str">
        <f t="shared" si="35"/>
        <v>UChannelNA</v>
      </c>
      <c r="BO46" s="475" t="e">
        <f t="shared" si="16"/>
        <v>#N/A</v>
      </c>
      <c r="BP46" s="475" t="str">
        <f t="shared" si="17"/>
        <v>No</v>
      </c>
      <c r="BQ46" s="475" t="str">
        <f t="shared" si="18"/>
        <v>No</v>
      </c>
      <c r="BR46" s="475" t="e">
        <f t="shared" si="36"/>
        <v>#N/A</v>
      </c>
      <c r="BU46" s="172">
        <f t="shared" si="19"/>
        <v>2</v>
      </c>
      <c r="CB46" s="33" t="e">
        <f t="shared" si="37"/>
        <v>#N/A</v>
      </c>
      <c r="CC46" s="172" t="b">
        <f t="shared" si="38"/>
        <v>0</v>
      </c>
      <c r="CD46" s="172">
        <f t="shared" si="39"/>
        <v>0</v>
      </c>
      <c r="CE46" s="172">
        <f t="shared" si="40"/>
        <v>0</v>
      </c>
      <c r="CF46" s="172">
        <f t="shared" si="41"/>
        <v>0</v>
      </c>
      <c r="CG46" s="172">
        <f t="shared" si="42"/>
        <v>0</v>
      </c>
      <c r="CL46" s="239" t="str">
        <f>IF(D46="","",IF(E46=Data!$ZI$2,VLOOKUP(D46,Data!$ZK$2:$ZP$15,3,FALSE),IF(E46=Data!$ZI$1,VLOOKUP(D46,Data!$ZQ$2:$ZS$13,3,FALSE),IF(E46=Data!$ZI$3,VLOOKUP(D46,Data!$ZW$2:$AAB$13,3,FALSE),IF(E46=Data!$ZI$4,VLOOKUP(D46,Data!$AAC$2:$AAI$13,3,FALSE),IF(E46=Data!$ZI$5,VLOOKUP(D46,Data!$AAC$26:$AAI$37,3,FALSE)))))))</f>
        <v/>
      </c>
      <c r="CM46" s="251">
        <f t="shared" si="20"/>
        <v>0</v>
      </c>
      <c r="CN46" s="251" t="e">
        <f t="shared" si="21"/>
        <v>#VALUE!</v>
      </c>
      <c r="CO46" s="239" t="e">
        <f t="shared" si="22"/>
        <v>#VALUE!</v>
      </c>
      <c r="CP46" s="239" t="str">
        <f>IF(D46="","",IF(E46=Data!$ZI$2,VLOOKUP(D46,Data!$ZK$2:$ZN$15,4,FALSE),IF(E46=Data!$ZI$1,VLOOKUP(D46,Data!$ZQ$2:$ZT$13,4,FALSE),IF(E46=Data!$ZI$3,VLOOKUP(D46,Data!$ZW$2:$AAC$13,4,FALSE),IF(E46=Data!$ZI$4,VLOOKUP(D46,Data!$AAC$2:$AAJ$13,4,FALSE),IF(E46=Data!$ZI$5,VLOOKUP(D46,Data!$AAC$26:$AAJ$37,4,FALSE)))))))</f>
        <v/>
      </c>
      <c r="CQ46" s="251">
        <f t="shared" si="23"/>
        <v>0</v>
      </c>
      <c r="CR46" s="251" t="e">
        <f t="shared" si="24"/>
        <v>#VALUE!</v>
      </c>
      <c r="CS46" s="239" t="e">
        <f t="shared" si="25"/>
        <v>#VALUE!</v>
      </c>
      <c r="CT46" s="311">
        <f t="shared" si="26"/>
        <v>0</v>
      </c>
      <c r="CU46" s="239" t="str">
        <f>IF(D46="","",IF(E46=Data!$ZI$2,VLOOKUP(D46,Data!$ZK$2:$ZO$15,5,FALSE),IF(E46=Data!$ZI$1,VLOOKUP(D46,Data!$ZQ$2:$ZU$13,5,FALSE),IF(E46=Data!$ZI$3,VLOOKUP(D46,Data!$ZW$2:$AAD$13,5,FALSE),IF(E46=Data!$ZI$4,VLOOKUP(D46,Data!$AAC$2:$AAK$13,5,FALSE),IF(E46=Data!$ZI$5,VLOOKUP(D46,Data!$AAC$26:$AAK$37,5,FALSE)))))))</f>
        <v/>
      </c>
      <c r="CV46" s="251">
        <f t="shared" si="27"/>
        <v>0</v>
      </c>
      <c r="CW46" s="251" t="e">
        <f t="shared" si="28"/>
        <v>#VALUE!</v>
      </c>
      <c r="CX46" s="239" t="e">
        <f t="shared" si="29"/>
        <v>#VALUE!</v>
      </c>
      <c r="CY46" s="239" t="str">
        <f>IF(D46="","",IF(E46=Data!$ZI$2,VLOOKUP(D46,Data!$ZK$2:$ZP$15,6,FALSE),IF(E46=Data!$ZI$1,VLOOKUP(D46,Data!$ZQ$2:$ZV$13,6,FALSE),IF(E46=Data!$ZI$3,VLOOKUP(D46,Data!$ZW$2:$AAE$13,6,FALSE),IF(E46=Data!$ZI$4,VLOOKUP(D46,Data!$AAC$2:$AAL$13,6,FALSE),IF(E46=Data!$ZI$5,VLOOKUP(D46,Data!$AAC$26:$AAL$37,6,FALSE)))))))</f>
        <v/>
      </c>
      <c r="CZ46" s="251">
        <f t="shared" si="30"/>
        <v>0</v>
      </c>
      <c r="DA46" s="251" t="e">
        <f t="shared" si="31"/>
        <v>#VALUE!</v>
      </c>
      <c r="DB46" s="239" t="e">
        <f t="shared" si="32"/>
        <v>#VALUE!</v>
      </c>
      <c r="DC46" s="311">
        <f t="shared" si="33"/>
        <v>0</v>
      </c>
    </row>
    <row r="47" spans="1:107" ht="30" customHeight="1">
      <c r="A47" s="52">
        <v>40</v>
      </c>
      <c r="B47" s="19"/>
      <c r="C47" s="13"/>
      <c r="D47" s="13"/>
      <c r="E47" s="235"/>
      <c r="F47" s="235"/>
      <c r="G47" s="235"/>
      <c r="H47" s="235"/>
      <c r="I47" s="14"/>
      <c r="J47" s="14"/>
      <c r="K47" s="14"/>
      <c r="L47" s="14"/>
      <c r="M47" s="563"/>
      <c r="N47" s="564"/>
      <c r="O47" s="15"/>
      <c r="P47" s="15"/>
      <c r="Q47" s="15"/>
      <c r="R47" s="15"/>
      <c r="S47" s="15"/>
      <c r="T47" s="13" t="str">
        <f t="shared" si="9"/>
        <v/>
      </c>
      <c r="U47" s="253" t="str">
        <f t="shared" si="10"/>
        <v/>
      </c>
      <c r="V47" s="470"/>
      <c r="W47" s="481" t="b">
        <f t="shared" si="11"/>
        <v>0</v>
      </c>
      <c r="X47" s="230"/>
      <c r="Y47" s="253"/>
      <c r="AA47" s="33" t="str">
        <f>IF(SUM(--ISNUMBER(SEARCH({"Skylight"}, D47))),Data!$AJ$19,Data!$AJ$1)</f>
        <v>WindowType</v>
      </c>
      <c r="AB47" s="33" t="str">
        <f t="shared" si="34"/>
        <v>OK</v>
      </c>
      <c r="AE47" s="239" t="e">
        <f>MATCH(E47, Data!$TB$2:$TB$6,0)</f>
        <v>#N/A</v>
      </c>
      <c r="AF47" s="239" t="e">
        <f>MATCH(F47,Data!$TC$1:$UB$1,0)</f>
        <v>#N/A</v>
      </c>
      <c r="AG47" s="239" t="e">
        <f>INDEX(Data!$TC$2:$UB$6,'Cellular Blinds'!AE47,'Cellular Blinds'!AF47)</f>
        <v>#N/A</v>
      </c>
      <c r="AH47" s="33" t="e">
        <f>VLOOKUP(D47,Data!$RU$2:$RV$15,2,FALSE)</f>
        <v>#N/A</v>
      </c>
      <c r="AI47" s="33" t="b">
        <f>IF(D47=Data!$UT$2,Data!$UU$1,IF(D47=Data!$UT$3,Data!$UV$1,IF(D47=Data!$UT$4,Data!$UW$1,IF(D47=Data!$UT$5,Data!$UX$1,IF(D47=Data!$UT$6,Data!$UY$1,IF(D47=Data!$UT$7,Data!$UZ$1,IF(D47=Data!$UT$8,Data!$VA$1,IF(D47=Data!$UT$9,Data!$VB$1,IF(D47=Data!$UT$10,Data!$VC$1,IF(D47=Data!$UT$11,Data!$VD$1,IF(D47=Data!$UT$12,Data!$VD$22,IF(D47=Data!$UT$13,Data!$VD$22,IF(D47=Data!$UT$14,Data!$UU$13,IF(D47=Data!$UT$15,Data!$UV$13))))))))))))))</f>
        <v>0</v>
      </c>
      <c r="AJ47" s="239" t="e">
        <f>MATCH(D47,Data!$VL$27:$VL$40,0)</f>
        <v>#N/A</v>
      </c>
      <c r="AK47" s="239" t="e">
        <f>MATCH(E47,Data!$VM$26:$VQ$26,0)</f>
        <v>#N/A</v>
      </c>
      <c r="AL47" s="239" t="e">
        <f>INDEX(Data!$VM$27:$VQ$40,'Cellular Blinds'!AJ47,'Cellular Blinds'!AK47)</f>
        <v>#N/A</v>
      </c>
      <c r="AM47" s="239" t="e">
        <f>MATCH(D47, Data!$VL$2:$VL$16,0)</f>
        <v>#N/A</v>
      </c>
      <c r="AN47" s="239" t="e">
        <f>MATCH(E47,Data!$VM$1:$VQ$1,0)</f>
        <v>#N/A</v>
      </c>
      <c r="AO47" s="239" t="e">
        <f>INDEX(Data!$VM$2:$VQ$16,'Cellular Blinds'!AM47,'Cellular Blinds'!AN47)</f>
        <v>#N/A</v>
      </c>
      <c r="AP47" s="33" t="e">
        <f>VLOOKUP(P47,Data!$UW$14:$UX$28,2,FALSE)</f>
        <v>#N/A</v>
      </c>
      <c r="AQ47" s="239" t="e">
        <f>MATCH(E47, Data!$XS$2:$XS$6,0)</f>
        <v>#N/A</v>
      </c>
      <c r="AR47" s="239" t="e">
        <f>MATCH(F47,Data!$XT$1:$YR$1,0)</f>
        <v>#N/A</v>
      </c>
      <c r="AS47" s="239" t="e">
        <f>INDEX(Data!$XT$2:$YR$6,'Cellular Blinds'!AQ47,'Cellular Blinds'!AR47)</f>
        <v>#N/A</v>
      </c>
      <c r="AT47" s="239" t="b">
        <f>IF(D47=Data!$YU$2,Data!$YV$1,IF(D47=Data!$YU$3,Data!$YW$1,IF(D47=Data!$YU$4,Data!$YX$1,IF(D47=Data!$YU$5,Data!$YY$1,IF(D47=Data!$YU$6,Data!$YZ$1,IF(D47=Data!$YU$7,Data!$ZA$1,IF(D47=Data!$YU$8,Data!$ZB$1,IF(D47=Data!$YU$9,Data!$ZC$1,IF(D47=Data!$YU$10,Data!$ZD$1,IF(D47=Data!$YU$11,Data!$ZE$1,IF(D47=Data!$YU$12,Data!$ZE$1,IF(D47=Data!$YU$13,Data!$ZE$1,IF(D47=Data!$YU$14,Data!$ZG$11,IF(D47=Data!$YU$15,Data!$ZF$11))))))))))))))</f>
        <v>0</v>
      </c>
      <c r="AU47" s="239" t="str">
        <f>IF(D47="","",IF(E47=Data!$ZI$2,VLOOKUP(D47,Data!$ZK$2:$ZL$15,2,FALSE),IF(E47=Data!$ZI$1,VLOOKUP(D47,Data!$ZQ$2:$ZR$13,2,FALSE),IF(E47=Data!$ZI$3,VLOOKUP(D47,Data!$ZW$2:$ZX$13,2,FALSE),IF(E47=Data!$ZI$4,VLOOKUP(D47,Data!$AAC$2:$AAD$13,2,FALSE),IF(E47=Data!$ZI$5,VLOOKUP(D47,Data!$AAC$26:$AAD$37,2,FALSE)))))))</f>
        <v/>
      </c>
      <c r="AV47" s="251" t="str">
        <f t="shared" si="12"/>
        <v/>
      </c>
      <c r="AW47" s="251" t="str">
        <f t="shared" si="13"/>
        <v/>
      </c>
      <c r="AX47" s="239" t="str">
        <f t="shared" si="14"/>
        <v/>
      </c>
      <c r="BA47" s="33" t="str">
        <f t="shared" si="15"/>
        <v>FittingBoth</v>
      </c>
      <c r="BN47" s="475" t="str">
        <f t="shared" si="35"/>
        <v>UChannelNA</v>
      </c>
      <c r="BO47" s="475" t="e">
        <f t="shared" si="16"/>
        <v>#N/A</v>
      </c>
      <c r="BP47" s="475" t="str">
        <f t="shared" si="17"/>
        <v>No</v>
      </c>
      <c r="BQ47" s="475" t="str">
        <f t="shared" si="18"/>
        <v>No</v>
      </c>
      <c r="BR47" s="475" t="e">
        <f t="shared" si="36"/>
        <v>#N/A</v>
      </c>
      <c r="BU47" s="172">
        <f t="shared" si="19"/>
        <v>2</v>
      </c>
      <c r="CB47" s="33" t="e">
        <f t="shared" si="37"/>
        <v>#N/A</v>
      </c>
      <c r="CC47" s="172" t="b">
        <f t="shared" si="38"/>
        <v>0</v>
      </c>
      <c r="CD47" s="172">
        <f t="shared" si="39"/>
        <v>0</v>
      </c>
      <c r="CE47" s="172">
        <f t="shared" si="40"/>
        <v>0</v>
      </c>
      <c r="CF47" s="172">
        <f t="shared" si="41"/>
        <v>0</v>
      </c>
      <c r="CG47" s="172">
        <f t="shared" si="42"/>
        <v>0</v>
      </c>
      <c r="CL47" s="239" t="str">
        <f>IF(D47="","",IF(E47=Data!$ZI$2,VLOOKUP(D47,Data!$ZK$2:$ZP$15,3,FALSE),IF(E47=Data!$ZI$1,VLOOKUP(D47,Data!$ZQ$2:$ZS$13,3,FALSE),IF(E47=Data!$ZI$3,VLOOKUP(D47,Data!$ZW$2:$AAB$13,3,FALSE),IF(E47=Data!$ZI$4,VLOOKUP(D47,Data!$AAC$2:$AAI$13,3,FALSE),IF(E47=Data!$ZI$5,VLOOKUP(D47,Data!$AAC$26:$AAI$37,3,FALSE)))))))</f>
        <v/>
      </c>
      <c r="CM47" s="251">
        <f t="shared" si="20"/>
        <v>0</v>
      </c>
      <c r="CN47" s="251" t="e">
        <f t="shared" si="21"/>
        <v>#VALUE!</v>
      </c>
      <c r="CO47" s="239" t="e">
        <f t="shared" si="22"/>
        <v>#VALUE!</v>
      </c>
      <c r="CP47" s="239" t="str">
        <f>IF(D47="","",IF(E47=Data!$ZI$2,VLOOKUP(D47,Data!$ZK$2:$ZN$15,4,FALSE),IF(E47=Data!$ZI$1,VLOOKUP(D47,Data!$ZQ$2:$ZT$13,4,FALSE),IF(E47=Data!$ZI$3,VLOOKUP(D47,Data!$ZW$2:$AAC$13,4,FALSE),IF(E47=Data!$ZI$4,VLOOKUP(D47,Data!$AAC$2:$AAJ$13,4,FALSE),IF(E47=Data!$ZI$5,VLOOKUP(D47,Data!$AAC$26:$AAJ$37,4,FALSE)))))))</f>
        <v/>
      </c>
      <c r="CQ47" s="251">
        <f t="shared" si="23"/>
        <v>0</v>
      </c>
      <c r="CR47" s="251" t="e">
        <f t="shared" si="24"/>
        <v>#VALUE!</v>
      </c>
      <c r="CS47" s="239" t="e">
        <f t="shared" si="25"/>
        <v>#VALUE!</v>
      </c>
      <c r="CT47" s="311">
        <f t="shared" si="26"/>
        <v>0</v>
      </c>
      <c r="CU47" s="239" t="str">
        <f>IF(D47="","",IF(E47=Data!$ZI$2,VLOOKUP(D47,Data!$ZK$2:$ZO$15,5,FALSE),IF(E47=Data!$ZI$1,VLOOKUP(D47,Data!$ZQ$2:$ZU$13,5,FALSE),IF(E47=Data!$ZI$3,VLOOKUP(D47,Data!$ZW$2:$AAD$13,5,FALSE),IF(E47=Data!$ZI$4,VLOOKUP(D47,Data!$AAC$2:$AAK$13,5,FALSE),IF(E47=Data!$ZI$5,VLOOKUP(D47,Data!$AAC$26:$AAK$37,5,FALSE)))))))</f>
        <v/>
      </c>
      <c r="CV47" s="251">
        <f t="shared" si="27"/>
        <v>0</v>
      </c>
      <c r="CW47" s="251" t="e">
        <f t="shared" si="28"/>
        <v>#VALUE!</v>
      </c>
      <c r="CX47" s="239" t="e">
        <f t="shared" si="29"/>
        <v>#VALUE!</v>
      </c>
      <c r="CY47" s="239" t="str">
        <f>IF(D47="","",IF(E47=Data!$ZI$2,VLOOKUP(D47,Data!$ZK$2:$ZP$15,6,FALSE),IF(E47=Data!$ZI$1,VLOOKUP(D47,Data!$ZQ$2:$ZV$13,6,FALSE),IF(E47=Data!$ZI$3,VLOOKUP(D47,Data!$ZW$2:$AAE$13,6,FALSE),IF(E47=Data!$ZI$4,VLOOKUP(D47,Data!$AAC$2:$AAL$13,6,FALSE),IF(E47=Data!$ZI$5,VLOOKUP(D47,Data!$AAC$26:$AAL$37,6,FALSE)))))))</f>
        <v/>
      </c>
      <c r="CZ47" s="251">
        <f t="shared" si="30"/>
        <v>0</v>
      </c>
      <c r="DA47" s="251" t="e">
        <f t="shared" si="31"/>
        <v>#VALUE!</v>
      </c>
      <c r="DB47" s="239" t="e">
        <f t="shared" si="32"/>
        <v>#VALUE!</v>
      </c>
      <c r="DC47" s="311">
        <f t="shared" si="33"/>
        <v>0</v>
      </c>
    </row>
    <row r="48" spans="1:107" ht="30" customHeight="1">
      <c r="A48" s="52">
        <v>41</v>
      </c>
      <c r="B48" s="13"/>
      <c r="C48" s="13"/>
      <c r="D48" s="13"/>
      <c r="E48" s="235"/>
      <c r="F48" s="235"/>
      <c r="G48" s="235"/>
      <c r="H48" s="235"/>
      <c r="I48" s="14"/>
      <c r="J48" s="14"/>
      <c r="K48" s="14"/>
      <c r="L48" s="14"/>
      <c r="M48" s="563"/>
      <c r="N48" s="564"/>
      <c r="O48" s="15"/>
      <c r="P48" s="15"/>
      <c r="Q48" s="15"/>
      <c r="R48" s="15"/>
      <c r="S48" s="15"/>
      <c r="T48" s="13" t="str">
        <f t="shared" si="9"/>
        <v/>
      </c>
      <c r="U48" s="253" t="str">
        <f t="shared" si="10"/>
        <v/>
      </c>
      <c r="V48" s="470"/>
      <c r="W48" s="481" t="b">
        <f t="shared" si="11"/>
        <v>0</v>
      </c>
      <c r="X48" s="230"/>
      <c r="Y48" s="253"/>
      <c r="AA48" s="33" t="str">
        <f>IF(SUM(--ISNUMBER(SEARCH({"Skylight"}, D48))),Data!$AJ$19,Data!$AJ$1)</f>
        <v>WindowType</v>
      </c>
      <c r="AB48" s="33" t="str">
        <f t="shared" si="34"/>
        <v>OK</v>
      </c>
      <c r="AE48" s="239" t="e">
        <f>MATCH(E48, Data!$TB$2:$TB$6,0)</f>
        <v>#N/A</v>
      </c>
      <c r="AF48" s="239" t="e">
        <f>MATCH(F48,Data!$TC$1:$UB$1,0)</f>
        <v>#N/A</v>
      </c>
      <c r="AG48" s="239" t="e">
        <f>INDEX(Data!$TC$2:$UB$6,'Cellular Blinds'!AE48,'Cellular Blinds'!AF48)</f>
        <v>#N/A</v>
      </c>
      <c r="AH48" s="33" t="e">
        <f>VLOOKUP(D48,Data!$RU$2:$RV$15,2,FALSE)</f>
        <v>#N/A</v>
      </c>
      <c r="AI48" s="33" t="b">
        <f>IF(D48=Data!$UT$2,Data!$UU$1,IF(D48=Data!$UT$3,Data!$UV$1,IF(D48=Data!$UT$4,Data!$UW$1,IF(D48=Data!$UT$5,Data!$UX$1,IF(D48=Data!$UT$6,Data!$UY$1,IF(D48=Data!$UT$7,Data!$UZ$1,IF(D48=Data!$UT$8,Data!$VA$1,IF(D48=Data!$UT$9,Data!$VB$1,IF(D48=Data!$UT$10,Data!$VC$1,IF(D48=Data!$UT$11,Data!$VD$1,IF(D48=Data!$UT$12,Data!$VD$22,IF(D48=Data!$UT$13,Data!$VD$22,IF(D48=Data!$UT$14,Data!$UU$13,IF(D48=Data!$UT$15,Data!$UV$13))))))))))))))</f>
        <v>0</v>
      </c>
      <c r="AJ48" s="239" t="e">
        <f>MATCH(D48,Data!$VL$27:$VL$40,0)</f>
        <v>#N/A</v>
      </c>
      <c r="AK48" s="239" t="e">
        <f>MATCH(E48,Data!$VM$26:$VQ$26,0)</f>
        <v>#N/A</v>
      </c>
      <c r="AL48" s="239" t="e">
        <f>INDEX(Data!$VM$27:$VQ$40,'Cellular Blinds'!AJ48,'Cellular Blinds'!AK48)</f>
        <v>#N/A</v>
      </c>
      <c r="AM48" s="239" t="e">
        <f>MATCH(D48, Data!$VL$2:$VL$16,0)</f>
        <v>#N/A</v>
      </c>
      <c r="AN48" s="239" t="e">
        <f>MATCH(E48,Data!$VM$1:$VQ$1,0)</f>
        <v>#N/A</v>
      </c>
      <c r="AO48" s="239" t="e">
        <f>INDEX(Data!$VM$2:$VQ$16,'Cellular Blinds'!AM48,'Cellular Blinds'!AN48)</f>
        <v>#N/A</v>
      </c>
      <c r="AP48" s="33" t="e">
        <f>VLOOKUP(P48,Data!$UW$14:$UX$28,2,FALSE)</f>
        <v>#N/A</v>
      </c>
      <c r="AQ48" s="239" t="e">
        <f>MATCH(E48, Data!$XS$2:$XS$6,0)</f>
        <v>#N/A</v>
      </c>
      <c r="AR48" s="239" t="e">
        <f>MATCH(F48,Data!$XT$1:$YR$1,0)</f>
        <v>#N/A</v>
      </c>
      <c r="AS48" s="239" t="e">
        <f>INDEX(Data!$XT$2:$YR$6,'Cellular Blinds'!AQ48,'Cellular Blinds'!AR48)</f>
        <v>#N/A</v>
      </c>
      <c r="AT48" s="239" t="b">
        <f>IF(D48=Data!$YU$2,Data!$YV$1,IF(D48=Data!$YU$3,Data!$YW$1,IF(D48=Data!$YU$4,Data!$YX$1,IF(D48=Data!$YU$5,Data!$YY$1,IF(D48=Data!$YU$6,Data!$YZ$1,IF(D48=Data!$YU$7,Data!$ZA$1,IF(D48=Data!$YU$8,Data!$ZB$1,IF(D48=Data!$YU$9,Data!$ZC$1,IF(D48=Data!$YU$10,Data!$ZD$1,IF(D48=Data!$YU$11,Data!$ZE$1,IF(D48=Data!$YU$12,Data!$ZE$1,IF(D48=Data!$YU$13,Data!$ZE$1,IF(D48=Data!$YU$14,Data!$ZG$11,IF(D48=Data!$YU$15,Data!$ZF$11))))))))))))))</f>
        <v>0</v>
      </c>
      <c r="AU48" s="239" t="str">
        <f>IF(D48="","",IF(E48=Data!$ZI$2,VLOOKUP(D48,Data!$ZK$2:$ZL$15,2,FALSE),IF(E48=Data!$ZI$1,VLOOKUP(D48,Data!$ZQ$2:$ZR$13,2,FALSE),IF(E48=Data!$ZI$3,VLOOKUP(D48,Data!$ZW$2:$ZX$13,2,FALSE),IF(E48=Data!$ZI$4,VLOOKUP(D48,Data!$AAC$2:$AAD$13,2,FALSE),IF(E48=Data!$ZI$5,VLOOKUP(D48,Data!$AAC$26:$AAD$37,2,FALSE)))))))</f>
        <v/>
      </c>
      <c r="AV48" s="251" t="str">
        <f t="shared" si="12"/>
        <v/>
      </c>
      <c r="AW48" s="251" t="str">
        <f t="shared" si="13"/>
        <v/>
      </c>
      <c r="AX48" s="239" t="str">
        <f t="shared" si="14"/>
        <v/>
      </c>
      <c r="BA48" s="33" t="str">
        <f t="shared" si="15"/>
        <v>FittingBoth</v>
      </c>
      <c r="BN48" s="475" t="str">
        <f t="shared" si="35"/>
        <v>UChannelNA</v>
      </c>
      <c r="BO48" s="475" t="e">
        <f t="shared" si="16"/>
        <v>#N/A</v>
      </c>
      <c r="BP48" s="475" t="str">
        <f t="shared" si="17"/>
        <v>No</v>
      </c>
      <c r="BQ48" s="475" t="str">
        <f t="shared" si="18"/>
        <v>No</v>
      </c>
      <c r="BR48" s="475" t="e">
        <f t="shared" si="36"/>
        <v>#N/A</v>
      </c>
      <c r="BU48" s="172">
        <f t="shared" si="19"/>
        <v>2</v>
      </c>
      <c r="CB48" s="33" t="e">
        <f t="shared" si="37"/>
        <v>#N/A</v>
      </c>
      <c r="CC48" s="172" t="b">
        <f t="shared" si="38"/>
        <v>0</v>
      </c>
      <c r="CD48" s="172">
        <f t="shared" si="39"/>
        <v>0</v>
      </c>
      <c r="CE48" s="172">
        <f t="shared" si="40"/>
        <v>0</v>
      </c>
      <c r="CF48" s="172">
        <f t="shared" si="41"/>
        <v>0</v>
      </c>
      <c r="CG48" s="172">
        <f t="shared" si="42"/>
        <v>0</v>
      </c>
      <c r="CL48" s="239" t="str">
        <f>IF(D48="","",IF(E48=Data!$ZI$2,VLOOKUP(D48,Data!$ZK$2:$ZP$15,3,FALSE),IF(E48=Data!$ZI$1,VLOOKUP(D48,Data!$ZQ$2:$ZS$13,3,FALSE),IF(E48=Data!$ZI$3,VLOOKUP(D48,Data!$ZW$2:$AAB$13,3,FALSE),IF(E48=Data!$ZI$4,VLOOKUP(D48,Data!$AAC$2:$AAI$13,3,FALSE),IF(E48=Data!$ZI$5,VLOOKUP(D48,Data!$AAC$26:$AAI$37,3,FALSE)))))))</f>
        <v/>
      </c>
      <c r="CM48" s="251">
        <f t="shared" si="20"/>
        <v>0</v>
      </c>
      <c r="CN48" s="251" t="e">
        <f t="shared" si="21"/>
        <v>#VALUE!</v>
      </c>
      <c r="CO48" s="239" t="e">
        <f t="shared" si="22"/>
        <v>#VALUE!</v>
      </c>
      <c r="CP48" s="239" t="str">
        <f>IF(D48="","",IF(E48=Data!$ZI$2,VLOOKUP(D48,Data!$ZK$2:$ZN$15,4,FALSE),IF(E48=Data!$ZI$1,VLOOKUP(D48,Data!$ZQ$2:$ZT$13,4,FALSE),IF(E48=Data!$ZI$3,VLOOKUP(D48,Data!$ZW$2:$AAC$13,4,FALSE),IF(E48=Data!$ZI$4,VLOOKUP(D48,Data!$AAC$2:$AAJ$13,4,FALSE),IF(E48=Data!$ZI$5,VLOOKUP(D48,Data!$AAC$26:$AAJ$37,4,FALSE)))))))</f>
        <v/>
      </c>
      <c r="CQ48" s="251">
        <f t="shared" si="23"/>
        <v>0</v>
      </c>
      <c r="CR48" s="251" t="e">
        <f t="shared" si="24"/>
        <v>#VALUE!</v>
      </c>
      <c r="CS48" s="239" t="e">
        <f t="shared" si="25"/>
        <v>#VALUE!</v>
      </c>
      <c r="CT48" s="311">
        <f t="shared" si="26"/>
        <v>0</v>
      </c>
      <c r="CU48" s="239" t="str">
        <f>IF(D48="","",IF(E48=Data!$ZI$2,VLOOKUP(D48,Data!$ZK$2:$ZO$15,5,FALSE),IF(E48=Data!$ZI$1,VLOOKUP(D48,Data!$ZQ$2:$ZU$13,5,FALSE),IF(E48=Data!$ZI$3,VLOOKUP(D48,Data!$ZW$2:$AAD$13,5,FALSE),IF(E48=Data!$ZI$4,VLOOKUP(D48,Data!$AAC$2:$AAK$13,5,FALSE),IF(E48=Data!$ZI$5,VLOOKUP(D48,Data!$AAC$26:$AAK$37,5,FALSE)))))))</f>
        <v/>
      </c>
      <c r="CV48" s="251">
        <f t="shared" si="27"/>
        <v>0</v>
      </c>
      <c r="CW48" s="251" t="e">
        <f t="shared" si="28"/>
        <v>#VALUE!</v>
      </c>
      <c r="CX48" s="239" t="e">
        <f t="shared" si="29"/>
        <v>#VALUE!</v>
      </c>
      <c r="CY48" s="239" t="str">
        <f>IF(D48="","",IF(E48=Data!$ZI$2,VLOOKUP(D48,Data!$ZK$2:$ZP$15,6,FALSE),IF(E48=Data!$ZI$1,VLOOKUP(D48,Data!$ZQ$2:$ZV$13,6,FALSE),IF(E48=Data!$ZI$3,VLOOKUP(D48,Data!$ZW$2:$AAE$13,6,FALSE),IF(E48=Data!$ZI$4,VLOOKUP(D48,Data!$AAC$2:$AAL$13,6,FALSE),IF(E48=Data!$ZI$5,VLOOKUP(D48,Data!$AAC$26:$AAL$37,6,FALSE)))))))</f>
        <v/>
      </c>
      <c r="CZ48" s="251">
        <f t="shared" si="30"/>
        <v>0</v>
      </c>
      <c r="DA48" s="251" t="e">
        <f t="shared" si="31"/>
        <v>#VALUE!</v>
      </c>
      <c r="DB48" s="239" t="e">
        <f t="shared" si="32"/>
        <v>#VALUE!</v>
      </c>
      <c r="DC48" s="311">
        <f t="shared" si="33"/>
        <v>0</v>
      </c>
    </row>
    <row r="49" spans="1:107" ht="30" customHeight="1">
      <c r="A49" s="52">
        <v>42</v>
      </c>
      <c r="B49" s="13"/>
      <c r="C49" s="13"/>
      <c r="D49" s="13"/>
      <c r="E49" s="235"/>
      <c r="F49" s="235"/>
      <c r="G49" s="235"/>
      <c r="H49" s="235"/>
      <c r="I49" s="14"/>
      <c r="J49" s="14"/>
      <c r="K49" s="14"/>
      <c r="L49" s="14"/>
      <c r="M49" s="563"/>
      <c r="N49" s="564"/>
      <c r="O49" s="15"/>
      <c r="P49" s="15"/>
      <c r="Q49" s="15"/>
      <c r="R49" s="15"/>
      <c r="S49" s="15"/>
      <c r="T49" s="13" t="str">
        <f t="shared" si="9"/>
        <v/>
      </c>
      <c r="U49" s="253" t="str">
        <f t="shared" si="10"/>
        <v/>
      </c>
      <c r="V49" s="470"/>
      <c r="W49" s="481" t="b">
        <f t="shared" si="11"/>
        <v>0</v>
      </c>
      <c r="X49" s="230"/>
      <c r="Y49" s="253"/>
      <c r="AA49" s="33" t="str">
        <f>IF(SUM(--ISNUMBER(SEARCH({"Skylight"}, D49))),Data!$AJ$19,Data!$AJ$1)</f>
        <v>WindowType</v>
      </c>
      <c r="AB49" s="33" t="str">
        <f t="shared" si="34"/>
        <v>OK</v>
      </c>
      <c r="AE49" s="239" t="e">
        <f>MATCH(E49, Data!$TB$2:$TB$6,0)</f>
        <v>#N/A</v>
      </c>
      <c r="AF49" s="239" t="e">
        <f>MATCH(F49,Data!$TC$1:$UB$1,0)</f>
        <v>#N/A</v>
      </c>
      <c r="AG49" s="239" t="e">
        <f>INDEX(Data!$TC$2:$UB$6,'Cellular Blinds'!AE49,'Cellular Blinds'!AF49)</f>
        <v>#N/A</v>
      </c>
      <c r="AH49" s="33" t="e">
        <f>VLOOKUP(D49,Data!$RU$2:$RV$15,2,FALSE)</f>
        <v>#N/A</v>
      </c>
      <c r="AI49" s="33" t="b">
        <f>IF(D49=Data!$UT$2,Data!$UU$1,IF(D49=Data!$UT$3,Data!$UV$1,IF(D49=Data!$UT$4,Data!$UW$1,IF(D49=Data!$UT$5,Data!$UX$1,IF(D49=Data!$UT$6,Data!$UY$1,IF(D49=Data!$UT$7,Data!$UZ$1,IF(D49=Data!$UT$8,Data!$VA$1,IF(D49=Data!$UT$9,Data!$VB$1,IF(D49=Data!$UT$10,Data!$VC$1,IF(D49=Data!$UT$11,Data!$VD$1,IF(D49=Data!$UT$12,Data!$VD$22,IF(D49=Data!$UT$13,Data!$VD$22,IF(D49=Data!$UT$14,Data!$UU$13,IF(D49=Data!$UT$15,Data!$UV$13))))))))))))))</f>
        <v>0</v>
      </c>
      <c r="AJ49" s="239" t="e">
        <f>MATCH(D49,Data!$VL$27:$VL$40,0)</f>
        <v>#N/A</v>
      </c>
      <c r="AK49" s="239" t="e">
        <f>MATCH(E49,Data!$VM$26:$VQ$26,0)</f>
        <v>#N/A</v>
      </c>
      <c r="AL49" s="239" t="e">
        <f>INDEX(Data!$VM$27:$VQ$40,'Cellular Blinds'!AJ49,'Cellular Blinds'!AK49)</f>
        <v>#N/A</v>
      </c>
      <c r="AM49" s="239" t="e">
        <f>MATCH(D49, Data!$VL$2:$VL$16,0)</f>
        <v>#N/A</v>
      </c>
      <c r="AN49" s="239" t="e">
        <f>MATCH(E49,Data!$VM$1:$VQ$1,0)</f>
        <v>#N/A</v>
      </c>
      <c r="AO49" s="239" t="e">
        <f>INDEX(Data!$VM$2:$VQ$16,'Cellular Blinds'!AM49,'Cellular Blinds'!AN49)</f>
        <v>#N/A</v>
      </c>
      <c r="AP49" s="33" t="e">
        <f>VLOOKUP(P49,Data!$UW$14:$UX$28,2,FALSE)</f>
        <v>#N/A</v>
      </c>
      <c r="AQ49" s="239" t="e">
        <f>MATCH(E49, Data!$XS$2:$XS$6,0)</f>
        <v>#N/A</v>
      </c>
      <c r="AR49" s="239" t="e">
        <f>MATCH(F49,Data!$XT$1:$YR$1,0)</f>
        <v>#N/A</v>
      </c>
      <c r="AS49" s="239" t="e">
        <f>INDEX(Data!$XT$2:$YR$6,'Cellular Blinds'!AQ49,'Cellular Blinds'!AR49)</f>
        <v>#N/A</v>
      </c>
      <c r="AT49" s="239" t="b">
        <f>IF(D49=Data!$YU$2,Data!$YV$1,IF(D49=Data!$YU$3,Data!$YW$1,IF(D49=Data!$YU$4,Data!$YX$1,IF(D49=Data!$YU$5,Data!$YY$1,IF(D49=Data!$YU$6,Data!$YZ$1,IF(D49=Data!$YU$7,Data!$ZA$1,IF(D49=Data!$YU$8,Data!$ZB$1,IF(D49=Data!$YU$9,Data!$ZC$1,IF(D49=Data!$YU$10,Data!$ZD$1,IF(D49=Data!$YU$11,Data!$ZE$1,IF(D49=Data!$YU$12,Data!$ZE$1,IF(D49=Data!$YU$13,Data!$ZE$1,IF(D49=Data!$YU$14,Data!$ZG$11,IF(D49=Data!$YU$15,Data!$ZF$11))))))))))))))</f>
        <v>0</v>
      </c>
      <c r="AU49" s="239" t="str">
        <f>IF(D49="","",IF(E49=Data!$ZI$2,VLOOKUP(D49,Data!$ZK$2:$ZL$15,2,FALSE),IF(E49=Data!$ZI$1,VLOOKUP(D49,Data!$ZQ$2:$ZR$13,2,FALSE),IF(E49=Data!$ZI$3,VLOOKUP(D49,Data!$ZW$2:$ZX$13,2,FALSE),IF(E49=Data!$ZI$4,VLOOKUP(D49,Data!$AAC$2:$AAD$13,2,FALSE),IF(E49=Data!$ZI$5,VLOOKUP(D49,Data!$AAC$26:$AAD$37,2,FALSE)))))))</f>
        <v/>
      </c>
      <c r="AV49" s="251" t="str">
        <f t="shared" si="12"/>
        <v/>
      </c>
      <c r="AW49" s="251" t="str">
        <f t="shared" si="13"/>
        <v/>
      </c>
      <c r="AX49" s="239" t="str">
        <f t="shared" si="14"/>
        <v/>
      </c>
      <c r="BA49" s="33" t="str">
        <f t="shared" si="15"/>
        <v>FittingBoth</v>
      </c>
      <c r="BN49" s="475" t="str">
        <f t="shared" si="35"/>
        <v>UChannelNA</v>
      </c>
      <c r="BO49" s="475" t="e">
        <f t="shared" si="16"/>
        <v>#N/A</v>
      </c>
      <c r="BP49" s="475" t="str">
        <f t="shared" si="17"/>
        <v>No</v>
      </c>
      <c r="BQ49" s="475" t="str">
        <f t="shared" si="18"/>
        <v>No</v>
      </c>
      <c r="BR49" s="475" t="e">
        <f t="shared" si="36"/>
        <v>#N/A</v>
      </c>
      <c r="BU49" s="172">
        <f t="shared" si="19"/>
        <v>2</v>
      </c>
      <c r="CB49" s="33" t="e">
        <f t="shared" si="37"/>
        <v>#N/A</v>
      </c>
      <c r="CC49" s="172" t="b">
        <f t="shared" si="38"/>
        <v>0</v>
      </c>
      <c r="CD49" s="172">
        <f t="shared" si="39"/>
        <v>0</v>
      </c>
      <c r="CE49" s="172">
        <f t="shared" si="40"/>
        <v>0</v>
      </c>
      <c r="CF49" s="172">
        <f t="shared" si="41"/>
        <v>0</v>
      </c>
      <c r="CG49" s="172">
        <f t="shared" si="42"/>
        <v>0</v>
      </c>
      <c r="CL49" s="239" t="str">
        <f>IF(D49="","",IF(E49=Data!$ZI$2,VLOOKUP(D49,Data!$ZK$2:$ZP$15,3,FALSE),IF(E49=Data!$ZI$1,VLOOKUP(D49,Data!$ZQ$2:$ZS$13,3,FALSE),IF(E49=Data!$ZI$3,VLOOKUP(D49,Data!$ZW$2:$AAB$13,3,FALSE),IF(E49=Data!$ZI$4,VLOOKUP(D49,Data!$AAC$2:$AAI$13,3,FALSE),IF(E49=Data!$ZI$5,VLOOKUP(D49,Data!$AAC$26:$AAI$37,3,FALSE)))))))</f>
        <v/>
      </c>
      <c r="CM49" s="251">
        <f t="shared" si="20"/>
        <v>0</v>
      </c>
      <c r="CN49" s="251" t="e">
        <f t="shared" si="21"/>
        <v>#VALUE!</v>
      </c>
      <c r="CO49" s="239" t="e">
        <f t="shared" si="22"/>
        <v>#VALUE!</v>
      </c>
      <c r="CP49" s="239" t="str">
        <f>IF(D49="","",IF(E49=Data!$ZI$2,VLOOKUP(D49,Data!$ZK$2:$ZN$15,4,FALSE),IF(E49=Data!$ZI$1,VLOOKUP(D49,Data!$ZQ$2:$ZT$13,4,FALSE),IF(E49=Data!$ZI$3,VLOOKUP(D49,Data!$ZW$2:$AAC$13,4,FALSE),IF(E49=Data!$ZI$4,VLOOKUP(D49,Data!$AAC$2:$AAJ$13,4,FALSE),IF(E49=Data!$ZI$5,VLOOKUP(D49,Data!$AAC$26:$AAJ$37,4,FALSE)))))))</f>
        <v/>
      </c>
      <c r="CQ49" s="251">
        <f t="shared" si="23"/>
        <v>0</v>
      </c>
      <c r="CR49" s="251" t="e">
        <f t="shared" si="24"/>
        <v>#VALUE!</v>
      </c>
      <c r="CS49" s="239" t="e">
        <f t="shared" si="25"/>
        <v>#VALUE!</v>
      </c>
      <c r="CT49" s="311">
        <f t="shared" si="26"/>
        <v>0</v>
      </c>
      <c r="CU49" s="239" t="str">
        <f>IF(D49="","",IF(E49=Data!$ZI$2,VLOOKUP(D49,Data!$ZK$2:$ZO$15,5,FALSE),IF(E49=Data!$ZI$1,VLOOKUP(D49,Data!$ZQ$2:$ZU$13,5,FALSE),IF(E49=Data!$ZI$3,VLOOKUP(D49,Data!$ZW$2:$AAD$13,5,FALSE),IF(E49=Data!$ZI$4,VLOOKUP(D49,Data!$AAC$2:$AAK$13,5,FALSE),IF(E49=Data!$ZI$5,VLOOKUP(D49,Data!$AAC$26:$AAK$37,5,FALSE)))))))</f>
        <v/>
      </c>
      <c r="CV49" s="251">
        <f t="shared" si="27"/>
        <v>0</v>
      </c>
      <c r="CW49" s="251" t="e">
        <f t="shared" si="28"/>
        <v>#VALUE!</v>
      </c>
      <c r="CX49" s="239" t="e">
        <f t="shared" si="29"/>
        <v>#VALUE!</v>
      </c>
      <c r="CY49" s="239" t="str">
        <f>IF(D49="","",IF(E49=Data!$ZI$2,VLOOKUP(D49,Data!$ZK$2:$ZP$15,6,FALSE),IF(E49=Data!$ZI$1,VLOOKUP(D49,Data!$ZQ$2:$ZV$13,6,FALSE),IF(E49=Data!$ZI$3,VLOOKUP(D49,Data!$ZW$2:$AAE$13,6,FALSE),IF(E49=Data!$ZI$4,VLOOKUP(D49,Data!$AAC$2:$AAL$13,6,FALSE),IF(E49=Data!$ZI$5,VLOOKUP(D49,Data!$AAC$26:$AAL$37,6,FALSE)))))))</f>
        <v/>
      </c>
      <c r="CZ49" s="251">
        <f t="shared" si="30"/>
        <v>0</v>
      </c>
      <c r="DA49" s="251" t="e">
        <f t="shared" si="31"/>
        <v>#VALUE!</v>
      </c>
      <c r="DB49" s="239" t="e">
        <f t="shared" si="32"/>
        <v>#VALUE!</v>
      </c>
      <c r="DC49" s="311">
        <f t="shared" si="33"/>
        <v>0</v>
      </c>
    </row>
    <row r="50" spans="1:107" ht="30" customHeight="1">
      <c r="A50" s="52">
        <v>43</v>
      </c>
      <c r="B50" s="13"/>
      <c r="C50" s="13"/>
      <c r="D50" s="13"/>
      <c r="E50" s="235"/>
      <c r="F50" s="235"/>
      <c r="G50" s="235"/>
      <c r="H50" s="235"/>
      <c r="I50" s="14"/>
      <c r="J50" s="14"/>
      <c r="K50" s="14"/>
      <c r="L50" s="14"/>
      <c r="M50" s="563"/>
      <c r="N50" s="564"/>
      <c r="O50" s="15"/>
      <c r="P50" s="15"/>
      <c r="Q50" s="15"/>
      <c r="R50" s="15"/>
      <c r="S50" s="15"/>
      <c r="T50" s="13" t="str">
        <f t="shared" si="9"/>
        <v/>
      </c>
      <c r="U50" s="253" t="str">
        <f t="shared" si="10"/>
        <v/>
      </c>
      <c r="V50" s="470"/>
      <c r="W50" s="481" t="b">
        <f t="shared" si="11"/>
        <v>0</v>
      </c>
      <c r="X50" s="230"/>
      <c r="Y50" s="253"/>
      <c r="AA50" s="33" t="str">
        <f>IF(SUM(--ISNUMBER(SEARCH({"Skylight"}, D50))),Data!$AJ$19,Data!$AJ$1)</f>
        <v>WindowType</v>
      </c>
      <c r="AB50" s="33" t="str">
        <f t="shared" si="34"/>
        <v>OK</v>
      </c>
      <c r="AE50" s="239" t="e">
        <f>MATCH(E50, Data!$TB$2:$TB$6,0)</f>
        <v>#N/A</v>
      </c>
      <c r="AF50" s="239" t="e">
        <f>MATCH(F50,Data!$TC$1:$UB$1,0)</f>
        <v>#N/A</v>
      </c>
      <c r="AG50" s="239" t="e">
        <f>INDEX(Data!$TC$2:$UB$6,'Cellular Blinds'!AE50,'Cellular Blinds'!AF50)</f>
        <v>#N/A</v>
      </c>
      <c r="AH50" s="33" t="e">
        <f>VLOOKUP(D50,Data!$RU$2:$RV$15,2,FALSE)</f>
        <v>#N/A</v>
      </c>
      <c r="AI50" s="33" t="b">
        <f>IF(D50=Data!$UT$2,Data!$UU$1,IF(D50=Data!$UT$3,Data!$UV$1,IF(D50=Data!$UT$4,Data!$UW$1,IF(D50=Data!$UT$5,Data!$UX$1,IF(D50=Data!$UT$6,Data!$UY$1,IF(D50=Data!$UT$7,Data!$UZ$1,IF(D50=Data!$UT$8,Data!$VA$1,IF(D50=Data!$UT$9,Data!$VB$1,IF(D50=Data!$UT$10,Data!$VC$1,IF(D50=Data!$UT$11,Data!$VD$1,IF(D50=Data!$UT$12,Data!$VD$22,IF(D50=Data!$UT$13,Data!$VD$22,IF(D50=Data!$UT$14,Data!$UU$13,IF(D50=Data!$UT$15,Data!$UV$13))))))))))))))</f>
        <v>0</v>
      </c>
      <c r="AJ50" s="239" t="e">
        <f>MATCH(D50,Data!$VL$27:$VL$40,0)</f>
        <v>#N/A</v>
      </c>
      <c r="AK50" s="239" t="e">
        <f>MATCH(E50,Data!$VM$26:$VQ$26,0)</f>
        <v>#N/A</v>
      </c>
      <c r="AL50" s="239" t="e">
        <f>INDEX(Data!$VM$27:$VQ$40,'Cellular Blinds'!AJ50,'Cellular Blinds'!AK50)</f>
        <v>#N/A</v>
      </c>
      <c r="AM50" s="239" t="e">
        <f>MATCH(D50, Data!$VL$2:$VL$16,0)</f>
        <v>#N/A</v>
      </c>
      <c r="AN50" s="239" t="e">
        <f>MATCH(E50,Data!$VM$1:$VQ$1,0)</f>
        <v>#N/A</v>
      </c>
      <c r="AO50" s="239" t="e">
        <f>INDEX(Data!$VM$2:$VQ$16,'Cellular Blinds'!AM50,'Cellular Blinds'!AN50)</f>
        <v>#N/A</v>
      </c>
      <c r="AP50" s="33" t="e">
        <f>VLOOKUP(P50,Data!$UW$14:$UX$28,2,FALSE)</f>
        <v>#N/A</v>
      </c>
      <c r="AQ50" s="239" t="e">
        <f>MATCH(E50, Data!$XS$2:$XS$6,0)</f>
        <v>#N/A</v>
      </c>
      <c r="AR50" s="239" t="e">
        <f>MATCH(F50,Data!$XT$1:$YR$1,0)</f>
        <v>#N/A</v>
      </c>
      <c r="AS50" s="239" t="e">
        <f>INDEX(Data!$XT$2:$YR$6,'Cellular Blinds'!AQ50,'Cellular Blinds'!AR50)</f>
        <v>#N/A</v>
      </c>
      <c r="AT50" s="239" t="b">
        <f>IF(D50=Data!$YU$2,Data!$YV$1,IF(D50=Data!$YU$3,Data!$YW$1,IF(D50=Data!$YU$4,Data!$YX$1,IF(D50=Data!$YU$5,Data!$YY$1,IF(D50=Data!$YU$6,Data!$YZ$1,IF(D50=Data!$YU$7,Data!$ZA$1,IF(D50=Data!$YU$8,Data!$ZB$1,IF(D50=Data!$YU$9,Data!$ZC$1,IF(D50=Data!$YU$10,Data!$ZD$1,IF(D50=Data!$YU$11,Data!$ZE$1,IF(D50=Data!$YU$12,Data!$ZE$1,IF(D50=Data!$YU$13,Data!$ZE$1,IF(D50=Data!$YU$14,Data!$ZG$11,IF(D50=Data!$YU$15,Data!$ZF$11))))))))))))))</f>
        <v>0</v>
      </c>
      <c r="AU50" s="239" t="str">
        <f>IF(D50="","",IF(E50=Data!$ZI$2,VLOOKUP(D50,Data!$ZK$2:$ZL$15,2,FALSE),IF(E50=Data!$ZI$1,VLOOKUP(D50,Data!$ZQ$2:$ZR$13,2,FALSE),IF(E50=Data!$ZI$3,VLOOKUP(D50,Data!$ZW$2:$ZX$13,2,FALSE),IF(E50=Data!$ZI$4,VLOOKUP(D50,Data!$AAC$2:$AAD$13,2,FALSE),IF(E50=Data!$ZI$5,VLOOKUP(D50,Data!$AAC$26:$AAD$37,2,FALSE)))))))</f>
        <v/>
      </c>
      <c r="AV50" s="251" t="str">
        <f t="shared" si="12"/>
        <v/>
      </c>
      <c r="AW50" s="251" t="str">
        <f t="shared" si="13"/>
        <v/>
      </c>
      <c r="AX50" s="239" t="str">
        <f t="shared" si="14"/>
        <v/>
      </c>
      <c r="BA50" s="33" t="str">
        <f t="shared" si="15"/>
        <v>FittingBoth</v>
      </c>
      <c r="BN50" s="475" t="str">
        <f t="shared" si="35"/>
        <v>UChannelNA</v>
      </c>
      <c r="BO50" s="475" t="e">
        <f t="shared" si="16"/>
        <v>#N/A</v>
      </c>
      <c r="BP50" s="475" t="str">
        <f t="shared" si="17"/>
        <v>No</v>
      </c>
      <c r="BQ50" s="475" t="str">
        <f t="shared" si="18"/>
        <v>No</v>
      </c>
      <c r="BR50" s="475" t="e">
        <f t="shared" si="36"/>
        <v>#N/A</v>
      </c>
      <c r="BU50" s="172">
        <f t="shared" si="19"/>
        <v>2</v>
      </c>
      <c r="CB50" s="33" t="e">
        <f t="shared" si="37"/>
        <v>#N/A</v>
      </c>
      <c r="CC50" s="172" t="b">
        <f t="shared" si="38"/>
        <v>0</v>
      </c>
      <c r="CD50" s="172">
        <f t="shared" si="39"/>
        <v>0</v>
      </c>
      <c r="CE50" s="172">
        <f t="shared" si="40"/>
        <v>0</v>
      </c>
      <c r="CF50" s="172">
        <f t="shared" si="41"/>
        <v>0</v>
      </c>
      <c r="CG50" s="172">
        <f t="shared" si="42"/>
        <v>0</v>
      </c>
      <c r="CL50" s="239" t="str">
        <f>IF(D50="","",IF(E50=Data!$ZI$2,VLOOKUP(D50,Data!$ZK$2:$ZP$15,3,FALSE),IF(E50=Data!$ZI$1,VLOOKUP(D50,Data!$ZQ$2:$ZS$13,3,FALSE),IF(E50=Data!$ZI$3,VLOOKUP(D50,Data!$ZW$2:$AAB$13,3,FALSE),IF(E50=Data!$ZI$4,VLOOKUP(D50,Data!$AAC$2:$AAI$13,3,FALSE),IF(E50=Data!$ZI$5,VLOOKUP(D50,Data!$AAC$26:$AAI$37,3,FALSE)))))))</f>
        <v/>
      </c>
      <c r="CM50" s="251">
        <f t="shared" si="20"/>
        <v>0</v>
      </c>
      <c r="CN50" s="251" t="e">
        <f t="shared" si="21"/>
        <v>#VALUE!</v>
      </c>
      <c r="CO50" s="239" t="e">
        <f t="shared" si="22"/>
        <v>#VALUE!</v>
      </c>
      <c r="CP50" s="239" t="str">
        <f>IF(D50="","",IF(E50=Data!$ZI$2,VLOOKUP(D50,Data!$ZK$2:$ZN$15,4,FALSE),IF(E50=Data!$ZI$1,VLOOKUP(D50,Data!$ZQ$2:$ZT$13,4,FALSE),IF(E50=Data!$ZI$3,VLOOKUP(D50,Data!$ZW$2:$AAC$13,4,FALSE),IF(E50=Data!$ZI$4,VLOOKUP(D50,Data!$AAC$2:$AAJ$13,4,FALSE),IF(E50=Data!$ZI$5,VLOOKUP(D50,Data!$AAC$26:$AAJ$37,4,FALSE)))))))</f>
        <v/>
      </c>
      <c r="CQ50" s="251">
        <f t="shared" si="23"/>
        <v>0</v>
      </c>
      <c r="CR50" s="251" t="e">
        <f t="shared" si="24"/>
        <v>#VALUE!</v>
      </c>
      <c r="CS50" s="239" t="e">
        <f t="shared" si="25"/>
        <v>#VALUE!</v>
      </c>
      <c r="CT50" s="311">
        <f t="shared" si="26"/>
        <v>0</v>
      </c>
      <c r="CU50" s="239" t="str">
        <f>IF(D50="","",IF(E50=Data!$ZI$2,VLOOKUP(D50,Data!$ZK$2:$ZO$15,5,FALSE),IF(E50=Data!$ZI$1,VLOOKUP(D50,Data!$ZQ$2:$ZU$13,5,FALSE),IF(E50=Data!$ZI$3,VLOOKUP(D50,Data!$ZW$2:$AAD$13,5,FALSE),IF(E50=Data!$ZI$4,VLOOKUP(D50,Data!$AAC$2:$AAK$13,5,FALSE),IF(E50=Data!$ZI$5,VLOOKUP(D50,Data!$AAC$26:$AAK$37,5,FALSE)))))))</f>
        <v/>
      </c>
      <c r="CV50" s="251">
        <f t="shared" si="27"/>
        <v>0</v>
      </c>
      <c r="CW50" s="251" t="e">
        <f t="shared" si="28"/>
        <v>#VALUE!</v>
      </c>
      <c r="CX50" s="239" t="e">
        <f t="shared" si="29"/>
        <v>#VALUE!</v>
      </c>
      <c r="CY50" s="239" t="str">
        <f>IF(D50="","",IF(E50=Data!$ZI$2,VLOOKUP(D50,Data!$ZK$2:$ZP$15,6,FALSE),IF(E50=Data!$ZI$1,VLOOKUP(D50,Data!$ZQ$2:$ZV$13,6,FALSE),IF(E50=Data!$ZI$3,VLOOKUP(D50,Data!$ZW$2:$AAE$13,6,FALSE),IF(E50=Data!$ZI$4,VLOOKUP(D50,Data!$AAC$2:$AAL$13,6,FALSE),IF(E50=Data!$ZI$5,VLOOKUP(D50,Data!$AAC$26:$AAL$37,6,FALSE)))))))</f>
        <v/>
      </c>
      <c r="CZ50" s="251">
        <f t="shared" si="30"/>
        <v>0</v>
      </c>
      <c r="DA50" s="251" t="e">
        <f t="shared" si="31"/>
        <v>#VALUE!</v>
      </c>
      <c r="DB50" s="239" t="e">
        <f t="shared" si="32"/>
        <v>#VALUE!</v>
      </c>
      <c r="DC50" s="311">
        <f t="shared" si="33"/>
        <v>0</v>
      </c>
    </row>
    <row r="51" spans="1:107" ht="30" customHeight="1">
      <c r="A51" s="52">
        <v>44</v>
      </c>
      <c r="B51" s="13"/>
      <c r="C51" s="13"/>
      <c r="D51" s="13"/>
      <c r="E51" s="235"/>
      <c r="F51" s="235"/>
      <c r="G51" s="235"/>
      <c r="H51" s="235"/>
      <c r="I51" s="14"/>
      <c r="J51" s="14"/>
      <c r="K51" s="14"/>
      <c r="L51" s="14"/>
      <c r="M51" s="563"/>
      <c r="N51" s="564"/>
      <c r="O51" s="15"/>
      <c r="P51" s="15"/>
      <c r="Q51" s="15"/>
      <c r="R51" s="15"/>
      <c r="S51" s="15"/>
      <c r="T51" s="13" t="str">
        <f t="shared" si="9"/>
        <v/>
      </c>
      <c r="U51" s="253" t="str">
        <f t="shared" si="10"/>
        <v/>
      </c>
      <c r="V51" s="470"/>
      <c r="W51" s="481" t="b">
        <f t="shared" si="11"/>
        <v>0</v>
      </c>
      <c r="X51" s="230"/>
      <c r="Y51" s="253"/>
      <c r="AA51" s="33" t="str">
        <f>IF(SUM(--ISNUMBER(SEARCH({"Skylight"}, D51))),Data!$AJ$19,Data!$AJ$1)</f>
        <v>WindowType</v>
      </c>
      <c r="AB51" s="33" t="str">
        <f t="shared" si="34"/>
        <v>OK</v>
      </c>
      <c r="AE51" s="239" t="e">
        <f>MATCH(E51, Data!$TB$2:$TB$6,0)</f>
        <v>#N/A</v>
      </c>
      <c r="AF51" s="239" t="e">
        <f>MATCH(F51,Data!$TC$1:$UB$1,0)</f>
        <v>#N/A</v>
      </c>
      <c r="AG51" s="239" t="e">
        <f>INDEX(Data!$TC$2:$UB$6,'Cellular Blinds'!AE51,'Cellular Blinds'!AF51)</f>
        <v>#N/A</v>
      </c>
      <c r="AH51" s="33" t="e">
        <f>VLOOKUP(D51,Data!$RU$2:$RV$15,2,FALSE)</f>
        <v>#N/A</v>
      </c>
      <c r="AI51" s="33" t="b">
        <f>IF(D51=Data!$UT$2,Data!$UU$1,IF(D51=Data!$UT$3,Data!$UV$1,IF(D51=Data!$UT$4,Data!$UW$1,IF(D51=Data!$UT$5,Data!$UX$1,IF(D51=Data!$UT$6,Data!$UY$1,IF(D51=Data!$UT$7,Data!$UZ$1,IF(D51=Data!$UT$8,Data!$VA$1,IF(D51=Data!$UT$9,Data!$VB$1,IF(D51=Data!$UT$10,Data!$VC$1,IF(D51=Data!$UT$11,Data!$VD$1,IF(D51=Data!$UT$12,Data!$VD$22,IF(D51=Data!$UT$13,Data!$VD$22,IF(D51=Data!$UT$14,Data!$UU$13,IF(D51=Data!$UT$15,Data!$UV$13))))))))))))))</f>
        <v>0</v>
      </c>
      <c r="AJ51" s="239" t="e">
        <f>MATCH(D51,Data!$VL$27:$VL$40,0)</f>
        <v>#N/A</v>
      </c>
      <c r="AK51" s="239" t="e">
        <f>MATCH(E51,Data!$VM$26:$VQ$26,0)</f>
        <v>#N/A</v>
      </c>
      <c r="AL51" s="239" t="e">
        <f>INDEX(Data!$VM$27:$VQ$40,'Cellular Blinds'!AJ51,'Cellular Blinds'!AK51)</f>
        <v>#N/A</v>
      </c>
      <c r="AM51" s="239" t="e">
        <f>MATCH(D51, Data!$VL$2:$VL$16,0)</f>
        <v>#N/A</v>
      </c>
      <c r="AN51" s="239" t="e">
        <f>MATCH(E51,Data!$VM$1:$VQ$1,0)</f>
        <v>#N/A</v>
      </c>
      <c r="AO51" s="239" t="e">
        <f>INDEX(Data!$VM$2:$VQ$16,'Cellular Blinds'!AM51,'Cellular Blinds'!AN51)</f>
        <v>#N/A</v>
      </c>
      <c r="AP51" s="33" t="e">
        <f>VLOOKUP(P51,Data!$UW$14:$UX$28,2,FALSE)</f>
        <v>#N/A</v>
      </c>
      <c r="AQ51" s="239" t="e">
        <f>MATCH(E51, Data!$XS$2:$XS$6,0)</f>
        <v>#N/A</v>
      </c>
      <c r="AR51" s="239" t="e">
        <f>MATCH(F51,Data!$XT$1:$YR$1,0)</f>
        <v>#N/A</v>
      </c>
      <c r="AS51" s="239" t="e">
        <f>INDEX(Data!$XT$2:$YR$6,'Cellular Blinds'!AQ51,'Cellular Blinds'!AR51)</f>
        <v>#N/A</v>
      </c>
      <c r="AT51" s="239" t="b">
        <f>IF(D51=Data!$YU$2,Data!$YV$1,IF(D51=Data!$YU$3,Data!$YW$1,IF(D51=Data!$YU$4,Data!$YX$1,IF(D51=Data!$YU$5,Data!$YY$1,IF(D51=Data!$YU$6,Data!$YZ$1,IF(D51=Data!$YU$7,Data!$ZA$1,IF(D51=Data!$YU$8,Data!$ZB$1,IF(D51=Data!$YU$9,Data!$ZC$1,IF(D51=Data!$YU$10,Data!$ZD$1,IF(D51=Data!$YU$11,Data!$ZE$1,IF(D51=Data!$YU$12,Data!$ZE$1,IF(D51=Data!$YU$13,Data!$ZE$1,IF(D51=Data!$YU$14,Data!$ZG$11,IF(D51=Data!$YU$15,Data!$ZF$11))))))))))))))</f>
        <v>0</v>
      </c>
      <c r="AU51" s="239" t="str">
        <f>IF(D51="","",IF(E51=Data!$ZI$2,VLOOKUP(D51,Data!$ZK$2:$ZL$15,2,FALSE),IF(E51=Data!$ZI$1,VLOOKUP(D51,Data!$ZQ$2:$ZR$13,2,FALSE),IF(E51=Data!$ZI$3,VLOOKUP(D51,Data!$ZW$2:$ZX$13,2,FALSE),IF(E51=Data!$ZI$4,VLOOKUP(D51,Data!$AAC$2:$AAD$13,2,FALSE),IF(E51=Data!$ZI$5,VLOOKUP(D51,Data!$AAC$26:$AAD$37,2,FALSE)))))))</f>
        <v/>
      </c>
      <c r="AV51" s="251" t="str">
        <f t="shared" si="12"/>
        <v/>
      </c>
      <c r="AW51" s="251" t="str">
        <f t="shared" si="13"/>
        <v/>
      </c>
      <c r="AX51" s="239" t="str">
        <f t="shared" si="14"/>
        <v/>
      </c>
      <c r="BA51" s="33" t="str">
        <f t="shared" si="15"/>
        <v>FittingBoth</v>
      </c>
      <c r="BN51" s="475" t="str">
        <f t="shared" si="35"/>
        <v>UChannelNA</v>
      </c>
      <c r="BO51" s="475" t="e">
        <f t="shared" si="16"/>
        <v>#N/A</v>
      </c>
      <c r="BP51" s="475" t="str">
        <f t="shared" si="17"/>
        <v>No</v>
      </c>
      <c r="BQ51" s="475" t="str">
        <f t="shared" si="18"/>
        <v>No</v>
      </c>
      <c r="BR51" s="475" t="e">
        <f t="shared" si="36"/>
        <v>#N/A</v>
      </c>
      <c r="BU51" s="172">
        <f t="shared" si="19"/>
        <v>2</v>
      </c>
      <c r="CB51" s="33" t="e">
        <f t="shared" si="37"/>
        <v>#N/A</v>
      </c>
      <c r="CC51" s="172" t="b">
        <f t="shared" si="38"/>
        <v>0</v>
      </c>
      <c r="CD51" s="172">
        <f t="shared" si="39"/>
        <v>0</v>
      </c>
      <c r="CE51" s="172">
        <f t="shared" si="40"/>
        <v>0</v>
      </c>
      <c r="CF51" s="172">
        <f t="shared" si="41"/>
        <v>0</v>
      </c>
      <c r="CG51" s="172">
        <f t="shared" si="42"/>
        <v>0</v>
      </c>
      <c r="CL51" s="239" t="str">
        <f>IF(D51="","",IF(E51=Data!$ZI$2,VLOOKUP(D51,Data!$ZK$2:$ZP$15,3,FALSE),IF(E51=Data!$ZI$1,VLOOKUP(D51,Data!$ZQ$2:$ZS$13,3,FALSE),IF(E51=Data!$ZI$3,VLOOKUP(D51,Data!$ZW$2:$AAB$13,3,FALSE),IF(E51=Data!$ZI$4,VLOOKUP(D51,Data!$AAC$2:$AAI$13,3,FALSE),IF(E51=Data!$ZI$5,VLOOKUP(D51,Data!$AAC$26:$AAI$37,3,FALSE)))))))</f>
        <v/>
      </c>
      <c r="CM51" s="251">
        <f t="shared" si="20"/>
        <v>0</v>
      </c>
      <c r="CN51" s="251" t="e">
        <f t="shared" si="21"/>
        <v>#VALUE!</v>
      </c>
      <c r="CO51" s="239" t="e">
        <f t="shared" si="22"/>
        <v>#VALUE!</v>
      </c>
      <c r="CP51" s="239" t="str">
        <f>IF(D51="","",IF(E51=Data!$ZI$2,VLOOKUP(D51,Data!$ZK$2:$ZN$15,4,FALSE),IF(E51=Data!$ZI$1,VLOOKUP(D51,Data!$ZQ$2:$ZT$13,4,FALSE),IF(E51=Data!$ZI$3,VLOOKUP(D51,Data!$ZW$2:$AAC$13,4,FALSE),IF(E51=Data!$ZI$4,VLOOKUP(D51,Data!$AAC$2:$AAJ$13,4,FALSE),IF(E51=Data!$ZI$5,VLOOKUP(D51,Data!$AAC$26:$AAJ$37,4,FALSE)))))))</f>
        <v/>
      </c>
      <c r="CQ51" s="251">
        <f t="shared" si="23"/>
        <v>0</v>
      </c>
      <c r="CR51" s="251" t="e">
        <f t="shared" si="24"/>
        <v>#VALUE!</v>
      </c>
      <c r="CS51" s="239" t="e">
        <f t="shared" si="25"/>
        <v>#VALUE!</v>
      </c>
      <c r="CT51" s="311">
        <f t="shared" si="26"/>
        <v>0</v>
      </c>
      <c r="CU51" s="239" t="str">
        <f>IF(D51="","",IF(E51=Data!$ZI$2,VLOOKUP(D51,Data!$ZK$2:$ZO$15,5,FALSE),IF(E51=Data!$ZI$1,VLOOKUP(D51,Data!$ZQ$2:$ZU$13,5,FALSE),IF(E51=Data!$ZI$3,VLOOKUP(D51,Data!$ZW$2:$AAD$13,5,FALSE),IF(E51=Data!$ZI$4,VLOOKUP(D51,Data!$AAC$2:$AAK$13,5,FALSE),IF(E51=Data!$ZI$5,VLOOKUP(D51,Data!$AAC$26:$AAK$37,5,FALSE)))))))</f>
        <v/>
      </c>
      <c r="CV51" s="251">
        <f t="shared" si="27"/>
        <v>0</v>
      </c>
      <c r="CW51" s="251" t="e">
        <f t="shared" si="28"/>
        <v>#VALUE!</v>
      </c>
      <c r="CX51" s="239" t="e">
        <f t="shared" si="29"/>
        <v>#VALUE!</v>
      </c>
      <c r="CY51" s="239" t="str">
        <f>IF(D51="","",IF(E51=Data!$ZI$2,VLOOKUP(D51,Data!$ZK$2:$ZP$15,6,FALSE),IF(E51=Data!$ZI$1,VLOOKUP(D51,Data!$ZQ$2:$ZV$13,6,FALSE),IF(E51=Data!$ZI$3,VLOOKUP(D51,Data!$ZW$2:$AAE$13,6,FALSE),IF(E51=Data!$ZI$4,VLOOKUP(D51,Data!$AAC$2:$AAL$13,6,FALSE),IF(E51=Data!$ZI$5,VLOOKUP(D51,Data!$AAC$26:$AAL$37,6,FALSE)))))))</f>
        <v/>
      </c>
      <c r="CZ51" s="251">
        <f t="shared" si="30"/>
        <v>0</v>
      </c>
      <c r="DA51" s="251" t="e">
        <f t="shared" si="31"/>
        <v>#VALUE!</v>
      </c>
      <c r="DB51" s="239" t="e">
        <f t="shared" si="32"/>
        <v>#VALUE!</v>
      </c>
      <c r="DC51" s="311">
        <f t="shared" si="33"/>
        <v>0</v>
      </c>
    </row>
    <row r="52" spans="1:107" ht="30" customHeight="1">
      <c r="A52" s="52">
        <v>45</v>
      </c>
      <c r="B52" s="13"/>
      <c r="C52" s="13"/>
      <c r="D52" s="13"/>
      <c r="E52" s="235"/>
      <c r="F52" s="235"/>
      <c r="G52" s="235"/>
      <c r="H52" s="235"/>
      <c r="I52" s="14"/>
      <c r="J52" s="14"/>
      <c r="K52" s="14"/>
      <c r="L52" s="14"/>
      <c r="M52" s="563"/>
      <c r="N52" s="564"/>
      <c r="O52" s="15"/>
      <c r="P52" s="15"/>
      <c r="Q52" s="15"/>
      <c r="R52" s="15"/>
      <c r="S52" s="15"/>
      <c r="T52" s="13" t="str">
        <f t="shared" si="9"/>
        <v/>
      </c>
      <c r="U52" s="253" t="str">
        <f t="shared" si="10"/>
        <v/>
      </c>
      <c r="V52" s="470"/>
      <c r="W52" s="481" t="b">
        <f t="shared" si="11"/>
        <v>0</v>
      </c>
      <c r="X52" s="230"/>
      <c r="Y52" s="253"/>
      <c r="AA52" s="33" t="str">
        <f>IF(SUM(--ISNUMBER(SEARCH({"Skylight"}, D52))),Data!$AJ$19,Data!$AJ$1)</f>
        <v>WindowType</v>
      </c>
      <c r="AB52" s="33" t="str">
        <f t="shared" si="34"/>
        <v>OK</v>
      </c>
      <c r="AE52" s="239" t="e">
        <f>MATCH(E52, Data!$TB$2:$TB$6,0)</f>
        <v>#N/A</v>
      </c>
      <c r="AF52" s="239" t="e">
        <f>MATCH(F52,Data!$TC$1:$UB$1,0)</f>
        <v>#N/A</v>
      </c>
      <c r="AG52" s="239" t="e">
        <f>INDEX(Data!$TC$2:$UB$6,'Cellular Blinds'!AE52,'Cellular Blinds'!AF52)</f>
        <v>#N/A</v>
      </c>
      <c r="AH52" s="33" t="e">
        <f>VLOOKUP(D52,Data!$RU$2:$RV$15,2,FALSE)</f>
        <v>#N/A</v>
      </c>
      <c r="AI52" s="33" t="b">
        <f>IF(D52=Data!$UT$2,Data!$UU$1,IF(D52=Data!$UT$3,Data!$UV$1,IF(D52=Data!$UT$4,Data!$UW$1,IF(D52=Data!$UT$5,Data!$UX$1,IF(D52=Data!$UT$6,Data!$UY$1,IF(D52=Data!$UT$7,Data!$UZ$1,IF(D52=Data!$UT$8,Data!$VA$1,IF(D52=Data!$UT$9,Data!$VB$1,IF(D52=Data!$UT$10,Data!$VC$1,IF(D52=Data!$UT$11,Data!$VD$1,IF(D52=Data!$UT$12,Data!$VD$22,IF(D52=Data!$UT$13,Data!$VD$22,IF(D52=Data!$UT$14,Data!$UU$13,IF(D52=Data!$UT$15,Data!$UV$13))))))))))))))</f>
        <v>0</v>
      </c>
      <c r="AJ52" s="239" t="e">
        <f>MATCH(D52,Data!$VL$27:$VL$40,0)</f>
        <v>#N/A</v>
      </c>
      <c r="AK52" s="239" t="e">
        <f>MATCH(E52,Data!$VM$26:$VQ$26,0)</f>
        <v>#N/A</v>
      </c>
      <c r="AL52" s="239" t="e">
        <f>INDEX(Data!$VM$27:$VQ$40,'Cellular Blinds'!AJ52,'Cellular Blinds'!AK52)</f>
        <v>#N/A</v>
      </c>
      <c r="AM52" s="239" t="e">
        <f>MATCH(D52, Data!$VL$2:$VL$16,0)</f>
        <v>#N/A</v>
      </c>
      <c r="AN52" s="239" t="e">
        <f>MATCH(E52,Data!$VM$1:$VQ$1,0)</f>
        <v>#N/A</v>
      </c>
      <c r="AO52" s="239" t="e">
        <f>INDEX(Data!$VM$2:$VQ$16,'Cellular Blinds'!AM52,'Cellular Blinds'!AN52)</f>
        <v>#N/A</v>
      </c>
      <c r="AP52" s="33" t="e">
        <f>VLOOKUP(P52,Data!$UW$14:$UX$28,2,FALSE)</f>
        <v>#N/A</v>
      </c>
      <c r="AQ52" s="239" t="e">
        <f>MATCH(E52, Data!$XS$2:$XS$6,0)</f>
        <v>#N/A</v>
      </c>
      <c r="AR52" s="239" t="e">
        <f>MATCH(F52,Data!$XT$1:$YR$1,0)</f>
        <v>#N/A</v>
      </c>
      <c r="AS52" s="239" t="e">
        <f>INDEX(Data!$XT$2:$YR$6,'Cellular Blinds'!AQ52,'Cellular Blinds'!AR52)</f>
        <v>#N/A</v>
      </c>
      <c r="AT52" s="239" t="b">
        <f>IF(D52=Data!$YU$2,Data!$YV$1,IF(D52=Data!$YU$3,Data!$YW$1,IF(D52=Data!$YU$4,Data!$YX$1,IF(D52=Data!$YU$5,Data!$YY$1,IF(D52=Data!$YU$6,Data!$YZ$1,IF(D52=Data!$YU$7,Data!$ZA$1,IF(D52=Data!$YU$8,Data!$ZB$1,IF(D52=Data!$YU$9,Data!$ZC$1,IF(D52=Data!$YU$10,Data!$ZD$1,IF(D52=Data!$YU$11,Data!$ZE$1,IF(D52=Data!$YU$12,Data!$ZE$1,IF(D52=Data!$YU$13,Data!$ZE$1,IF(D52=Data!$YU$14,Data!$ZG$11,IF(D52=Data!$YU$15,Data!$ZF$11))))))))))))))</f>
        <v>0</v>
      </c>
      <c r="AU52" s="239" t="str">
        <f>IF(D52="","",IF(E52=Data!$ZI$2,VLOOKUP(D52,Data!$ZK$2:$ZL$15,2,FALSE),IF(E52=Data!$ZI$1,VLOOKUP(D52,Data!$ZQ$2:$ZR$13,2,FALSE),IF(E52=Data!$ZI$3,VLOOKUP(D52,Data!$ZW$2:$ZX$13,2,FALSE),IF(E52=Data!$ZI$4,VLOOKUP(D52,Data!$AAC$2:$AAD$13,2,FALSE),IF(E52=Data!$ZI$5,VLOOKUP(D52,Data!$AAC$26:$AAD$37,2,FALSE)))))))</f>
        <v/>
      </c>
      <c r="AV52" s="251" t="str">
        <f t="shared" si="12"/>
        <v/>
      </c>
      <c r="AW52" s="251" t="str">
        <f t="shared" si="13"/>
        <v/>
      </c>
      <c r="AX52" s="239" t="str">
        <f t="shared" si="14"/>
        <v/>
      </c>
      <c r="BA52" s="33" t="str">
        <f t="shared" si="15"/>
        <v>FittingBoth</v>
      </c>
      <c r="BN52" s="475" t="str">
        <f t="shared" si="35"/>
        <v>UChannelNA</v>
      </c>
      <c r="BO52" s="475" t="e">
        <f t="shared" si="16"/>
        <v>#N/A</v>
      </c>
      <c r="BP52" s="475" t="str">
        <f t="shared" si="17"/>
        <v>No</v>
      </c>
      <c r="BQ52" s="475" t="str">
        <f t="shared" si="18"/>
        <v>No</v>
      </c>
      <c r="BR52" s="475" t="e">
        <f t="shared" si="36"/>
        <v>#N/A</v>
      </c>
      <c r="BU52" s="172">
        <f t="shared" si="19"/>
        <v>2</v>
      </c>
      <c r="CB52" s="33" t="e">
        <f t="shared" si="37"/>
        <v>#N/A</v>
      </c>
      <c r="CC52" s="172" t="b">
        <f t="shared" si="38"/>
        <v>0</v>
      </c>
      <c r="CD52" s="172">
        <f t="shared" si="39"/>
        <v>0</v>
      </c>
      <c r="CE52" s="172">
        <f t="shared" si="40"/>
        <v>0</v>
      </c>
      <c r="CF52" s="172">
        <f t="shared" si="41"/>
        <v>0</v>
      </c>
      <c r="CG52" s="172">
        <f t="shared" si="42"/>
        <v>0</v>
      </c>
      <c r="CL52" s="239" t="str">
        <f>IF(D52="","",IF(E52=Data!$ZI$2,VLOOKUP(D52,Data!$ZK$2:$ZP$15,3,FALSE),IF(E52=Data!$ZI$1,VLOOKUP(D52,Data!$ZQ$2:$ZS$13,3,FALSE),IF(E52=Data!$ZI$3,VLOOKUP(D52,Data!$ZW$2:$AAB$13,3,FALSE),IF(E52=Data!$ZI$4,VLOOKUP(D52,Data!$AAC$2:$AAI$13,3,FALSE),IF(E52=Data!$ZI$5,VLOOKUP(D52,Data!$AAC$26:$AAI$37,3,FALSE)))))))</f>
        <v/>
      </c>
      <c r="CM52" s="251">
        <f t="shared" si="20"/>
        <v>0</v>
      </c>
      <c r="CN52" s="251" t="e">
        <f t="shared" si="21"/>
        <v>#VALUE!</v>
      </c>
      <c r="CO52" s="239" t="e">
        <f t="shared" si="22"/>
        <v>#VALUE!</v>
      </c>
      <c r="CP52" s="239" t="str">
        <f>IF(D52="","",IF(E52=Data!$ZI$2,VLOOKUP(D52,Data!$ZK$2:$ZN$15,4,FALSE),IF(E52=Data!$ZI$1,VLOOKUP(D52,Data!$ZQ$2:$ZT$13,4,FALSE),IF(E52=Data!$ZI$3,VLOOKUP(D52,Data!$ZW$2:$AAC$13,4,FALSE),IF(E52=Data!$ZI$4,VLOOKUP(D52,Data!$AAC$2:$AAJ$13,4,FALSE),IF(E52=Data!$ZI$5,VLOOKUP(D52,Data!$AAC$26:$AAJ$37,4,FALSE)))))))</f>
        <v/>
      </c>
      <c r="CQ52" s="251">
        <f t="shared" si="23"/>
        <v>0</v>
      </c>
      <c r="CR52" s="251" t="e">
        <f t="shared" si="24"/>
        <v>#VALUE!</v>
      </c>
      <c r="CS52" s="239" t="e">
        <f t="shared" si="25"/>
        <v>#VALUE!</v>
      </c>
      <c r="CT52" s="311">
        <f t="shared" si="26"/>
        <v>0</v>
      </c>
      <c r="CU52" s="239" t="str">
        <f>IF(D52="","",IF(E52=Data!$ZI$2,VLOOKUP(D52,Data!$ZK$2:$ZO$15,5,FALSE),IF(E52=Data!$ZI$1,VLOOKUP(D52,Data!$ZQ$2:$ZU$13,5,FALSE),IF(E52=Data!$ZI$3,VLOOKUP(D52,Data!$ZW$2:$AAD$13,5,FALSE),IF(E52=Data!$ZI$4,VLOOKUP(D52,Data!$AAC$2:$AAK$13,5,FALSE),IF(E52=Data!$ZI$5,VLOOKUP(D52,Data!$AAC$26:$AAK$37,5,FALSE)))))))</f>
        <v/>
      </c>
      <c r="CV52" s="251">
        <f t="shared" si="27"/>
        <v>0</v>
      </c>
      <c r="CW52" s="251" t="e">
        <f t="shared" si="28"/>
        <v>#VALUE!</v>
      </c>
      <c r="CX52" s="239" t="e">
        <f t="shared" si="29"/>
        <v>#VALUE!</v>
      </c>
      <c r="CY52" s="239" t="str">
        <f>IF(D52="","",IF(E52=Data!$ZI$2,VLOOKUP(D52,Data!$ZK$2:$ZP$15,6,FALSE),IF(E52=Data!$ZI$1,VLOOKUP(D52,Data!$ZQ$2:$ZV$13,6,FALSE),IF(E52=Data!$ZI$3,VLOOKUP(D52,Data!$ZW$2:$AAE$13,6,FALSE),IF(E52=Data!$ZI$4,VLOOKUP(D52,Data!$AAC$2:$AAL$13,6,FALSE),IF(E52=Data!$ZI$5,VLOOKUP(D52,Data!$AAC$26:$AAL$37,6,FALSE)))))))</f>
        <v/>
      </c>
      <c r="CZ52" s="251">
        <f t="shared" si="30"/>
        <v>0</v>
      </c>
      <c r="DA52" s="251" t="e">
        <f t="shared" si="31"/>
        <v>#VALUE!</v>
      </c>
      <c r="DB52" s="239" t="e">
        <f t="shared" si="32"/>
        <v>#VALUE!</v>
      </c>
      <c r="DC52" s="311">
        <f t="shared" si="33"/>
        <v>0</v>
      </c>
    </row>
    <row r="53" spans="1:107" ht="30" customHeight="1">
      <c r="A53" s="52">
        <v>46</v>
      </c>
      <c r="B53" s="19"/>
      <c r="C53" s="13"/>
      <c r="D53" s="13"/>
      <c r="E53" s="235"/>
      <c r="F53" s="235"/>
      <c r="G53" s="235"/>
      <c r="H53" s="235"/>
      <c r="I53" s="14"/>
      <c r="J53" s="14"/>
      <c r="K53" s="14"/>
      <c r="L53" s="14"/>
      <c r="M53" s="563"/>
      <c r="N53" s="564"/>
      <c r="O53" s="15"/>
      <c r="P53" s="15"/>
      <c r="Q53" s="15"/>
      <c r="R53" s="15"/>
      <c r="S53" s="15"/>
      <c r="T53" s="13" t="str">
        <f t="shared" si="9"/>
        <v/>
      </c>
      <c r="U53" s="253" t="str">
        <f t="shared" si="10"/>
        <v/>
      </c>
      <c r="V53" s="470"/>
      <c r="W53" s="481" t="b">
        <f t="shared" si="11"/>
        <v>0</v>
      </c>
      <c r="X53" s="230"/>
      <c r="Y53" s="253"/>
      <c r="AA53" s="33" t="str">
        <f>IF(SUM(--ISNUMBER(SEARCH({"Skylight"}, D53))),Data!$AJ$19,Data!$AJ$1)</f>
        <v>WindowType</v>
      </c>
      <c r="AB53" s="33" t="str">
        <f t="shared" si="34"/>
        <v>OK</v>
      </c>
      <c r="AE53" s="239" t="e">
        <f>MATCH(E53, Data!$TB$2:$TB$6,0)</f>
        <v>#N/A</v>
      </c>
      <c r="AF53" s="239" t="e">
        <f>MATCH(F53,Data!$TC$1:$UB$1,0)</f>
        <v>#N/A</v>
      </c>
      <c r="AG53" s="239" t="e">
        <f>INDEX(Data!$TC$2:$UB$6,'Cellular Blinds'!AE53,'Cellular Blinds'!AF53)</f>
        <v>#N/A</v>
      </c>
      <c r="AH53" s="33" t="e">
        <f>VLOOKUP(D53,Data!$RU$2:$RV$15,2,FALSE)</f>
        <v>#N/A</v>
      </c>
      <c r="AI53" s="33" t="b">
        <f>IF(D53=Data!$UT$2,Data!$UU$1,IF(D53=Data!$UT$3,Data!$UV$1,IF(D53=Data!$UT$4,Data!$UW$1,IF(D53=Data!$UT$5,Data!$UX$1,IF(D53=Data!$UT$6,Data!$UY$1,IF(D53=Data!$UT$7,Data!$UZ$1,IF(D53=Data!$UT$8,Data!$VA$1,IF(D53=Data!$UT$9,Data!$VB$1,IF(D53=Data!$UT$10,Data!$VC$1,IF(D53=Data!$UT$11,Data!$VD$1,IF(D53=Data!$UT$12,Data!$VD$22,IF(D53=Data!$UT$13,Data!$VD$22,IF(D53=Data!$UT$14,Data!$UU$13,IF(D53=Data!$UT$15,Data!$UV$13))))))))))))))</f>
        <v>0</v>
      </c>
      <c r="AJ53" s="239" t="e">
        <f>MATCH(D53,Data!$VL$27:$VL$40,0)</f>
        <v>#N/A</v>
      </c>
      <c r="AK53" s="239" t="e">
        <f>MATCH(E53,Data!$VM$26:$VQ$26,0)</f>
        <v>#N/A</v>
      </c>
      <c r="AL53" s="239" t="e">
        <f>INDEX(Data!$VM$27:$VQ$40,'Cellular Blinds'!AJ53,'Cellular Blinds'!AK53)</f>
        <v>#N/A</v>
      </c>
      <c r="AM53" s="239" t="e">
        <f>MATCH(D53, Data!$VL$2:$VL$16,0)</f>
        <v>#N/A</v>
      </c>
      <c r="AN53" s="239" t="e">
        <f>MATCH(E53,Data!$VM$1:$VQ$1,0)</f>
        <v>#N/A</v>
      </c>
      <c r="AO53" s="239" t="e">
        <f>INDEX(Data!$VM$2:$VQ$16,'Cellular Blinds'!AM53,'Cellular Blinds'!AN53)</f>
        <v>#N/A</v>
      </c>
      <c r="AP53" s="33" t="e">
        <f>VLOOKUP(P53,Data!$UW$14:$UX$28,2,FALSE)</f>
        <v>#N/A</v>
      </c>
      <c r="AQ53" s="239" t="e">
        <f>MATCH(E53, Data!$XS$2:$XS$6,0)</f>
        <v>#N/A</v>
      </c>
      <c r="AR53" s="239" t="e">
        <f>MATCH(F53,Data!$XT$1:$YR$1,0)</f>
        <v>#N/A</v>
      </c>
      <c r="AS53" s="239" t="e">
        <f>INDEX(Data!$XT$2:$YR$6,'Cellular Blinds'!AQ53,'Cellular Blinds'!AR53)</f>
        <v>#N/A</v>
      </c>
      <c r="AT53" s="239" t="b">
        <f>IF(D53=Data!$YU$2,Data!$YV$1,IF(D53=Data!$YU$3,Data!$YW$1,IF(D53=Data!$YU$4,Data!$YX$1,IF(D53=Data!$YU$5,Data!$YY$1,IF(D53=Data!$YU$6,Data!$YZ$1,IF(D53=Data!$YU$7,Data!$ZA$1,IF(D53=Data!$YU$8,Data!$ZB$1,IF(D53=Data!$YU$9,Data!$ZC$1,IF(D53=Data!$YU$10,Data!$ZD$1,IF(D53=Data!$YU$11,Data!$ZE$1,IF(D53=Data!$YU$12,Data!$ZE$1,IF(D53=Data!$YU$13,Data!$ZE$1,IF(D53=Data!$YU$14,Data!$ZG$11,IF(D53=Data!$YU$15,Data!$ZF$11))))))))))))))</f>
        <v>0</v>
      </c>
      <c r="AU53" s="239" t="str">
        <f>IF(D53="","",IF(E53=Data!$ZI$2,VLOOKUP(D53,Data!$ZK$2:$ZL$15,2,FALSE),IF(E53=Data!$ZI$1,VLOOKUP(D53,Data!$ZQ$2:$ZR$13,2,FALSE),IF(E53=Data!$ZI$3,VLOOKUP(D53,Data!$ZW$2:$ZX$13,2,FALSE),IF(E53=Data!$ZI$4,VLOOKUP(D53,Data!$AAC$2:$AAD$13,2,FALSE),IF(E53=Data!$ZI$5,VLOOKUP(D53,Data!$AAC$26:$AAD$37,2,FALSE)))))))</f>
        <v/>
      </c>
      <c r="AV53" s="251" t="str">
        <f t="shared" si="12"/>
        <v/>
      </c>
      <c r="AW53" s="251" t="str">
        <f t="shared" si="13"/>
        <v/>
      </c>
      <c r="AX53" s="239" t="str">
        <f t="shared" si="14"/>
        <v/>
      </c>
      <c r="BA53" s="33" t="str">
        <f t="shared" si="15"/>
        <v>FittingBoth</v>
      </c>
      <c r="BN53" s="475" t="str">
        <f t="shared" si="35"/>
        <v>UChannelNA</v>
      </c>
      <c r="BO53" s="475" t="e">
        <f t="shared" si="16"/>
        <v>#N/A</v>
      </c>
      <c r="BP53" s="475" t="str">
        <f t="shared" si="17"/>
        <v>No</v>
      </c>
      <c r="BQ53" s="475" t="str">
        <f t="shared" si="18"/>
        <v>No</v>
      </c>
      <c r="BR53" s="475" t="e">
        <f t="shared" si="36"/>
        <v>#N/A</v>
      </c>
      <c r="BU53" s="172">
        <f t="shared" si="19"/>
        <v>2</v>
      </c>
      <c r="CB53" s="33" t="e">
        <f t="shared" si="37"/>
        <v>#N/A</v>
      </c>
      <c r="CC53" s="172" t="b">
        <f t="shared" si="38"/>
        <v>0</v>
      </c>
      <c r="CD53" s="172">
        <f t="shared" si="39"/>
        <v>0</v>
      </c>
      <c r="CE53" s="172">
        <f t="shared" si="40"/>
        <v>0</v>
      </c>
      <c r="CF53" s="172">
        <f t="shared" si="41"/>
        <v>0</v>
      </c>
      <c r="CG53" s="172">
        <f t="shared" si="42"/>
        <v>0</v>
      </c>
      <c r="CL53" s="239" t="str">
        <f>IF(D53="","",IF(E53=Data!$ZI$2,VLOOKUP(D53,Data!$ZK$2:$ZP$15,3,FALSE),IF(E53=Data!$ZI$1,VLOOKUP(D53,Data!$ZQ$2:$ZS$13,3,FALSE),IF(E53=Data!$ZI$3,VLOOKUP(D53,Data!$ZW$2:$AAB$13,3,FALSE),IF(E53=Data!$ZI$4,VLOOKUP(D53,Data!$AAC$2:$AAI$13,3,FALSE),IF(E53=Data!$ZI$5,VLOOKUP(D53,Data!$AAC$26:$AAI$37,3,FALSE)))))))</f>
        <v/>
      </c>
      <c r="CM53" s="251">
        <f t="shared" si="20"/>
        <v>0</v>
      </c>
      <c r="CN53" s="251" t="e">
        <f t="shared" si="21"/>
        <v>#VALUE!</v>
      </c>
      <c r="CO53" s="239" t="e">
        <f t="shared" si="22"/>
        <v>#VALUE!</v>
      </c>
      <c r="CP53" s="239" t="str">
        <f>IF(D53="","",IF(E53=Data!$ZI$2,VLOOKUP(D53,Data!$ZK$2:$ZN$15,4,FALSE),IF(E53=Data!$ZI$1,VLOOKUP(D53,Data!$ZQ$2:$ZT$13,4,FALSE),IF(E53=Data!$ZI$3,VLOOKUP(D53,Data!$ZW$2:$AAC$13,4,FALSE),IF(E53=Data!$ZI$4,VLOOKUP(D53,Data!$AAC$2:$AAJ$13,4,FALSE),IF(E53=Data!$ZI$5,VLOOKUP(D53,Data!$AAC$26:$AAJ$37,4,FALSE)))))))</f>
        <v/>
      </c>
      <c r="CQ53" s="251">
        <f t="shared" si="23"/>
        <v>0</v>
      </c>
      <c r="CR53" s="251" t="e">
        <f t="shared" si="24"/>
        <v>#VALUE!</v>
      </c>
      <c r="CS53" s="239" t="e">
        <f t="shared" si="25"/>
        <v>#VALUE!</v>
      </c>
      <c r="CT53" s="311">
        <f t="shared" si="26"/>
        <v>0</v>
      </c>
      <c r="CU53" s="239" t="str">
        <f>IF(D53="","",IF(E53=Data!$ZI$2,VLOOKUP(D53,Data!$ZK$2:$ZO$15,5,FALSE),IF(E53=Data!$ZI$1,VLOOKUP(D53,Data!$ZQ$2:$ZU$13,5,FALSE),IF(E53=Data!$ZI$3,VLOOKUP(D53,Data!$ZW$2:$AAD$13,5,FALSE),IF(E53=Data!$ZI$4,VLOOKUP(D53,Data!$AAC$2:$AAK$13,5,FALSE),IF(E53=Data!$ZI$5,VLOOKUP(D53,Data!$AAC$26:$AAK$37,5,FALSE)))))))</f>
        <v/>
      </c>
      <c r="CV53" s="251">
        <f t="shared" si="27"/>
        <v>0</v>
      </c>
      <c r="CW53" s="251" t="e">
        <f t="shared" si="28"/>
        <v>#VALUE!</v>
      </c>
      <c r="CX53" s="239" t="e">
        <f t="shared" si="29"/>
        <v>#VALUE!</v>
      </c>
      <c r="CY53" s="239" t="str">
        <f>IF(D53="","",IF(E53=Data!$ZI$2,VLOOKUP(D53,Data!$ZK$2:$ZP$15,6,FALSE),IF(E53=Data!$ZI$1,VLOOKUP(D53,Data!$ZQ$2:$ZV$13,6,FALSE),IF(E53=Data!$ZI$3,VLOOKUP(D53,Data!$ZW$2:$AAE$13,6,FALSE),IF(E53=Data!$ZI$4,VLOOKUP(D53,Data!$AAC$2:$AAL$13,6,FALSE),IF(E53=Data!$ZI$5,VLOOKUP(D53,Data!$AAC$26:$AAL$37,6,FALSE)))))))</f>
        <v/>
      </c>
      <c r="CZ53" s="251">
        <f t="shared" si="30"/>
        <v>0</v>
      </c>
      <c r="DA53" s="251" t="e">
        <f t="shared" si="31"/>
        <v>#VALUE!</v>
      </c>
      <c r="DB53" s="239" t="e">
        <f t="shared" si="32"/>
        <v>#VALUE!</v>
      </c>
      <c r="DC53" s="311">
        <f t="shared" si="33"/>
        <v>0</v>
      </c>
    </row>
    <row r="54" spans="1:107" ht="30" customHeight="1">
      <c r="A54" s="52">
        <v>47</v>
      </c>
      <c r="B54" s="13"/>
      <c r="C54" s="13"/>
      <c r="D54" s="13"/>
      <c r="E54" s="235"/>
      <c r="F54" s="235"/>
      <c r="G54" s="235"/>
      <c r="H54" s="235"/>
      <c r="I54" s="14"/>
      <c r="J54" s="14"/>
      <c r="K54" s="14"/>
      <c r="L54" s="14"/>
      <c r="M54" s="563"/>
      <c r="N54" s="564"/>
      <c r="O54" s="15"/>
      <c r="P54" s="15"/>
      <c r="Q54" s="15"/>
      <c r="R54" s="15"/>
      <c r="S54" s="15"/>
      <c r="T54" s="13" t="str">
        <f t="shared" si="9"/>
        <v/>
      </c>
      <c r="U54" s="253" t="str">
        <f t="shared" si="10"/>
        <v/>
      </c>
      <c r="V54" s="470"/>
      <c r="W54" s="481" t="b">
        <f t="shared" si="11"/>
        <v>0</v>
      </c>
      <c r="X54" s="230"/>
      <c r="Y54" s="253"/>
      <c r="AA54" s="33" t="str">
        <f>IF(SUM(--ISNUMBER(SEARCH({"Skylight"}, D54))),Data!$AJ$19,Data!$AJ$1)</f>
        <v>WindowType</v>
      </c>
      <c r="AB54" s="33" t="str">
        <f t="shared" si="34"/>
        <v>OK</v>
      </c>
      <c r="AE54" s="239" t="e">
        <f>MATCH(E54, Data!$TB$2:$TB$6,0)</f>
        <v>#N/A</v>
      </c>
      <c r="AF54" s="239" t="e">
        <f>MATCH(F54,Data!$TC$1:$UB$1,0)</f>
        <v>#N/A</v>
      </c>
      <c r="AG54" s="239" t="e">
        <f>INDEX(Data!$TC$2:$UB$6,'Cellular Blinds'!AE54,'Cellular Blinds'!AF54)</f>
        <v>#N/A</v>
      </c>
      <c r="AH54" s="33" t="e">
        <f>VLOOKUP(D54,Data!$RU$2:$RV$15,2,FALSE)</f>
        <v>#N/A</v>
      </c>
      <c r="AI54" s="33" t="b">
        <f>IF(D54=Data!$UT$2,Data!$UU$1,IF(D54=Data!$UT$3,Data!$UV$1,IF(D54=Data!$UT$4,Data!$UW$1,IF(D54=Data!$UT$5,Data!$UX$1,IF(D54=Data!$UT$6,Data!$UY$1,IF(D54=Data!$UT$7,Data!$UZ$1,IF(D54=Data!$UT$8,Data!$VA$1,IF(D54=Data!$UT$9,Data!$VB$1,IF(D54=Data!$UT$10,Data!$VC$1,IF(D54=Data!$UT$11,Data!$VD$1,IF(D54=Data!$UT$12,Data!$VD$22,IF(D54=Data!$UT$13,Data!$VD$22,IF(D54=Data!$UT$14,Data!$UU$13,IF(D54=Data!$UT$15,Data!$UV$13))))))))))))))</f>
        <v>0</v>
      </c>
      <c r="AJ54" s="239" t="e">
        <f>MATCH(D54,Data!$VL$27:$VL$40,0)</f>
        <v>#N/A</v>
      </c>
      <c r="AK54" s="239" t="e">
        <f>MATCH(E54,Data!$VM$26:$VQ$26,0)</f>
        <v>#N/A</v>
      </c>
      <c r="AL54" s="239" t="e">
        <f>INDEX(Data!$VM$27:$VQ$40,'Cellular Blinds'!AJ54,'Cellular Blinds'!AK54)</f>
        <v>#N/A</v>
      </c>
      <c r="AM54" s="239" t="e">
        <f>MATCH(D54, Data!$VL$2:$VL$16,0)</f>
        <v>#N/A</v>
      </c>
      <c r="AN54" s="239" t="e">
        <f>MATCH(E54,Data!$VM$1:$VQ$1,0)</f>
        <v>#N/A</v>
      </c>
      <c r="AO54" s="239" t="e">
        <f>INDEX(Data!$VM$2:$VQ$16,'Cellular Blinds'!AM54,'Cellular Blinds'!AN54)</f>
        <v>#N/A</v>
      </c>
      <c r="AP54" s="33" t="e">
        <f>VLOOKUP(P54,Data!$UW$14:$UX$28,2,FALSE)</f>
        <v>#N/A</v>
      </c>
      <c r="AQ54" s="239" t="e">
        <f>MATCH(E54, Data!$XS$2:$XS$6,0)</f>
        <v>#N/A</v>
      </c>
      <c r="AR54" s="239" t="e">
        <f>MATCH(F54,Data!$XT$1:$YR$1,0)</f>
        <v>#N/A</v>
      </c>
      <c r="AS54" s="239" t="e">
        <f>INDEX(Data!$XT$2:$YR$6,'Cellular Blinds'!AQ54,'Cellular Blinds'!AR54)</f>
        <v>#N/A</v>
      </c>
      <c r="AT54" s="239" t="b">
        <f>IF(D54=Data!$YU$2,Data!$YV$1,IF(D54=Data!$YU$3,Data!$YW$1,IF(D54=Data!$YU$4,Data!$YX$1,IF(D54=Data!$YU$5,Data!$YY$1,IF(D54=Data!$YU$6,Data!$YZ$1,IF(D54=Data!$YU$7,Data!$ZA$1,IF(D54=Data!$YU$8,Data!$ZB$1,IF(D54=Data!$YU$9,Data!$ZC$1,IF(D54=Data!$YU$10,Data!$ZD$1,IF(D54=Data!$YU$11,Data!$ZE$1,IF(D54=Data!$YU$12,Data!$ZE$1,IF(D54=Data!$YU$13,Data!$ZE$1,IF(D54=Data!$YU$14,Data!$ZG$11,IF(D54=Data!$YU$15,Data!$ZF$11))))))))))))))</f>
        <v>0</v>
      </c>
      <c r="AU54" s="239" t="str">
        <f>IF(D54="","",IF(E54=Data!$ZI$2,VLOOKUP(D54,Data!$ZK$2:$ZL$15,2,FALSE),IF(E54=Data!$ZI$1,VLOOKUP(D54,Data!$ZQ$2:$ZR$13,2,FALSE),IF(E54=Data!$ZI$3,VLOOKUP(D54,Data!$ZW$2:$ZX$13,2,FALSE),IF(E54=Data!$ZI$4,VLOOKUP(D54,Data!$AAC$2:$AAD$13,2,FALSE),IF(E54=Data!$ZI$5,VLOOKUP(D54,Data!$AAC$26:$AAD$37,2,FALSE)))))))</f>
        <v/>
      </c>
      <c r="AV54" s="251" t="str">
        <f t="shared" si="12"/>
        <v/>
      </c>
      <c r="AW54" s="251" t="str">
        <f t="shared" si="13"/>
        <v/>
      </c>
      <c r="AX54" s="239" t="str">
        <f t="shared" si="14"/>
        <v/>
      </c>
      <c r="BA54" s="33" t="str">
        <f t="shared" si="15"/>
        <v>FittingBoth</v>
      </c>
      <c r="BN54" s="475" t="str">
        <f t="shared" si="35"/>
        <v>UChannelNA</v>
      </c>
      <c r="BO54" s="475" t="e">
        <f t="shared" si="16"/>
        <v>#N/A</v>
      </c>
      <c r="BP54" s="475" t="str">
        <f t="shared" si="17"/>
        <v>No</v>
      </c>
      <c r="BQ54" s="475" t="str">
        <f t="shared" si="18"/>
        <v>No</v>
      </c>
      <c r="BR54" s="475" t="e">
        <f t="shared" si="36"/>
        <v>#N/A</v>
      </c>
      <c r="BU54" s="172">
        <f t="shared" si="19"/>
        <v>2</v>
      </c>
      <c r="CB54" s="33" t="e">
        <f t="shared" si="37"/>
        <v>#N/A</v>
      </c>
      <c r="CC54" s="172" t="b">
        <f t="shared" si="38"/>
        <v>0</v>
      </c>
      <c r="CD54" s="172">
        <f t="shared" si="39"/>
        <v>0</v>
      </c>
      <c r="CE54" s="172">
        <f t="shared" si="40"/>
        <v>0</v>
      </c>
      <c r="CF54" s="172">
        <f t="shared" si="41"/>
        <v>0</v>
      </c>
      <c r="CG54" s="172">
        <f t="shared" si="42"/>
        <v>0</v>
      </c>
      <c r="CL54" s="239" t="str">
        <f>IF(D54="","",IF(E54=Data!$ZI$2,VLOOKUP(D54,Data!$ZK$2:$ZP$15,3,FALSE),IF(E54=Data!$ZI$1,VLOOKUP(D54,Data!$ZQ$2:$ZS$13,3,FALSE),IF(E54=Data!$ZI$3,VLOOKUP(D54,Data!$ZW$2:$AAB$13,3,FALSE),IF(E54=Data!$ZI$4,VLOOKUP(D54,Data!$AAC$2:$AAI$13,3,FALSE),IF(E54=Data!$ZI$5,VLOOKUP(D54,Data!$AAC$26:$AAI$37,3,FALSE)))))))</f>
        <v/>
      </c>
      <c r="CM54" s="251">
        <f t="shared" si="20"/>
        <v>0</v>
      </c>
      <c r="CN54" s="251" t="e">
        <f t="shared" si="21"/>
        <v>#VALUE!</v>
      </c>
      <c r="CO54" s="239" t="e">
        <f t="shared" si="22"/>
        <v>#VALUE!</v>
      </c>
      <c r="CP54" s="239" t="str">
        <f>IF(D54="","",IF(E54=Data!$ZI$2,VLOOKUP(D54,Data!$ZK$2:$ZN$15,4,FALSE),IF(E54=Data!$ZI$1,VLOOKUP(D54,Data!$ZQ$2:$ZT$13,4,FALSE),IF(E54=Data!$ZI$3,VLOOKUP(D54,Data!$ZW$2:$AAC$13,4,FALSE),IF(E54=Data!$ZI$4,VLOOKUP(D54,Data!$AAC$2:$AAJ$13,4,FALSE),IF(E54=Data!$ZI$5,VLOOKUP(D54,Data!$AAC$26:$AAJ$37,4,FALSE)))))))</f>
        <v/>
      </c>
      <c r="CQ54" s="251">
        <f t="shared" si="23"/>
        <v>0</v>
      </c>
      <c r="CR54" s="251" t="e">
        <f t="shared" si="24"/>
        <v>#VALUE!</v>
      </c>
      <c r="CS54" s="239" t="e">
        <f t="shared" si="25"/>
        <v>#VALUE!</v>
      </c>
      <c r="CT54" s="311">
        <f t="shared" si="26"/>
        <v>0</v>
      </c>
      <c r="CU54" s="239" t="str">
        <f>IF(D54="","",IF(E54=Data!$ZI$2,VLOOKUP(D54,Data!$ZK$2:$ZO$15,5,FALSE),IF(E54=Data!$ZI$1,VLOOKUP(D54,Data!$ZQ$2:$ZU$13,5,FALSE),IF(E54=Data!$ZI$3,VLOOKUP(D54,Data!$ZW$2:$AAD$13,5,FALSE),IF(E54=Data!$ZI$4,VLOOKUP(D54,Data!$AAC$2:$AAK$13,5,FALSE),IF(E54=Data!$ZI$5,VLOOKUP(D54,Data!$AAC$26:$AAK$37,5,FALSE)))))))</f>
        <v/>
      </c>
      <c r="CV54" s="251">
        <f t="shared" si="27"/>
        <v>0</v>
      </c>
      <c r="CW54" s="251" t="e">
        <f t="shared" si="28"/>
        <v>#VALUE!</v>
      </c>
      <c r="CX54" s="239" t="e">
        <f t="shared" si="29"/>
        <v>#VALUE!</v>
      </c>
      <c r="CY54" s="239" t="str">
        <f>IF(D54="","",IF(E54=Data!$ZI$2,VLOOKUP(D54,Data!$ZK$2:$ZP$15,6,FALSE),IF(E54=Data!$ZI$1,VLOOKUP(D54,Data!$ZQ$2:$ZV$13,6,FALSE),IF(E54=Data!$ZI$3,VLOOKUP(D54,Data!$ZW$2:$AAE$13,6,FALSE),IF(E54=Data!$ZI$4,VLOOKUP(D54,Data!$AAC$2:$AAL$13,6,FALSE),IF(E54=Data!$ZI$5,VLOOKUP(D54,Data!$AAC$26:$AAL$37,6,FALSE)))))))</f>
        <v/>
      </c>
      <c r="CZ54" s="251">
        <f t="shared" si="30"/>
        <v>0</v>
      </c>
      <c r="DA54" s="251" t="e">
        <f t="shared" si="31"/>
        <v>#VALUE!</v>
      </c>
      <c r="DB54" s="239" t="e">
        <f t="shared" si="32"/>
        <v>#VALUE!</v>
      </c>
      <c r="DC54" s="311">
        <f t="shared" si="33"/>
        <v>0</v>
      </c>
    </row>
    <row r="55" spans="1:107" ht="30" customHeight="1">
      <c r="A55" s="52">
        <v>48</v>
      </c>
      <c r="B55" s="13"/>
      <c r="C55" s="13"/>
      <c r="D55" s="13"/>
      <c r="E55" s="235"/>
      <c r="F55" s="235"/>
      <c r="G55" s="235"/>
      <c r="H55" s="235"/>
      <c r="I55" s="14"/>
      <c r="J55" s="14"/>
      <c r="K55" s="14"/>
      <c r="L55" s="14"/>
      <c r="M55" s="563"/>
      <c r="N55" s="564"/>
      <c r="O55" s="15"/>
      <c r="P55" s="15"/>
      <c r="Q55" s="15"/>
      <c r="R55" s="15"/>
      <c r="S55" s="15"/>
      <c r="T55" s="13" t="str">
        <f t="shared" si="9"/>
        <v/>
      </c>
      <c r="U55" s="253" t="str">
        <f t="shared" si="10"/>
        <v/>
      </c>
      <c r="V55" s="470"/>
      <c r="W55" s="481" t="b">
        <f t="shared" si="11"/>
        <v>0</v>
      </c>
      <c r="X55" s="230"/>
      <c r="Y55" s="253"/>
      <c r="AA55" s="33" t="str">
        <f>IF(SUM(--ISNUMBER(SEARCH({"Skylight"}, D55))),Data!$AJ$19,Data!$AJ$1)</f>
        <v>WindowType</v>
      </c>
      <c r="AB55" s="33" t="str">
        <f t="shared" si="34"/>
        <v>OK</v>
      </c>
      <c r="AE55" s="239" t="e">
        <f>MATCH(E55, Data!$TB$2:$TB$6,0)</f>
        <v>#N/A</v>
      </c>
      <c r="AF55" s="239" t="e">
        <f>MATCH(F55,Data!$TC$1:$UB$1,0)</f>
        <v>#N/A</v>
      </c>
      <c r="AG55" s="239" t="e">
        <f>INDEX(Data!$TC$2:$UB$6,'Cellular Blinds'!AE55,'Cellular Blinds'!AF55)</f>
        <v>#N/A</v>
      </c>
      <c r="AH55" s="33" t="e">
        <f>VLOOKUP(D55,Data!$RU$2:$RV$15,2,FALSE)</f>
        <v>#N/A</v>
      </c>
      <c r="AI55" s="33" t="b">
        <f>IF(D55=Data!$UT$2,Data!$UU$1,IF(D55=Data!$UT$3,Data!$UV$1,IF(D55=Data!$UT$4,Data!$UW$1,IF(D55=Data!$UT$5,Data!$UX$1,IF(D55=Data!$UT$6,Data!$UY$1,IF(D55=Data!$UT$7,Data!$UZ$1,IF(D55=Data!$UT$8,Data!$VA$1,IF(D55=Data!$UT$9,Data!$VB$1,IF(D55=Data!$UT$10,Data!$VC$1,IF(D55=Data!$UT$11,Data!$VD$1,IF(D55=Data!$UT$12,Data!$VD$22,IF(D55=Data!$UT$13,Data!$VD$22,IF(D55=Data!$UT$14,Data!$UU$13,IF(D55=Data!$UT$15,Data!$UV$13))))))))))))))</f>
        <v>0</v>
      </c>
      <c r="AJ55" s="239" t="e">
        <f>MATCH(D55,Data!$VL$27:$VL$40,0)</f>
        <v>#N/A</v>
      </c>
      <c r="AK55" s="239" t="e">
        <f>MATCH(E55,Data!$VM$26:$VQ$26,0)</f>
        <v>#N/A</v>
      </c>
      <c r="AL55" s="239" t="e">
        <f>INDEX(Data!$VM$27:$VQ$40,'Cellular Blinds'!AJ55,'Cellular Blinds'!AK55)</f>
        <v>#N/A</v>
      </c>
      <c r="AM55" s="239" t="e">
        <f>MATCH(D55, Data!$VL$2:$VL$16,0)</f>
        <v>#N/A</v>
      </c>
      <c r="AN55" s="239" t="e">
        <f>MATCH(E55,Data!$VM$1:$VQ$1,0)</f>
        <v>#N/A</v>
      </c>
      <c r="AO55" s="239" t="e">
        <f>INDEX(Data!$VM$2:$VQ$16,'Cellular Blinds'!AM55,'Cellular Blinds'!AN55)</f>
        <v>#N/A</v>
      </c>
      <c r="AP55" s="33" t="e">
        <f>VLOOKUP(P55,Data!$UW$14:$UX$28,2,FALSE)</f>
        <v>#N/A</v>
      </c>
      <c r="AQ55" s="239" t="e">
        <f>MATCH(E55, Data!$XS$2:$XS$6,0)</f>
        <v>#N/A</v>
      </c>
      <c r="AR55" s="239" t="e">
        <f>MATCH(F55,Data!$XT$1:$YR$1,0)</f>
        <v>#N/A</v>
      </c>
      <c r="AS55" s="239" t="e">
        <f>INDEX(Data!$XT$2:$YR$6,'Cellular Blinds'!AQ55,'Cellular Blinds'!AR55)</f>
        <v>#N/A</v>
      </c>
      <c r="AT55" s="239" t="b">
        <f>IF(D55=Data!$YU$2,Data!$YV$1,IF(D55=Data!$YU$3,Data!$YW$1,IF(D55=Data!$YU$4,Data!$YX$1,IF(D55=Data!$YU$5,Data!$YY$1,IF(D55=Data!$YU$6,Data!$YZ$1,IF(D55=Data!$YU$7,Data!$ZA$1,IF(D55=Data!$YU$8,Data!$ZB$1,IF(D55=Data!$YU$9,Data!$ZC$1,IF(D55=Data!$YU$10,Data!$ZD$1,IF(D55=Data!$YU$11,Data!$ZE$1,IF(D55=Data!$YU$12,Data!$ZE$1,IF(D55=Data!$YU$13,Data!$ZE$1,IF(D55=Data!$YU$14,Data!$ZG$11,IF(D55=Data!$YU$15,Data!$ZF$11))))))))))))))</f>
        <v>0</v>
      </c>
      <c r="AU55" s="239" t="str">
        <f>IF(D55="","",IF(E55=Data!$ZI$2,VLOOKUP(D55,Data!$ZK$2:$ZL$15,2,FALSE),IF(E55=Data!$ZI$1,VLOOKUP(D55,Data!$ZQ$2:$ZR$13,2,FALSE),IF(E55=Data!$ZI$3,VLOOKUP(D55,Data!$ZW$2:$ZX$13,2,FALSE),IF(E55=Data!$ZI$4,VLOOKUP(D55,Data!$AAC$2:$AAD$13,2,FALSE),IF(E55=Data!$ZI$5,VLOOKUP(D55,Data!$AAC$26:$AAD$37,2,FALSE)))))))</f>
        <v/>
      </c>
      <c r="AV55" s="251" t="str">
        <f t="shared" si="12"/>
        <v/>
      </c>
      <c r="AW55" s="251" t="str">
        <f t="shared" si="13"/>
        <v/>
      </c>
      <c r="AX55" s="239" t="str">
        <f t="shared" si="14"/>
        <v/>
      </c>
      <c r="BA55" s="33" t="str">
        <f t="shared" si="15"/>
        <v>FittingBoth</v>
      </c>
      <c r="BN55" s="475" t="str">
        <f t="shared" si="35"/>
        <v>UChannelNA</v>
      </c>
      <c r="BO55" s="475" t="e">
        <f t="shared" si="16"/>
        <v>#N/A</v>
      </c>
      <c r="BP55" s="475" t="str">
        <f t="shared" si="17"/>
        <v>No</v>
      </c>
      <c r="BQ55" s="475" t="str">
        <f t="shared" si="18"/>
        <v>No</v>
      </c>
      <c r="BR55" s="475" t="e">
        <f t="shared" si="36"/>
        <v>#N/A</v>
      </c>
      <c r="BU55" s="172">
        <f t="shared" si="19"/>
        <v>2</v>
      </c>
      <c r="CB55" s="33" t="e">
        <f t="shared" si="37"/>
        <v>#N/A</v>
      </c>
      <c r="CC55" s="172" t="b">
        <f t="shared" si="38"/>
        <v>0</v>
      </c>
      <c r="CD55" s="172">
        <f t="shared" si="39"/>
        <v>0</v>
      </c>
      <c r="CE55" s="172">
        <f t="shared" si="40"/>
        <v>0</v>
      </c>
      <c r="CF55" s="172">
        <f t="shared" si="41"/>
        <v>0</v>
      </c>
      <c r="CG55" s="172">
        <f t="shared" si="42"/>
        <v>0</v>
      </c>
      <c r="CL55" s="239" t="str">
        <f>IF(D55="","",IF(E55=Data!$ZI$2,VLOOKUP(D55,Data!$ZK$2:$ZP$15,3,FALSE),IF(E55=Data!$ZI$1,VLOOKUP(D55,Data!$ZQ$2:$ZS$13,3,FALSE),IF(E55=Data!$ZI$3,VLOOKUP(D55,Data!$ZW$2:$AAB$13,3,FALSE),IF(E55=Data!$ZI$4,VLOOKUP(D55,Data!$AAC$2:$AAI$13,3,FALSE),IF(E55=Data!$ZI$5,VLOOKUP(D55,Data!$AAC$26:$AAI$37,3,FALSE)))))))</f>
        <v/>
      </c>
      <c r="CM55" s="251">
        <f t="shared" si="20"/>
        <v>0</v>
      </c>
      <c r="CN55" s="251" t="e">
        <f t="shared" si="21"/>
        <v>#VALUE!</v>
      </c>
      <c r="CO55" s="239" t="e">
        <f t="shared" si="22"/>
        <v>#VALUE!</v>
      </c>
      <c r="CP55" s="239" t="str">
        <f>IF(D55="","",IF(E55=Data!$ZI$2,VLOOKUP(D55,Data!$ZK$2:$ZN$15,4,FALSE),IF(E55=Data!$ZI$1,VLOOKUP(D55,Data!$ZQ$2:$ZT$13,4,FALSE),IF(E55=Data!$ZI$3,VLOOKUP(D55,Data!$ZW$2:$AAC$13,4,FALSE),IF(E55=Data!$ZI$4,VLOOKUP(D55,Data!$AAC$2:$AAJ$13,4,FALSE),IF(E55=Data!$ZI$5,VLOOKUP(D55,Data!$AAC$26:$AAJ$37,4,FALSE)))))))</f>
        <v/>
      </c>
      <c r="CQ55" s="251">
        <f t="shared" si="23"/>
        <v>0</v>
      </c>
      <c r="CR55" s="251" t="e">
        <f t="shared" si="24"/>
        <v>#VALUE!</v>
      </c>
      <c r="CS55" s="239" t="e">
        <f t="shared" si="25"/>
        <v>#VALUE!</v>
      </c>
      <c r="CT55" s="311">
        <f t="shared" si="26"/>
        <v>0</v>
      </c>
      <c r="CU55" s="239" t="str">
        <f>IF(D55="","",IF(E55=Data!$ZI$2,VLOOKUP(D55,Data!$ZK$2:$ZO$15,5,FALSE),IF(E55=Data!$ZI$1,VLOOKUP(D55,Data!$ZQ$2:$ZU$13,5,FALSE),IF(E55=Data!$ZI$3,VLOOKUP(D55,Data!$ZW$2:$AAD$13,5,FALSE),IF(E55=Data!$ZI$4,VLOOKUP(D55,Data!$AAC$2:$AAK$13,5,FALSE),IF(E55=Data!$ZI$5,VLOOKUP(D55,Data!$AAC$26:$AAK$37,5,FALSE)))))))</f>
        <v/>
      </c>
      <c r="CV55" s="251">
        <f t="shared" si="27"/>
        <v>0</v>
      </c>
      <c r="CW55" s="251" t="e">
        <f t="shared" si="28"/>
        <v>#VALUE!</v>
      </c>
      <c r="CX55" s="239" t="e">
        <f t="shared" si="29"/>
        <v>#VALUE!</v>
      </c>
      <c r="CY55" s="239" t="str">
        <f>IF(D55="","",IF(E55=Data!$ZI$2,VLOOKUP(D55,Data!$ZK$2:$ZP$15,6,FALSE),IF(E55=Data!$ZI$1,VLOOKUP(D55,Data!$ZQ$2:$ZV$13,6,FALSE),IF(E55=Data!$ZI$3,VLOOKUP(D55,Data!$ZW$2:$AAE$13,6,FALSE),IF(E55=Data!$ZI$4,VLOOKUP(D55,Data!$AAC$2:$AAL$13,6,FALSE),IF(E55=Data!$ZI$5,VLOOKUP(D55,Data!$AAC$26:$AAL$37,6,FALSE)))))))</f>
        <v/>
      </c>
      <c r="CZ55" s="251">
        <f t="shared" si="30"/>
        <v>0</v>
      </c>
      <c r="DA55" s="251" t="e">
        <f t="shared" si="31"/>
        <v>#VALUE!</v>
      </c>
      <c r="DB55" s="239" t="e">
        <f t="shared" si="32"/>
        <v>#VALUE!</v>
      </c>
      <c r="DC55" s="311">
        <f t="shared" si="33"/>
        <v>0</v>
      </c>
    </row>
    <row r="56" spans="1:107" ht="30" customHeight="1">
      <c r="A56" s="52">
        <v>49</v>
      </c>
      <c r="B56" s="13"/>
      <c r="C56" s="13"/>
      <c r="D56" s="13"/>
      <c r="E56" s="235"/>
      <c r="F56" s="235"/>
      <c r="G56" s="235"/>
      <c r="H56" s="235"/>
      <c r="I56" s="14"/>
      <c r="J56" s="14"/>
      <c r="K56" s="14"/>
      <c r="L56" s="14"/>
      <c r="M56" s="563"/>
      <c r="N56" s="564"/>
      <c r="O56" s="15"/>
      <c r="P56" s="15"/>
      <c r="Q56" s="15"/>
      <c r="R56" s="15"/>
      <c r="S56" s="15"/>
      <c r="T56" s="13" t="str">
        <f t="shared" si="9"/>
        <v/>
      </c>
      <c r="U56" s="253" t="str">
        <f t="shared" si="10"/>
        <v/>
      </c>
      <c r="V56" s="470"/>
      <c r="W56" s="481" t="b">
        <f t="shared" si="11"/>
        <v>0</v>
      </c>
      <c r="X56" s="230"/>
      <c r="Y56" s="253"/>
      <c r="AA56" s="33" t="str">
        <f>IF(SUM(--ISNUMBER(SEARCH({"Skylight"}, D56))),Data!$AJ$19,Data!$AJ$1)</f>
        <v>WindowType</v>
      </c>
      <c r="AB56" s="33" t="str">
        <f t="shared" si="34"/>
        <v>OK</v>
      </c>
      <c r="AE56" s="239" t="e">
        <f>MATCH(E56, Data!$TB$2:$TB$6,0)</f>
        <v>#N/A</v>
      </c>
      <c r="AF56" s="239" t="e">
        <f>MATCH(F56,Data!$TC$1:$UB$1,0)</f>
        <v>#N/A</v>
      </c>
      <c r="AG56" s="239" t="e">
        <f>INDEX(Data!$TC$2:$UB$6,'Cellular Blinds'!AE56,'Cellular Blinds'!AF56)</f>
        <v>#N/A</v>
      </c>
      <c r="AH56" s="33" t="e">
        <f>VLOOKUP(D56,Data!$RU$2:$RV$15,2,FALSE)</f>
        <v>#N/A</v>
      </c>
      <c r="AI56" s="33" t="b">
        <f>IF(D56=Data!$UT$2,Data!$UU$1,IF(D56=Data!$UT$3,Data!$UV$1,IF(D56=Data!$UT$4,Data!$UW$1,IF(D56=Data!$UT$5,Data!$UX$1,IF(D56=Data!$UT$6,Data!$UY$1,IF(D56=Data!$UT$7,Data!$UZ$1,IF(D56=Data!$UT$8,Data!$VA$1,IF(D56=Data!$UT$9,Data!$VB$1,IF(D56=Data!$UT$10,Data!$VC$1,IF(D56=Data!$UT$11,Data!$VD$1,IF(D56=Data!$UT$12,Data!$VD$22,IF(D56=Data!$UT$13,Data!$VD$22,IF(D56=Data!$UT$14,Data!$UU$13,IF(D56=Data!$UT$15,Data!$UV$13))))))))))))))</f>
        <v>0</v>
      </c>
      <c r="AJ56" s="239" t="e">
        <f>MATCH(D56,Data!$VL$27:$VL$40,0)</f>
        <v>#N/A</v>
      </c>
      <c r="AK56" s="239" t="e">
        <f>MATCH(E56,Data!$VM$26:$VQ$26,0)</f>
        <v>#N/A</v>
      </c>
      <c r="AL56" s="239" t="e">
        <f>INDEX(Data!$VM$27:$VQ$40,'Cellular Blinds'!AJ56,'Cellular Blinds'!AK56)</f>
        <v>#N/A</v>
      </c>
      <c r="AM56" s="239" t="e">
        <f>MATCH(D56, Data!$VL$2:$VL$16,0)</f>
        <v>#N/A</v>
      </c>
      <c r="AN56" s="239" t="e">
        <f>MATCH(E56,Data!$VM$1:$VQ$1,0)</f>
        <v>#N/A</v>
      </c>
      <c r="AO56" s="239" t="e">
        <f>INDEX(Data!$VM$2:$VQ$16,'Cellular Blinds'!AM56,'Cellular Blinds'!AN56)</f>
        <v>#N/A</v>
      </c>
      <c r="AP56" s="33" t="e">
        <f>VLOOKUP(P56,Data!$UW$14:$UX$28,2,FALSE)</f>
        <v>#N/A</v>
      </c>
      <c r="AQ56" s="239" t="e">
        <f>MATCH(E56, Data!$XS$2:$XS$6,0)</f>
        <v>#N/A</v>
      </c>
      <c r="AR56" s="239" t="e">
        <f>MATCH(F56,Data!$XT$1:$YR$1,0)</f>
        <v>#N/A</v>
      </c>
      <c r="AS56" s="239" t="e">
        <f>INDEX(Data!$XT$2:$YR$6,'Cellular Blinds'!AQ56,'Cellular Blinds'!AR56)</f>
        <v>#N/A</v>
      </c>
      <c r="AT56" s="239" t="b">
        <f>IF(D56=Data!$YU$2,Data!$YV$1,IF(D56=Data!$YU$3,Data!$YW$1,IF(D56=Data!$YU$4,Data!$YX$1,IF(D56=Data!$YU$5,Data!$YY$1,IF(D56=Data!$YU$6,Data!$YZ$1,IF(D56=Data!$YU$7,Data!$ZA$1,IF(D56=Data!$YU$8,Data!$ZB$1,IF(D56=Data!$YU$9,Data!$ZC$1,IF(D56=Data!$YU$10,Data!$ZD$1,IF(D56=Data!$YU$11,Data!$ZE$1,IF(D56=Data!$YU$12,Data!$ZE$1,IF(D56=Data!$YU$13,Data!$ZE$1,IF(D56=Data!$YU$14,Data!$ZG$11,IF(D56=Data!$YU$15,Data!$ZF$11))))))))))))))</f>
        <v>0</v>
      </c>
      <c r="AU56" s="239" t="str">
        <f>IF(D56="","",IF(E56=Data!$ZI$2,VLOOKUP(D56,Data!$ZK$2:$ZL$15,2,FALSE),IF(E56=Data!$ZI$1,VLOOKUP(D56,Data!$ZQ$2:$ZR$13,2,FALSE),IF(E56=Data!$ZI$3,VLOOKUP(D56,Data!$ZW$2:$ZX$13,2,FALSE),IF(E56=Data!$ZI$4,VLOOKUP(D56,Data!$AAC$2:$AAD$13,2,FALSE),IF(E56=Data!$ZI$5,VLOOKUP(D56,Data!$AAC$26:$AAD$37,2,FALSE)))))))</f>
        <v/>
      </c>
      <c r="AV56" s="251" t="str">
        <f t="shared" si="12"/>
        <v/>
      </c>
      <c r="AW56" s="251" t="str">
        <f t="shared" si="13"/>
        <v/>
      </c>
      <c r="AX56" s="239" t="str">
        <f t="shared" si="14"/>
        <v/>
      </c>
      <c r="BA56" s="33" t="str">
        <f t="shared" si="15"/>
        <v>FittingBoth</v>
      </c>
      <c r="BN56" s="475" t="str">
        <f t="shared" si="35"/>
        <v>UChannelNA</v>
      </c>
      <c r="BO56" s="475" t="e">
        <f t="shared" si="16"/>
        <v>#N/A</v>
      </c>
      <c r="BP56" s="475" t="str">
        <f t="shared" si="17"/>
        <v>No</v>
      </c>
      <c r="BQ56" s="475" t="str">
        <f t="shared" si="18"/>
        <v>No</v>
      </c>
      <c r="BR56" s="475" t="e">
        <f t="shared" si="36"/>
        <v>#N/A</v>
      </c>
      <c r="BU56" s="172">
        <f t="shared" si="19"/>
        <v>2</v>
      </c>
      <c r="CB56" s="33" t="e">
        <f t="shared" si="37"/>
        <v>#N/A</v>
      </c>
      <c r="CC56" s="172" t="b">
        <f t="shared" si="38"/>
        <v>0</v>
      </c>
      <c r="CD56" s="172">
        <f t="shared" si="39"/>
        <v>0</v>
      </c>
      <c r="CE56" s="172">
        <f t="shared" si="40"/>
        <v>0</v>
      </c>
      <c r="CF56" s="172">
        <f t="shared" si="41"/>
        <v>0</v>
      </c>
      <c r="CG56" s="172">
        <f t="shared" si="42"/>
        <v>0</v>
      </c>
      <c r="CL56" s="239" t="str">
        <f>IF(D56="","",IF(E56=Data!$ZI$2,VLOOKUP(D56,Data!$ZK$2:$ZP$15,3,FALSE),IF(E56=Data!$ZI$1,VLOOKUP(D56,Data!$ZQ$2:$ZS$13,3,FALSE),IF(E56=Data!$ZI$3,VLOOKUP(D56,Data!$ZW$2:$AAB$13,3,FALSE),IF(E56=Data!$ZI$4,VLOOKUP(D56,Data!$AAC$2:$AAI$13,3,FALSE),IF(E56=Data!$ZI$5,VLOOKUP(D56,Data!$AAC$26:$AAI$37,3,FALSE)))))))</f>
        <v/>
      </c>
      <c r="CM56" s="251">
        <f t="shared" si="20"/>
        <v>0</v>
      </c>
      <c r="CN56" s="251" t="e">
        <f t="shared" si="21"/>
        <v>#VALUE!</v>
      </c>
      <c r="CO56" s="239" t="e">
        <f t="shared" si="22"/>
        <v>#VALUE!</v>
      </c>
      <c r="CP56" s="239" t="str">
        <f>IF(D56="","",IF(E56=Data!$ZI$2,VLOOKUP(D56,Data!$ZK$2:$ZN$15,4,FALSE),IF(E56=Data!$ZI$1,VLOOKUP(D56,Data!$ZQ$2:$ZT$13,4,FALSE),IF(E56=Data!$ZI$3,VLOOKUP(D56,Data!$ZW$2:$AAC$13,4,FALSE),IF(E56=Data!$ZI$4,VLOOKUP(D56,Data!$AAC$2:$AAJ$13,4,FALSE),IF(E56=Data!$ZI$5,VLOOKUP(D56,Data!$AAC$26:$AAJ$37,4,FALSE)))))))</f>
        <v/>
      </c>
      <c r="CQ56" s="251">
        <f t="shared" si="23"/>
        <v>0</v>
      </c>
      <c r="CR56" s="251" t="e">
        <f t="shared" si="24"/>
        <v>#VALUE!</v>
      </c>
      <c r="CS56" s="239" t="e">
        <f t="shared" si="25"/>
        <v>#VALUE!</v>
      </c>
      <c r="CT56" s="311">
        <f t="shared" si="26"/>
        <v>0</v>
      </c>
      <c r="CU56" s="239" t="str">
        <f>IF(D56="","",IF(E56=Data!$ZI$2,VLOOKUP(D56,Data!$ZK$2:$ZO$15,5,FALSE),IF(E56=Data!$ZI$1,VLOOKUP(D56,Data!$ZQ$2:$ZU$13,5,FALSE),IF(E56=Data!$ZI$3,VLOOKUP(D56,Data!$ZW$2:$AAD$13,5,FALSE),IF(E56=Data!$ZI$4,VLOOKUP(D56,Data!$AAC$2:$AAK$13,5,FALSE),IF(E56=Data!$ZI$5,VLOOKUP(D56,Data!$AAC$26:$AAK$37,5,FALSE)))))))</f>
        <v/>
      </c>
      <c r="CV56" s="251">
        <f t="shared" si="27"/>
        <v>0</v>
      </c>
      <c r="CW56" s="251" t="e">
        <f t="shared" si="28"/>
        <v>#VALUE!</v>
      </c>
      <c r="CX56" s="239" t="e">
        <f t="shared" si="29"/>
        <v>#VALUE!</v>
      </c>
      <c r="CY56" s="239" t="str">
        <f>IF(D56="","",IF(E56=Data!$ZI$2,VLOOKUP(D56,Data!$ZK$2:$ZP$15,6,FALSE),IF(E56=Data!$ZI$1,VLOOKUP(D56,Data!$ZQ$2:$ZV$13,6,FALSE),IF(E56=Data!$ZI$3,VLOOKUP(D56,Data!$ZW$2:$AAE$13,6,FALSE),IF(E56=Data!$ZI$4,VLOOKUP(D56,Data!$AAC$2:$AAL$13,6,FALSE),IF(E56=Data!$ZI$5,VLOOKUP(D56,Data!$AAC$26:$AAL$37,6,FALSE)))))))</f>
        <v/>
      </c>
      <c r="CZ56" s="251">
        <f t="shared" si="30"/>
        <v>0</v>
      </c>
      <c r="DA56" s="251" t="e">
        <f t="shared" si="31"/>
        <v>#VALUE!</v>
      </c>
      <c r="DB56" s="239" t="e">
        <f t="shared" si="32"/>
        <v>#VALUE!</v>
      </c>
      <c r="DC56" s="311">
        <f t="shared" si="33"/>
        <v>0</v>
      </c>
    </row>
    <row r="57" spans="1:107" ht="30" customHeight="1" thickBot="1">
      <c r="A57" s="53">
        <v>50</v>
      </c>
      <c r="B57" s="21"/>
      <c r="C57" s="21"/>
      <c r="D57" s="21"/>
      <c r="E57" s="236"/>
      <c r="F57" s="236"/>
      <c r="G57" s="236"/>
      <c r="H57" s="236"/>
      <c r="I57" s="14"/>
      <c r="J57" s="14"/>
      <c r="K57" s="22"/>
      <c r="L57" s="22"/>
      <c r="M57" s="577"/>
      <c r="N57" s="578"/>
      <c r="O57" s="44"/>
      <c r="P57" s="44"/>
      <c r="Q57" s="44"/>
      <c r="R57" s="44"/>
      <c r="S57" s="44"/>
      <c r="T57" s="21" t="str">
        <f t="shared" si="9"/>
        <v/>
      </c>
      <c r="U57" s="254" t="str">
        <f t="shared" si="10"/>
        <v/>
      </c>
      <c r="V57" s="471"/>
      <c r="W57" s="481" t="b">
        <f t="shared" si="11"/>
        <v>0</v>
      </c>
      <c r="X57" s="230"/>
      <c r="Y57" s="254"/>
      <c r="AA57" s="33" t="str">
        <f>IF(SUM(--ISNUMBER(SEARCH({"Skylight"}, D57))),Data!$AJ$19,Data!$AJ$1)</f>
        <v>WindowType</v>
      </c>
      <c r="AB57" s="33" t="str">
        <f t="shared" si="34"/>
        <v>OK</v>
      </c>
      <c r="AE57" s="239" t="e">
        <f>MATCH(E57, Data!$TB$2:$TB$6,0)</f>
        <v>#N/A</v>
      </c>
      <c r="AF57" s="239" t="e">
        <f>MATCH(F57,Data!$TC$1:$UB$1,0)</f>
        <v>#N/A</v>
      </c>
      <c r="AG57" s="239" t="e">
        <f>INDEX(Data!$TC$2:$UB$6,'Cellular Blinds'!AE57,'Cellular Blinds'!AF57)</f>
        <v>#N/A</v>
      </c>
      <c r="AH57" s="33" t="e">
        <f>VLOOKUP(D57,Data!$RU$2:$RV$15,2,FALSE)</f>
        <v>#N/A</v>
      </c>
      <c r="AI57" s="33" t="b">
        <f>IF(D57=Data!$UT$2,Data!$UU$1,IF(D57=Data!$UT$3,Data!$UV$1,IF(D57=Data!$UT$4,Data!$UW$1,IF(D57=Data!$UT$5,Data!$UX$1,IF(D57=Data!$UT$6,Data!$UY$1,IF(D57=Data!$UT$7,Data!$UZ$1,IF(D57=Data!$UT$8,Data!$VA$1,IF(D57=Data!$UT$9,Data!$VB$1,IF(D57=Data!$UT$10,Data!$VC$1,IF(D57=Data!$UT$11,Data!$VD$1,IF(D57=Data!$UT$12,Data!$VD$22,IF(D57=Data!$UT$13,Data!$VD$22,IF(D57=Data!$UT$14,Data!$UU$13,IF(D57=Data!$UT$15,Data!$UV$13))))))))))))))</f>
        <v>0</v>
      </c>
      <c r="AJ57" s="239" t="e">
        <f>MATCH(D57,Data!$VL$27:$VL$40,0)</f>
        <v>#N/A</v>
      </c>
      <c r="AK57" s="239" t="e">
        <f>MATCH(E57,Data!$VM$26:$VQ$26,0)</f>
        <v>#N/A</v>
      </c>
      <c r="AL57" s="239" t="e">
        <f>INDEX(Data!$VM$27:$VQ$40,'Cellular Blinds'!AJ57,'Cellular Blinds'!AK57)</f>
        <v>#N/A</v>
      </c>
      <c r="AM57" s="239" t="e">
        <f>MATCH(D57, Data!$VL$2:$VL$16,0)</f>
        <v>#N/A</v>
      </c>
      <c r="AN57" s="239" t="e">
        <f>MATCH(E57,Data!$VM$1:$VQ$1,0)</f>
        <v>#N/A</v>
      </c>
      <c r="AO57" s="239" t="e">
        <f>INDEX(Data!$VM$2:$VQ$16,'Cellular Blinds'!AM57,'Cellular Blinds'!AN57)</f>
        <v>#N/A</v>
      </c>
      <c r="AP57" s="33" t="e">
        <f>VLOOKUP(P57,Data!$UW$14:$UX$28,2,FALSE)</f>
        <v>#N/A</v>
      </c>
      <c r="AQ57" s="239" t="e">
        <f>MATCH(E57, Data!$XS$2:$XS$6,0)</f>
        <v>#N/A</v>
      </c>
      <c r="AR57" s="239" t="e">
        <f>MATCH(F57,Data!$XT$1:$YR$1,0)</f>
        <v>#N/A</v>
      </c>
      <c r="AS57" s="239" t="e">
        <f>INDEX(Data!$XT$2:$YR$6,'Cellular Blinds'!AQ57,'Cellular Blinds'!AR57)</f>
        <v>#N/A</v>
      </c>
      <c r="AT57" s="239" t="b">
        <f>IF(D57=Data!$YU$2,Data!$YV$1,IF(D57=Data!$YU$3,Data!$YW$1,IF(D57=Data!$YU$4,Data!$YX$1,IF(D57=Data!$YU$5,Data!$YY$1,IF(D57=Data!$YU$6,Data!$YZ$1,IF(D57=Data!$YU$7,Data!$ZA$1,IF(D57=Data!$YU$8,Data!$ZB$1,IF(D57=Data!$YU$9,Data!$ZC$1,IF(D57=Data!$YU$10,Data!$ZD$1,IF(D57=Data!$YU$11,Data!$ZE$1,IF(D57=Data!$YU$12,Data!$ZE$1,IF(D57=Data!$YU$13,Data!$ZE$1,IF(D57=Data!$YU$14,Data!$ZG$11,IF(D57=Data!$YU$15,Data!$ZF$11))))))))))))))</f>
        <v>0</v>
      </c>
      <c r="AU57" s="239" t="str">
        <f>IF(D57="","",IF(E57=Data!$ZI$2,VLOOKUP(D57,Data!$ZK$2:$ZL$15,2,FALSE),IF(E57=Data!$ZI$1,VLOOKUP(D57,Data!$ZQ$2:$ZR$13,2,FALSE),IF(E57=Data!$ZI$3,VLOOKUP(D57,Data!$ZW$2:$ZX$13,2,FALSE),IF(E57=Data!$ZI$4,VLOOKUP(D57,Data!$AAC$2:$AAD$13,2,FALSE),IF(E57=Data!$ZI$5,VLOOKUP(D57,Data!$AAC$26:$AAD$37,2,FALSE)))))))</f>
        <v/>
      </c>
      <c r="AV57" s="251" t="str">
        <f t="shared" si="12"/>
        <v/>
      </c>
      <c r="AW57" s="251" t="str">
        <f t="shared" si="13"/>
        <v/>
      </c>
      <c r="AX57" s="239" t="str">
        <f t="shared" si="14"/>
        <v/>
      </c>
      <c r="BA57" s="33" t="str">
        <f t="shared" si="15"/>
        <v>FittingBoth</v>
      </c>
      <c r="BN57" s="475" t="str">
        <f t="shared" si="35"/>
        <v>UChannelNA</v>
      </c>
      <c r="BO57" s="475" t="e">
        <f t="shared" si="16"/>
        <v>#N/A</v>
      </c>
      <c r="BP57" s="475" t="str">
        <f t="shared" si="17"/>
        <v>No</v>
      </c>
      <c r="BQ57" s="475" t="str">
        <f t="shared" si="18"/>
        <v>No</v>
      </c>
      <c r="BR57" s="475" t="e">
        <f t="shared" si="36"/>
        <v>#N/A</v>
      </c>
      <c r="BU57" s="172">
        <f t="shared" si="19"/>
        <v>2</v>
      </c>
      <c r="CB57" s="33" t="e">
        <f t="shared" si="37"/>
        <v>#N/A</v>
      </c>
      <c r="CC57" s="172" t="b">
        <f t="shared" si="38"/>
        <v>0</v>
      </c>
      <c r="CD57" s="172">
        <f t="shared" si="39"/>
        <v>0</v>
      </c>
      <c r="CE57" s="172">
        <f t="shared" si="40"/>
        <v>0</v>
      </c>
      <c r="CF57" s="172">
        <f t="shared" si="41"/>
        <v>0</v>
      </c>
      <c r="CG57" s="172">
        <f t="shared" si="42"/>
        <v>0</v>
      </c>
      <c r="CL57" s="239" t="str">
        <f>IF(D57="","",IF(E57=Data!$ZI$2,VLOOKUP(D57,Data!$ZK$2:$ZP$15,3,FALSE),IF(E57=Data!$ZI$1,VLOOKUP(D57,Data!$ZQ$2:$ZS$13,3,FALSE),IF(E57=Data!$ZI$3,VLOOKUP(D57,Data!$ZW$2:$AAB$13,3,FALSE),IF(E57=Data!$ZI$4,VLOOKUP(D57,Data!$AAC$2:$AAI$13,3,FALSE),IF(E57=Data!$ZI$5,VLOOKUP(D57,Data!$AAC$26:$AAI$37,3,FALSE)))))))</f>
        <v/>
      </c>
      <c r="CM57" s="251">
        <f t="shared" si="20"/>
        <v>0</v>
      </c>
      <c r="CN57" s="251" t="e">
        <f t="shared" si="21"/>
        <v>#VALUE!</v>
      </c>
      <c r="CO57" s="239" t="e">
        <f t="shared" si="22"/>
        <v>#VALUE!</v>
      </c>
      <c r="CP57" s="239" t="str">
        <f>IF(D57="","",IF(E57=Data!$ZI$2,VLOOKUP(D57,Data!$ZK$2:$ZN$15,4,FALSE),IF(E57=Data!$ZI$1,VLOOKUP(D57,Data!$ZQ$2:$ZT$13,4,FALSE),IF(E57=Data!$ZI$3,VLOOKUP(D57,Data!$ZW$2:$AAC$13,4,FALSE),IF(E57=Data!$ZI$4,VLOOKUP(D57,Data!$AAC$2:$AAJ$13,4,FALSE),IF(E57=Data!$ZI$5,VLOOKUP(D57,Data!$AAC$26:$AAJ$37,4,FALSE)))))))</f>
        <v/>
      </c>
      <c r="CQ57" s="251">
        <f t="shared" si="23"/>
        <v>0</v>
      </c>
      <c r="CR57" s="251" t="e">
        <f t="shared" si="24"/>
        <v>#VALUE!</v>
      </c>
      <c r="CS57" s="239" t="e">
        <f t="shared" si="25"/>
        <v>#VALUE!</v>
      </c>
      <c r="CT57" s="311">
        <f t="shared" si="26"/>
        <v>0</v>
      </c>
      <c r="CU57" s="239" t="str">
        <f>IF(D57="","",IF(E57=Data!$ZI$2,VLOOKUP(D57,Data!$ZK$2:$ZO$15,5,FALSE),IF(E57=Data!$ZI$1,VLOOKUP(D57,Data!$ZQ$2:$ZU$13,5,FALSE),IF(E57=Data!$ZI$3,VLOOKUP(D57,Data!$ZW$2:$AAD$13,5,FALSE),IF(E57=Data!$ZI$4,VLOOKUP(D57,Data!$AAC$2:$AAK$13,5,FALSE),IF(E57=Data!$ZI$5,VLOOKUP(D57,Data!$AAC$26:$AAK$37,5,FALSE)))))))</f>
        <v/>
      </c>
      <c r="CV57" s="251">
        <f t="shared" si="27"/>
        <v>0</v>
      </c>
      <c r="CW57" s="251" t="e">
        <f t="shared" si="28"/>
        <v>#VALUE!</v>
      </c>
      <c r="CX57" s="239" t="e">
        <f t="shared" si="29"/>
        <v>#VALUE!</v>
      </c>
      <c r="CY57" s="239" t="str">
        <f>IF(D57="","",IF(E57=Data!$ZI$2,VLOOKUP(D57,Data!$ZK$2:$ZP$15,6,FALSE),IF(E57=Data!$ZI$1,VLOOKUP(D57,Data!$ZQ$2:$ZV$13,6,FALSE),IF(E57=Data!$ZI$3,VLOOKUP(D57,Data!$ZW$2:$AAE$13,6,FALSE),IF(E57=Data!$ZI$4,VLOOKUP(D57,Data!$AAC$2:$AAL$13,6,FALSE),IF(E57=Data!$ZI$5,VLOOKUP(D57,Data!$AAC$26:$AAL$37,6,FALSE)))))))</f>
        <v/>
      </c>
      <c r="CZ57" s="251">
        <f t="shared" si="30"/>
        <v>0</v>
      </c>
      <c r="DA57" s="251" t="e">
        <f t="shared" si="31"/>
        <v>#VALUE!</v>
      </c>
      <c r="DB57" s="239" t="e">
        <f t="shared" si="32"/>
        <v>#VALUE!</v>
      </c>
      <c r="DC57" s="311">
        <f t="shared" si="33"/>
        <v>0</v>
      </c>
    </row>
    <row r="58" spans="1:107" ht="15.75" thickTop="1">
      <c r="AO58" s="239"/>
      <c r="BN58" s="475" t="str">
        <f t="shared" si="35"/>
        <v>UChannelNA</v>
      </c>
      <c r="BO58" s="475" t="e">
        <f t="shared" si="16"/>
        <v>#N/A</v>
      </c>
      <c r="BP58" s="475" t="str">
        <f t="shared" si="17"/>
        <v>No</v>
      </c>
      <c r="BQ58" s="475" t="str">
        <f t="shared" si="18"/>
        <v>No</v>
      </c>
      <c r="BR58" s="475" t="e">
        <f t="shared" si="36"/>
        <v>#N/A</v>
      </c>
      <c r="BU58" s="172">
        <f t="shared" si="19"/>
        <v>2</v>
      </c>
      <c r="CC58" s="172" t="s">
        <v>2314</v>
      </c>
      <c r="CD58" s="472">
        <f>SUM(CD8:CD57)</f>
        <v>0</v>
      </c>
      <c r="CE58" s="472">
        <f t="shared" ref="CE58:CG58" si="43">SUM(CE8:CE57)</f>
        <v>0</v>
      </c>
      <c r="CF58" s="472">
        <f t="shared" si="43"/>
        <v>0</v>
      </c>
      <c r="CG58" s="472">
        <f t="shared" si="43"/>
        <v>0</v>
      </c>
      <c r="CL58" s="239"/>
      <c r="CM58" s="251"/>
      <c r="CN58" s="251"/>
      <c r="CO58" s="239"/>
    </row>
  </sheetData>
  <sheetProtection algorithmName="SHA-512" hashValue="/kLv/n15yUVpNVtgQ0n8/+LPsy5uKUpYPEe1S9N2YKU5Em5FcPrmo9yo1xyicmWNhXDAHjkEh4S3N63j04TW3w==" saltValue="OPpwGX/L8s7SiipZfYT8Wg==" spinCount="100000" sheet="1" objects="1" scenarios="1"/>
  <sortState xmlns:xlrd2="http://schemas.microsoft.com/office/spreadsheetml/2017/richdata2" ref="BZ8:BZ11">
    <sortCondition ref="BZ8:BZ11"/>
  </sortState>
  <mergeCells count="65">
    <mergeCell ref="M55:N55"/>
    <mergeCell ref="M56:N56"/>
    <mergeCell ref="M57:N57"/>
    <mergeCell ref="M52:N52"/>
    <mergeCell ref="M53:N53"/>
    <mergeCell ref="M54:N54"/>
    <mergeCell ref="M49:N49"/>
    <mergeCell ref="M50:N50"/>
    <mergeCell ref="M51:N51"/>
    <mergeCell ref="M46:N46"/>
    <mergeCell ref="M47:N47"/>
    <mergeCell ref="M48:N48"/>
    <mergeCell ref="M43:N43"/>
    <mergeCell ref="M44:N44"/>
    <mergeCell ref="M45:N45"/>
    <mergeCell ref="M40:N40"/>
    <mergeCell ref="M41:N41"/>
    <mergeCell ref="M42:N42"/>
    <mergeCell ref="M37:N37"/>
    <mergeCell ref="M38:N38"/>
    <mergeCell ref="M39:N39"/>
    <mergeCell ref="M34:N34"/>
    <mergeCell ref="M35:N35"/>
    <mergeCell ref="M36:N36"/>
    <mergeCell ref="M31:N31"/>
    <mergeCell ref="M32:N32"/>
    <mergeCell ref="M33:N33"/>
    <mergeCell ref="M28:N28"/>
    <mergeCell ref="M29:N29"/>
    <mergeCell ref="M30:N30"/>
    <mergeCell ref="M25:N25"/>
    <mergeCell ref="M26:N26"/>
    <mergeCell ref="M27:N27"/>
    <mergeCell ref="M22:N22"/>
    <mergeCell ref="M23:N23"/>
    <mergeCell ref="M24:N24"/>
    <mergeCell ref="M20:N20"/>
    <mergeCell ref="M21:N21"/>
    <mergeCell ref="M16:N16"/>
    <mergeCell ref="M17:N17"/>
    <mergeCell ref="M18:N18"/>
    <mergeCell ref="M15:N15"/>
    <mergeCell ref="M10:N10"/>
    <mergeCell ref="M11:N11"/>
    <mergeCell ref="M12:N12"/>
    <mergeCell ref="M19:N19"/>
    <mergeCell ref="M13:N13"/>
    <mergeCell ref="M14:N14"/>
    <mergeCell ref="M7:N7"/>
    <mergeCell ref="M8:N8"/>
    <mergeCell ref="M9:N9"/>
    <mergeCell ref="A6:F6"/>
    <mergeCell ref="I4:U4"/>
    <mergeCell ref="I5:U5"/>
    <mergeCell ref="I6:U6"/>
    <mergeCell ref="A4:D4"/>
    <mergeCell ref="A1:D3"/>
    <mergeCell ref="AQ6:AS6"/>
    <mergeCell ref="X1:X2"/>
    <mergeCell ref="I1:U1"/>
    <mergeCell ref="E2:F2"/>
    <mergeCell ref="X4:X5"/>
    <mergeCell ref="I2:U2"/>
    <mergeCell ref="I3:U3"/>
    <mergeCell ref="E4:F4"/>
  </mergeCells>
  <conditionalFormatting sqref="C8:C57">
    <cfRule type="cellIs" dxfId="88" priority="13" stopIfTrue="1" operator="greaterThan">
      <formula>1</formula>
    </cfRule>
  </conditionalFormatting>
  <conditionalFormatting sqref="T8:T57">
    <cfRule type="containsErrors" dxfId="87" priority="7">
      <formula>ISERROR(T8)</formula>
    </cfRule>
    <cfRule type="containsText" dxfId="86" priority="9" operator="containsText" text="Check Size">
      <formula>NOT(ISERROR(SEARCH("Check Size",T8)))</formula>
    </cfRule>
  </conditionalFormatting>
  <conditionalFormatting sqref="I6:U6">
    <cfRule type="notContainsBlanks" dxfId="85" priority="8">
      <formula>LEN(TRIM(I6))&gt;0</formula>
    </cfRule>
  </conditionalFormatting>
  <conditionalFormatting sqref="S8:S57">
    <cfRule type="containsErrors" dxfId="84" priority="6">
      <formula>ISERROR(S8)</formula>
    </cfRule>
  </conditionalFormatting>
  <conditionalFormatting sqref="W2:W5">
    <cfRule type="cellIs" dxfId="83" priority="5" operator="equal">
      <formula>0</formula>
    </cfRule>
  </conditionalFormatting>
  <conditionalFormatting sqref="W8:W57">
    <cfRule type="containsErrors" dxfId="82" priority="14">
      <formula>ISERROR(W8)</formula>
    </cfRule>
  </conditionalFormatting>
  <conditionalFormatting sqref="W8:W57">
    <cfRule type="containsText" dxfId="81" priority="3" operator="containsText" text="FALSE">
      <formula>NOT(ISERROR(SEARCH("FALSE",W8)))</formula>
    </cfRule>
  </conditionalFormatting>
  <conditionalFormatting sqref="I8:I57">
    <cfRule type="expression" dxfId="80" priority="2">
      <formula>CT8&gt;0</formula>
    </cfRule>
  </conditionalFormatting>
  <conditionalFormatting sqref="J8:J57">
    <cfRule type="expression" dxfId="79" priority="1">
      <formula>DC8&gt;0</formula>
    </cfRule>
  </conditionalFormatting>
  <dataValidations count="19">
    <dataValidation type="list" allowBlank="1" showInputMessage="1" showErrorMessage="1" errorTitle="Invalid Entry" error="Invalid Entry" sqref="F8:F57" xr:uid="{00000000-0002-0000-0600-000000000000}">
      <formula1>INDIRECT(SUBSTITUTE(SUBSTITUTE(SUBSTITUTE(AO8," ","_"),"(",""),")",""))</formula1>
    </dataValidation>
    <dataValidation type="list" allowBlank="1" showInputMessage="1" showErrorMessage="1" errorTitle="Invalid Entry" error="Invalid Entry" sqref="G8:G57" xr:uid="{00000000-0002-0000-0600-000001000000}">
      <formula1>INDIRECT(SUBSTITUTE(SUBSTITUTE(SUBSTITUTE(AG8," ","_"),"(",""),")",""))</formula1>
    </dataValidation>
    <dataValidation type="list" allowBlank="1" showInputMessage="1" showErrorMessage="1" errorTitle="Invalid Entry" error="Invalid Entry" sqref="H8:H57" xr:uid="{00000000-0002-0000-0600-000003000000}">
      <formula1>INDIRECT(SUBSTITUTE(SUBSTITUTE(SUBSTITUTE(AS8," ","_"),"(",""),")",""))</formula1>
    </dataValidation>
    <dataValidation allowBlank="1" sqref="X1:X57 W1:W6 W8:W57" xr:uid="{00000000-0002-0000-0600-000004000000}"/>
    <dataValidation allowBlank="1" showInputMessage="1" showErrorMessage="1" errorTitle="Invalid Entry" error="Please select from List!" sqref="T8:T57" xr:uid="{00000000-0002-0000-0600-000005000000}"/>
    <dataValidation allowBlank="1" showInputMessage="1" errorTitle="Invalid Enrty" error="Please select from List!" sqref="V8:V57" xr:uid="{00000000-0002-0000-0600-000006000000}"/>
    <dataValidation errorStyle="information" allowBlank="1" sqref="U8:U57 Y8:Y57" xr:uid="{00000000-0002-0000-0600-000007000000}"/>
    <dataValidation type="whole" errorStyle="warning" allowBlank="1" showInputMessage="1" showErrorMessage="1" errorTitle="Be Aware" error="Minimum Height for some Blind options is 200mm._x000a__x000a_Maximum Height for some Blind options is 3600mm." sqref="J8:J57" xr:uid="{00000000-0002-0000-0600-000008000000}">
      <formula1>200</formula1>
      <formula2>3600</formula2>
    </dataValidation>
    <dataValidation type="whole" errorStyle="warning" allowBlank="1" showInputMessage="1" showErrorMessage="1" errorTitle="Be Aware" error="Minimum Width for some Blind options is 270mm._x000a__x000a_Maximum Width for some Blind options is 3000mm." sqref="I8:I57" xr:uid="{00000000-0002-0000-0600-000009000000}">
      <formula1>200</formula1>
      <formula2>3000</formula2>
    </dataValidation>
    <dataValidation type="list" allowBlank="1" showInputMessage="1" showErrorMessage="1" errorTitle="Invalid Entry" error="Invalid Entry" sqref="D8:D57" xr:uid="{00000000-0002-0000-0600-00000B000000}">
      <formula1>CellularOperation</formula1>
    </dataValidation>
    <dataValidation type="list" errorStyle="warning" allowBlank="1" showInputMessage="1" showErrorMessage="1" errorTitle="Invalid Entry" error="This is not a standard colour._x000a_Please select from List!" sqref="M8:N57" xr:uid="{00000000-0002-0000-0600-00000C000000}">
      <formula1>"NAM, ACT"</formula1>
    </dataValidation>
    <dataValidation type="list" allowBlank="1" showInputMessage="1" showErrorMessage="1" errorTitle="Invalid Entry" error="Invalid Entry" sqref="O8:O57" xr:uid="{00000000-0002-0000-0600-00000F000000}">
      <formula1>INDIRECT(SUBSTITUTE(SUBSTITUTE(SUBSTITUTE(AT8," ","_"),"(",""),")",""))</formula1>
    </dataValidation>
    <dataValidation type="list" allowBlank="1" showInputMessage="1" showErrorMessage="1" errorTitle="Invalid Entry" error="Invalid Entry" sqref="E8:E57" xr:uid="{00BBCFF7-B215-4810-9DBB-F374288AC8EB}">
      <formula1>INDIRECT(SUBSTITUTE(SUBSTITUTE(SUBSTITUTE(AH8," ","_"),"(",""),")",""))</formula1>
    </dataValidation>
    <dataValidation type="list" allowBlank="1" showInputMessage="1" showErrorMessage="1" errorTitle="Invalid Entry" error="Invalid Entry" sqref="K8:K57" xr:uid="{735665E8-77C1-4D73-BD7B-0D8C6AC32C01}">
      <formula1>INDIRECT(SUBSTITUTE(SUBSTITUTE(SUBSTITUTE(AA8," ","_"),"(",""),")",""))</formula1>
    </dataValidation>
    <dataValidation type="list" allowBlank="1" showInputMessage="1" showErrorMessage="1" errorTitle="Invalid Entry" error="Invalid Entry" sqref="Q8:Q57" xr:uid="{6D245460-5EFE-43AF-866B-8083AADEE545}">
      <formula1>INDIRECT(SUBSTITUTE(SUBSTITUTE(SUBSTITUTE(AP8," ","_"),"(",""),")",""))</formula1>
    </dataValidation>
    <dataValidation type="list" allowBlank="1" showInputMessage="1" showErrorMessage="1" errorTitle="Invalid Entry" error="Invalid Entry" sqref="L8:L57" xr:uid="{99FC75D8-AC7E-4C84-81BB-5B9FC76C8878}">
      <formula1>INDIRECT(SUBSTITUTE(SUBSTITUTE(SUBSTITUTE(BA8," ","_"),"(",""),")",""))</formula1>
    </dataValidation>
    <dataValidation type="list" allowBlank="1" showInputMessage="1" showErrorMessage="1" errorTitle="Invalid Entry" error="Invalid Entry" sqref="R8:R57" xr:uid="{C844060A-96BF-47F4-8DBE-3F267F846EB4}">
      <formula1>INDIRECT(SUBSTITUTE(SUBSTITUTE(SUBSTITUTE(BN8," ","_"),"(",""),")",""))</formula1>
    </dataValidation>
    <dataValidation type="list" allowBlank="1" showInputMessage="1" showErrorMessage="1" errorTitle="Invalid Entry" error="Invalid Entry" sqref="S8:S57" xr:uid="{504ABF3B-FB5D-4D9E-B737-F05B1892C8FB}">
      <formula1>INDIRECT(SUBSTITUTE(SUBSTITUTE(SUBSTITUTE(CB8," ","_"),"(",""),")",""))</formula1>
    </dataValidation>
    <dataValidation type="list" allowBlank="1" showInputMessage="1" showErrorMessage="1" errorTitle="Invalid Entry" error="Invalid Entry" sqref="P8:P57" xr:uid="{16F1D2D6-81DF-4E41-81C5-3E49586CB83B}">
      <formula1>INDIRECT(SUBSTITUTE(SUBSTITUTE(SUBSTITUTE(AL8," ","_"),"(",""),")",""))</formula1>
    </dataValidation>
  </dataValidations>
  <printOptions horizontalCentered="1"/>
  <pageMargins left="0.23622047244094491" right="0.23622047244094491" top="0.23622047244094491" bottom="0.23622047244094491" header="0.19685039370078741" footer="0.15748031496062992"/>
  <pageSetup paperSize="9" scale="27"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BZ58"/>
  <sheetViews>
    <sheetView zoomScale="85" zoomScaleNormal="85" zoomScaleSheetLayoutView="85" workbookViewId="0">
      <selection activeCell="B8" sqref="B8"/>
    </sheetView>
  </sheetViews>
  <sheetFormatPr defaultRowHeight="15"/>
  <cols>
    <col min="1" max="1" width="7.140625" style="54" customWidth="1"/>
    <col min="2" max="2" width="13.7109375" style="54" customWidth="1"/>
    <col min="3" max="3" width="8.42578125" style="54" customWidth="1"/>
    <col min="4" max="4" width="21.5703125" style="54" customWidth="1"/>
    <col min="5" max="5" width="19.28515625" style="54" customWidth="1"/>
    <col min="6" max="6" width="13" style="54" customWidth="1"/>
    <col min="7" max="8" width="12.42578125" style="54" customWidth="1"/>
    <col min="9" max="9" width="38.140625" style="54" customWidth="1"/>
    <col min="10" max="10" width="15.85546875" style="54" customWidth="1"/>
    <col min="11" max="11" width="14" style="54" customWidth="1"/>
    <col min="12" max="12" width="9.85546875" style="54" customWidth="1"/>
    <col min="13" max="13" width="4.28515625" style="54" customWidth="1"/>
    <col min="14" max="14" width="14.7109375" style="54" customWidth="1"/>
    <col min="15" max="15" width="13.7109375" style="54" customWidth="1"/>
    <col min="16" max="16" width="14.7109375" style="54" customWidth="1"/>
    <col min="17" max="17" width="12.28515625" style="54" customWidth="1"/>
    <col min="18" max="18" width="10.85546875" style="54" customWidth="1"/>
    <col min="19" max="19" width="9.28515625" style="54" customWidth="1"/>
    <col min="20" max="21" width="21.7109375" style="54" customWidth="1"/>
    <col min="22" max="22" width="15.42578125" style="54" customWidth="1"/>
    <col min="23" max="23" width="44.5703125" style="65" hidden="1" customWidth="1"/>
    <col min="24" max="24" width="22.5703125" style="269" hidden="1" customWidth="1"/>
    <col min="25" max="25" width="9.140625" style="269" hidden="1" customWidth="1"/>
    <col min="26" max="26" width="9.140625" style="33" hidden="1" customWidth="1"/>
    <col min="27" max="27" width="14.7109375" style="269" hidden="1" customWidth="1"/>
    <col min="28" max="28" width="37.42578125" style="172" hidden="1" customWidth="1"/>
    <col min="29" max="30" width="23.28515625" style="172" hidden="1" customWidth="1"/>
    <col min="31" max="31" width="25.140625" style="33" hidden="1" customWidth="1"/>
    <col min="32" max="33" width="9.140625" style="33" hidden="1" customWidth="1"/>
    <col min="34" max="34" width="27" style="33" hidden="1" customWidth="1"/>
    <col min="35" max="35" width="9.140625" style="33" hidden="1" customWidth="1"/>
    <col min="36" max="36" width="24" style="33" hidden="1" customWidth="1"/>
    <col min="37" max="37" width="9.140625" style="33" hidden="1" customWidth="1"/>
    <col min="38" max="38" width="42.7109375" style="33" hidden="1" customWidth="1"/>
    <col min="39" max="47" width="9.140625" style="33" hidden="1" customWidth="1"/>
    <col min="48" max="48" width="14.7109375" style="33" hidden="1" customWidth="1"/>
    <col min="49" max="50" width="15.140625" style="172" hidden="1" customWidth="1"/>
    <col min="51" max="51" width="21.42578125" style="172" hidden="1" customWidth="1"/>
    <col min="52" max="52" width="9.140625" style="33" hidden="1" customWidth="1"/>
    <col min="53" max="53" width="13.85546875" style="33" hidden="1" customWidth="1"/>
    <col min="54" max="54" width="45" style="172" hidden="1" customWidth="1"/>
    <col min="55" max="55" width="53" style="33" hidden="1" customWidth="1"/>
    <col min="56" max="56" width="33.5703125" style="33" hidden="1" customWidth="1"/>
    <col min="57" max="57" width="28.85546875" style="33" hidden="1" customWidth="1"/>
    <col min="58" max="58" width="35.140625" style="33" hidden="1" customWidth="1"/>
    <col min="59" max="59" width="24.42578125" style="33" hidden="1" customWidth="1"/>
    <col min="60" max="60" width="39.85546875" style="33" hidden="1" customWidth="1"/>
    <col min="61" max="61" width="49" style="33" hidden="1" customWidth="1"/>
    <col min="62" max="62" width="20.28515625" style="172" hidden="1" customWidth="1"/>
    <col min="63" max="63" width="21.28515625" style="172" hidden="1" customWidth="1"/>
    <col min="64" max="64" width="19.5703125" style="172" hidden="1" customWidth="1"/>
    <col min="65" max="65" width="21.42578125" style="172" hidden="1" customWidth="1"/>
    <col min="66" max="66" width="20.28515625" style="172" hidden="1" customWidth="1"/>
    <col min="67" max="71" width="32" style="33" hidden="1" customWidth="1"/>
    <col min="72" max="78" width="9.140625" style="33" hidden="1" customWidth="1"/>
    <col min="79" max="16384" width="9.140625" style="33"/>
  </cols>
  <sheetData>
    <row r="1" spans="1:70" ht="26.25">
      <c r="A1" s="114"/>
      <c r="B1" s="115"/>
      <c r="C1" s="115"/>
      <c r="D1" s="115"/>
      <c r="E1" s="171"/>
      <c r="F1" s="115"/>
      <c r="G1" s="115"/>
      <c r="H1" s="115"/>
      <c r="I1" s="115"/>
      <c r="J1" s="48"/>
      <c r="K1" s="694" t="s">
        <v>0</v>
      </c>
      <c r="L1" s="695"/>
      <c r="M1" s="682">
        <f>Summary!D3</f>
        <v>0</v>
      </c>
      <c r="N1" s="683"/>
      <c r="O1" s="683"/>
      <c r="P1" s="683"/>
      <c r="Q1" s="683"/>
      <c r="R1" s="683"/>
      <c r="S1" s="683"/>
      <c r="T1" s="684"/>
      <c r="U1" s="59"/>
      <c r="V1" s="261"/>
      <c r="W1" s="258"/>
    </row>
    <row r="2" spans="1:70" ht="19.5">
      <c r="A2" s="28"/>
      <c r="B2" s="29"/>
      <c r="C2" s="29"/>
      <c r="F2" s="705" t="s">
        <v>1475</v>
      </c>
      <c r="G2" s="705"/>
      <c r="H2" s="705"/>
      <c r="I2" s="705"/>
      <c r="J2" s="48"/>
      <c r="K2" s="694" t="s">
        <v>141</v>
      </c>
      <c r="L2" s="695"/>
      <c r="M2" s="556">
        <f>Summary!D6</f>
        <v>0</v>
      </c>
      <c r="N2" s="557"/>
      <c r="O2" s="557"/>
      <c r="P2" s="557"/>
      <c r="Q2" s="557"/>
      <c r="R2" s="557"/>
      <c r="S2" s="557"/>
      <c r="T2" s="558"/>
      <c r="U2" s="61"/>
      <c r="V2" s="261"/>
      <c r="W2" s="258"/>
    </row>
    <row r="3" spans="1:70" ht="17.25" customHeight="1">
      <c r="A3" s="7"/>
      <c r="B3" s="8"/>
      <c r="C3" s="8"/>
      <c r="D3" s="116"/>
      <c r="F3" s="116"/>
      <c r="G3" s="116"/>
      <c r="H3" s="116"/>
      <c r="I3" s="116"/>
      <c r="J3" s="267"/>
      <c r="K3" s="694" t="s">
        <v>143</v>
      </c>
      <c r="L3" s="695"/>
      <c r="M3" s="537">
        <f>Summary!D4</f>
        <v>0</v>
      </c>
      <c r="N3" s="687"/>
      <c r="O3" s="687"/>
      <c r="P3" s="687"/>
      <c r="Q3" s="687"/>
      <c r="R3" s="687"/>
      <c r="S3" s="687"/>
      <c r="T3" s="688"/>
      <c r="U3" s="61"/>
      <c r="V3" s="62"/>
      <c r="W3" s="63"/>
    </row>
    <row r="4" spans="1:70" ht="17.25" customHeight="1">
      <c r="A4" s="551" t="s">
        <v>453</v>
      </c>
      <c r="B4" s="551"/>
      <c r="C4" s="551"/>
      <c r="D4" s="600"/>
      <c r="E4" s="600"/>
      <c r="F4" s="552" t="s">
        <v>452</v>
      </c>
      <c r="G4" s="553"/>
      <c r="H4" s="552"/>
      <c r="I4" s="706"/>
      <c r="J4" s="267"/>
      <c r="K4" s="694" t="s">
        <v>978</v>
      </c>
      <c r="L4" s="695"/>
      <c r="M4" s="556">
        <f>Summary!D7</f>
        <v>0</v>
      </c>
      <c r="N4" s="557"/>
      <c r="O4" s="557"/>
      <c r="P4" s="557"/>
      <c r="Q4" s="557"/>
      <c r="R4" s="557"/>
      <c r="S4" s="557"/>
      <c r="T4" s="558"/>
      <c r="U4" s="61"/>
      <c r="V4" s="261"/>
      <c r="W4" s="259"/>
    </row>
    <row r="5" spans="1:70" ht="17.25" customHeight="1">
      <c r="A5" s="96" t="s">
        <v>415</v>
      </c>
      <c r="B5" s="97"/>
      <c r="C5" s="97"/>
      <c r="D5" s="43" t="s">
        <v>210</v>
      </c>
      <c r="E5" s="118"/>
      <c r="F5" s="43"/>
      <c r="G5" s="117"/>
      <c r="H5" s="117"/>
      <c r="I5" s="117"/>
      <c r="J5" s="267"/>
      <c r="K5" s="694" t="s">
        <v>144</v>
      </c>
      <c r="L5" s="695"/>
      <c r="M5" s="696">
        <f>Summary!D8</f>
        <v>0</v>
      </c>
      <c r="N5" s="697"/>
      <c r="O5" s="697"/>
      <c r="P5" s="697"/>
      <c r="Q5" s="697"/>
      <c r="R5" s="697"/>
      <c r="S5" s="697"/>
      <c r="T5" s="698"/>
      <c r="U5" s="64"/>
      <c r="V5" s="261"/>
      <c r="W5" s="259"/>
    </row>
    <row r="6" spans="1:70" ht="15.75" thickBot="1">
      <c r="A6" s="595" t="s">
        <v>723</v>
      </c>
      <c r="B6" s="596"/>
      <c r="C6" s="596"/>
      <c r="D6" s="596"/>
      <c r="E6" s="596"/>
      <c r="F6" s="596"/>
      <c r="G6" s="596"/>
      <c r="H6" s="596"/>
      <c r="I6" s="596"/>
      <c r="J6" s="268"/>
      <c r="K6" s="701" t="s">
        <v>654</v>
      </c>
      <c r="L6" s="702"/>
      <c r="M6" s="592" t="str">
        <f>AB18</f>
        <v/>
      </c>
      <c r="N6" s="606"/>
      <c r="O6" s="606"/>
      <c r="P6" s="606"/>
      <c r="Q6" s="606"/>
      <c r="R6" s="606"/>
      <c r="S6" s="606"/>
      <c r="T6" s="607"/>
      <c r="BN6" s="172" t="s">
        <v>22</v>
      </c>
    </row>
    <row r="7" spans="1:70" ht="47.25" customHeight="1" thickTop="1" thickBot="1">
      <c r="A7" s="66" t="s">
        <v>146</v>
      </c>
      <c r="B7" s="67" t="s">
        <v>147</v>
      </c>
      <c r="C7" s="68" t="s">
        <v>164</v>
      </c>
      <c r="D7" s="68" t="s">
        <v>1208</v>
      </c>
      <c r="E7" s="68" t="s">
        <v>152</v>
      </c>
      <c r="F7" s="67" t="s">
        <v>148</v>
      </c>
      <c r="G7" s="68" t="s">
        <v>149</v>
      </c>
      <c r="H7" s="69" t="s">
        <v>955</v>
      </c>
      <c r="I7" s="69" t="s">
        <v>1477</v>
      </c>
      <c r="J7" s="69" t="s">
        <v>14</v>
      </c>
      <c r="K7" s="69" t="s">
        <v>165</v>
      </c>
      <c r="L7" s="571" t="s">
        <v>13</v>
      </c>
      <c r="M7" s="572"/>
      <c r="N7" s="67" t="s">
        <v>1506</v>
      </c>
      <c r="O7" s="67" t="s">
        <v>182</v>
      </c>
      <c r="P7" s="67" t="s">
        <v>166</v>
      </c>
      <c r="Q7" s="67" t="s">
        <v>189</v>
      </c>
      <c r="R7" s="67" t="s">
        <v>190</v>
      </c>
      <c r="S7" s="67" t="s">
        <v>186</v>
      </c>
      <c r="T7" s="573" t="s">
        <v>203</v>
      </c>
      <c r="U7" s="608"/>
      <c r="V7" s="231"/>
      <c r="W7" s="231"/>
      <c r="X7" s="269" t="s">
        <v>1072</v>
      </c>
      <c r="Y7" s="269" t="s">
        <v>1170</v>
      </c>
      <c r="AA7" s="269" t="s">
        <v>1171</v>
      </c>
      <c r="AD7" s="172" t="s">
        <v>841</v>
      </c>
      <c r="AE7" s="33" t="s">
        <v>1129</v>
      </c>
      <c r="AH7" s="33" t="s">
        <v>1151</v>
      </c>
      <c r="AJ7" s="33" t="s">
        <v>186</v>
      </c>
      <c r="AL7" s="33" t="s">
        <v>169</v>
      </c>
      <c r="AV7" s="67" t="s">
        <v>221</v>
      </c>
      <c r="AW7" s="172" t="s">
        <v>864</v>
      </c>
      <c r="AX7" s="172" t="s">
        <v>865</v>
      </c>
      <c r="AY7" s="172" t="s">
        <v>866</v>
      </c>
      <c r="BB7" s="172" t="s">
        <v>1436</v>
      </c>
      <c r="BC7" s="33" t="s">
        <v>168</v>
      </c>
      <c r="BD7" s="33" t="s">
        <v>1439</v>
      </c>
      <c r="BE7" s="33" t="s">
        <v>1446</v>
      </c>
      <c r="BF7" s="33" t="s">
        <v>1447</v>
      </c>
      <c r="BG7" s="33" t="s">
        <v>1448</v>
      </c>
      <c r="BH7" s="33" t="s">
        <v>166</v>
      </c>
      <c r="BI7" s="33" t="s">
        <v>1489</v>
      </c>
      <c r="BJ7" s="172" t="s">
        <v>1496</v>
      </c>
      <c r="BK7" s="172" t="s">
        <v>1495</v>
      </c>
      <c r="BL7" s="172" t="s">
        <v>1493</v>
      </c>
      <c r="BM7" s="172" t="s">
        <v>1494</v>
      </c>
      <c r="BN7" s="172" t="s">
        <v>1407</v>
      </c>
      <c r="BO7" s="33" t="s">
        <v>1521</v>
      </c>
      <c r="BP7" s="33" t="s">
        <v>1522</v>
      </c>
      <c r="BQ7" s="33" t="s">
        <v>1523</v>
      </c>
      <c r="BR7" s="33" t="s">
        <v>1524</v>
      </c>
    </row>
    <row r="8" spans="1:70" ht="30" customHeight="1" thickTop="1" thickBot="1">
      <c r="A8" s="50">
        <v>1</v>
      </c>
      <c r="B8" s="9"/>
      <c r="C8" s="23"/>
      <c r="D8" s="25"/>
      <c r="E8" s="11"/>
      <c r="F8" s="24"/>
      <c r="G8" s="24"/>
      <c r="H8" s="24"/>
      <c r="I8" s="25"/>
      <c r="J8" s="24"/>
      <c r="K8" s="24"/>
      <c r="L8" s="559"/>
      <c r="M8" s="560"/>
      <c r="N8" s="11"/>
      <c r="O8" s="11"/>
      <c r="P8" s="11"/>
      <c r="Q8" s="40"/>
      <c r="R8" s="25"/>
      <c r="S8" s="25"/>
      <c r="T8" s="703"/>
      <c r="U8" s="704"/>
      <c r="V8" s="229"/>
      <c r="W8" s="230"/>
      <c r="X8" s="269" t="e">
        <f>IF(AND(Y8="Yes",S8=""),"Enter","OK")</f>
        <v>#N/A</v>
      </c>
      <c r="Y8" s="269" t="e">
        <f>VLOOKUP(Q8,Data!$QH$2:$QI$4,2,FALSE)</f>
        <v>#N/A</v>
      </c>
      <c r="AA8" s="269" t="e">
        <f>IF(AND(Y8="Yes",R8=""),"Enter","OK")</f>
        <v>#N/A</v>
      </c>
      <c r="AB8" s="172" t="str">
        <f>IF(COUNTIF($J$8:$J$57,Data!KF3),Data!KG3,"")</f>
        <v/>
      </c>
      <c r="AC8" s="172" t="str">
        <f>IF(SUM(--ISNUMBER(SEARCH({"Bay","Corner"}, P8:P17))),"Yes","No")</f>
        <v>No</v>
      </c>
      <c r="AD8" s="172" t="e">
        <f>IF(#REF!=Data!$KK$2,Data!$KM$1,IF(#REF!=Data!$KK$3,Data!$KN$1,IF(#REF!=Data!$KK$4,Data!$KP$1,IF(#REF!=Data!$KK$5,Data!$KQ$1))))</f>
        <v>#REF!</v>
      </c>
      <c r="AE8" s="33" t="str">
        <f>IF(D8=Data!$W$10,Data!$QJ$1,Data!$QK$1)</f>
        <v>RollerControl</v>
      </c>
      <c r="AH8" s="33" t="b">
        <f>IF(Q8=Data!$PX$2,Data!$PZ$1,IF(Q8=Data!$PX$3,Data!$PY$1,IF(Q8=Data!$PX$4,Data!$QA$1)))</f>
        <v>0</v>
      </c>
      <c r="AJ8" s="33" t="b">
        <f>IF(Q8=Data!$PX$3,Data!$QB$1,IF(Q8=Data!$PX$2,Data!$QC$1,IF(Q8=Data!$PX$4,Data!$QD$1)))</f>
        <v>0</v>
      </c>
      <c r="AL8" s="33" t="str">
        <f>IF(D8=Data!$W$3,Data!$QF$1,IF(D8=Data!$W$4,Data!$QF$1,IF(D8=Data!$W$5,Data!$QF$1,IF(D8=Data!$W$6,Data!$QF$1,IF(D8=Data!$W$7,Data!$QF$1,IF(D8=Data!$W$8,Data!$QF$1,IF(D8=Data!$W$9,Data!$QF$1,IF(D8=Data!$W$10,Data!$QE$1,IF(D8=Data!$W$11,Data!$QF$1,IF(D8=Data!$W$12,Data!$QF$1,IF(D8=Data!$W$13,Data!$QF$1,IF(D8=Data!$W$14,Data!$QF$1,IF(D8=Data!$W$15,Data!$QF$1,IF(D8=Data!$W$16,Data!$QF$1))))))))))))))</f>
        <v>RollerBracketType2</v>
      </c>
      <c r="AV8" s="40" t="e">
        <f>IF(AND(G8&lt;2130, OR(#REF!&lt;2100)),Data!$KS$1,Data!$KT$1)</f>
        <v>#REF!</v>
      </c>
      <c r="AW8" s="172" t="e">
        <f>MATCH(#REF!,Data!$LA$1:$LD$1,0)</f>
        <v>#REF!</v>
      </c>
      <c r="AX8" s="172" t="e">
        <f>MATCH('Panel Glide Blinds'!AV8,Data!$KZ$2:$KZ$3,0)</f>
        <v>#REF!</v>
      </c>
      <c r="AY8" s="172" t="e">
        <f>INDEX(Data!$LA$2:$LD$3,'Panel Glide Blinds'!AX8,'Panel Glide Blinds'!AW8)</f>
        <v>#REF!</v>
      </c>
      <c r="BB8" s="172" t="e">
        <f>IF(#REF!=Data!$QK$2,Data!$QL$1,IF(#REF!=Data!$QK$3,Data!$QM$1,IF(#REF!=Data!$QK$4,Data!$QN$1,IF(#REF!=Data!$QK$5,Data!$QO$1,IF(#REF!=Data!$QK$6,Data!$QP$1,IF(#REF!=Data!$QK$7,Data!$QQ$1,IF(#REF!=Data!$QK$8,Data!$QR$1,IF(#REF!=Data!$QK$9,Data!$QS$1,IF(#REF!=Data!$QK$10,Data!$QT$1,IF(#REF!=Data!$QK$11,Data!$QU$1))))))))))</f>
        <v>#REF!</v>
      </c>
      <c r="BC8" s="33" t="e">
        <f>IF(#REF!=Data!$QK$2,Data!$QL$17,IF(#REF!=Data!$QK$3,Data!$QM$17,IF(#REF!=Data!$QK$4,Data!$QN$17,IF(#REF!=Data!$QK$5,Data!$QO$17,IF(#REF!=Data!$QK$6,Data!$QP$17,IF(#REF!=Data!$QK$7,Data!$QQ$17,IF(#REF!=Data!$QK$8,Data!$QR$17,IF(#REF!=Data!$QK$9,Data!$QS$17,IF(#REF!=Data!$QK$10,Data!$QT$17,IF(#REF!=Data!$QK$11,Data!$QU$17))))))))))</f>
        <v>#REF!</v>
      </c>
      <c r="BD8" s="33" t="e">
        <f>IF(#REF!=Data!$PU$2,Data!$PW$1,IF(#REF!=Data!$PU$3,Data!$PW$1,IF(#REF!=Data!$PU$4,Data!$PV$1,IF(#REF!=Data!$PU$5,Data!$PV$1,))))</f>
        <v>#REF!</v>
      </c>
      <c r="BE8" s="33" t="e">
        <f>MATCH('Panel Glide Blinds'!D8,Data!$AAK$2:$AAK$15)</f>
        <v>#N/A</v>
      </c>
      <c r="BF8" s="33" t="e">
        <f>MATCH(O8,Data!$AAL$1:$AAM$1)</f>
        <v>#N/A</v>
      </c>
      <c r="BG8" s="33" t="e">
        <f>INDEX(Data!$AAL$2:$AAM$15,BE8,BF8)</f>
        <v>#N/A</v>
      </c>
      <c r="BH8" s="33" t="b">
        <f>IF(O8=Data!$ABF$1,Data!$ABD$1,IF(O8=Data!$ABF$2,Data!$ABE$1))</f>
        <v>0</v>
      </c>
      <c r="BI8" s="33" t="e">
        <f>VLOOKUP(H8,Data!$ABL$2:$ABM$8,2,FALSE)</f>
        <v>#N/A</v>
      </c>
      <c r="BJ8" s="172" t="e">
        <f>VLOOKUP(H8,Data!$ABW$2:$ABX$9,2,FALSE)</f>
        <v>#N/A</v>
      </c>
      <c r="BK8" s="172" t="e">
        <f>VLOOKUP(H8,Data!$ABW$2:$ABY$8,3,FALSE)</f>
        <v>#N/A</v>
      </c>
      <c r="BL8" s="172" t="str">
        <f t="shared" ref="BL8:BL39" si="0">IF(F8="","",IF(F8&lt;BJ8,"Yes","No"))</f>
        <v/>
      </c>
      <c r="BM8" s="172" t="str">
        <f t="shared" ref="BM8:BM39" si="1">IF(F8="","",IF(F8&gt;BK8,"Yes","No"))</f>
        <v/>
      </c>
      <c r="BN8" s="172" t="str">
        <f>IF(COUNTIF(BL8:BM8,$BN$6),"Check Size","")</f>
        <v/>
      </c>
      <c r="BO8" s="33" t="e">
        <f>F8/H8</f>
        <v>#DIV/0!</v>
      </c>
      <c r="BP8" s="33" t="e">
        <f>IF(BO8&lt;400, "Yes", "No")</f>
        <v>#DIV/0!</v>
      </c>
      <c r="BQ8" s="33" t="e">
        <f>IF(BO8&gt;1000, "Yes", "No")</f>
        <v>#DIV/0!</v>
      </c>
      <c r="BR8" s="33" t="str">
        <f>IF(COUNTIF(BP8:BQ8,$BN$6),"Check Size","")</f>
        <v/>
      </c>
    </row>
    <row r="9" spans="1:70" ht="30" customHeight="1" thickTop="1" thickBot="1">
      <c r="A9" s="51">
        <v>2</v>
      </c>
      <c r="B9" s="13"/>
      <c r="C9" s="27"/>
      <c r="D9" s="13"/>
      <c r="E9" s="15"/>
      <c r="F9" s="14"/>
      <c r="G9" s="14"/>
      <c r="H9" s="14"/>
      <c r="I9" s="13"/>
      <c r="J9" s="14"/>
      <c r="K9" s="14"/>
      <c r="L9" s="563"/>
      <c r="M9" s="564"/>
      <c r="N9" s="15"/>
      <c r="O9" s="15"/>
      <c r="P9" s="15"/>
      <c r="Q9" s="13"/>
      <c r="R9" s="13"/>
      <c r="S9" s="13"/>
      <c r="T9" s="699"/>
      <c r="U9" s="700"/>
      <c r="V9" s="229"/>
      <c r="W9" s="230"/>
      <c r="X9" s="269" t="e">
        <f t="shared" ref="X9:X57" si="2">IF(AND(Y9="Yes",S9=""),"Enter","OK")</f>
        <v>#N/A</v>
      </c>
      <c r="Y9" s="269" t="e">
        <f>VLOOKUP(Q9,Data!$QH$2:$QI$4,2,FALSE)</f>
        <v>#N/A</v>
      </c>
      <c r="AA9" s="269" t="e">
        <f t="shared" ref="AA9:AA57" si="3">IF(AND(Y9="Yes",R9=""),"Enter","OK")</f>
        <v>#N/A</v>
      </c>
      <c r="AB9" s="172" t="str">
        <f>IF(COUNTIF($J$8:$J$57,Data!KF4),Data!KG4,"")</f>
        <v/>
      </c>
      <c r="AD9" s="172" t="e">
        <f>IF(#REF!=Data!$KK$2,Data!$KM$1,IF(#REF!=Data!$KK$3,Data!$KN$1,IF(#REF!=Data!$KK$4,Data!$KP$1,IF(#REF!=Data!$KK$5,Data!$KQ$1))))</f>
        <v>#REF!</v>
      </c>
      <c r="AE9" s="33" t="str">
        <f>IF(D9=Data!$W$10,Data!$QJ$1,Data!$QK$1)</f>
        <v>RollerControl</v>
      </c>
      <c r="AH9" s="33" t="b">
        <f>IF(Q9=Data!$PX$2,Data!$PZ$1,IF(Q9=Data!$PX$3,Data!$PY$1,IF(Q9=Data!$PX$4,Data!$QA$1)))</f>
        <v>0</v>
      </c>
      <c r="AJ9" s="33" t="b">
        <f>IF(Q9=Data!$PX$3,Data!$QB$1,IF(Q9=Data!$PX$2,Data!$QC$1,IF(Q9=Data!$PX$4,Data!$QD$1)))</f>
        <v>0</v>
      </c>
      <c r="AL9" s="33" t="str">
        <f>IF(D9=Data!$W$3,Data!$QF$1,IF(D9=Data!$W$4,Data!$QF$1,IF(D9=Data!$W$5,Data!$QF$1,IF(D9=Data!$W$6,Data!$QF$1,IF(D9=Data!$W$7,Data!$QF$1,IF(D9=Data!$W$8,Data!$QF$1,IF(D9=Data!$W$9,Data!$QF$1,IF(D9=Data!$W$10,Data!$QE$1,IF(D9=Data!$W$11,Data!$QF$1,IF(D9=Data!$W$12,Data!$QF$1,IF(D9=Data!$W$13,Data!$QF$1,IF(D9=Data!$W$14,Data!$QF$1,IF(D9=Data!$W$15,Data!$QF$1,IF(D9=Data!$W$16,Data!$QF$1))))))))))))))</f>
        <v>RollerBracketType2</v>
      </c>
      <c r="AV9" s="40" t="e">
        <f>IF(AND(G9&lt;2130, OR(#REF!&lt;2100)),Data!$KS$1,Data!$KT$1)</f>
        <v>#REF!</v>
      </c>
      <c r="AW9" s="172" t="e">
        <f>MATCH(#REF!,Data!$LA$1:$LD$1,0)</f>
        <v>#REF!</v>
      </c>
      <c r="AX9" s="172" t="e">
        <f>MATCH('Panel Glide Blinds'!AV9,Data!$KZ$2:$KZ$3,0)</f>
        <v>#REF!</v>
      </c>
      <c r="AY9" s="172" t="e">
        <f>INDEX(Data!$LA$2:$LD$3,'Panel Glide Blinds'!AX9,'Panel Glide Blinds'!AW9)</f>
        <v>#REF!</v>
      </c>
      <c r="BB9" s="172" t="e">
        <f>IF(#REF!=Data!$QK$2,Data!$QL$1,IF(#REF!=Data!$QK$3,Data!$QM$1,IF(#REF!=Data!$QK$4,Data!$QN$1,IF(#REF!=Data!$QK$5,Data!$QO$1,IF(#REF!=Data!$QK$6,Data!$QP$1,IF(#REF!=Data!$QK$7,Data!$QQ$1,IF(#REF!=Data!$QK$8,Data!$QR$1,IF(#REF!=Data!$QK$9,Data!$QS$1,IF(#REF!=Data!$QK$10,Data!$QT$1,IF(#REF!=Data!$QK$11,Data!$QU$1))))))))))</f>
        <v>#REF!</v>
      </c>
      <c r="BC9" s="33" t="e">
        <f>IF(#REF!=Data!$QK$2,Data!$QL$17,IF(#REF!=Data!$QK$3,Data!$QM$17,IF(#REF!=Data!$QK$4,Data!$QN$17,IF(#REF!=Data!$QK$5,Data!$QO$17,IF(#REF!=Data!$QK$6,Data!$QP$17,IF(#REF!=Data!$QK$7,Data!$QQ$17,IF(#REF!=Data!$QK$8,Data!$QR$17,IF(#REF!=Data!$QK$9,Data!$QS$17,IF(#REF!=Data!$QK$10,Data!$QT$17,IF(#REF!=Data!$QK$11,Data!$QU$17))))))))))</f>
        <v>#REF!</v>
      </c>
      <c r="BD9" s="33" t="e">
        <f>IF(#REF!=Data!$PU$2,Data!$PW$1,IF(#REF!=Data!$PU$3,Data!$PW$1,IF(#REF!=Data!$PU$4,Data!$PV$1,IF(#REF!=Data!$PU$5,Data!$PV$1,))))</f>
        <v>#REF!</v>
      </c>
      <c r="BE9" s="33" t="e">
        <f>MATCH('Panel Glide Blinds'!D9,Data!$AAK$2:$AAK$15)</f>
        <v>#N/A</v>
      </c>
      <c r="BF9" s="33" t="e">
        <f>MATCH(O9,Data!$AAL$1:$AAM$1)</f>
        <v>#N/A</v>
      </c>
      <c r="BG9" s="33" t="e">
        <f>INDEX(Data!$AAL$2:$AAM$15,BE9,BF9)</f>
        <v>#N/A</v>
      </c>
      <c r="BH9" s="33" t="b">
        <f>IF(O9=Data!$ABF$1,Data!$ABD$1,IF(O9=Data!$ABF$2,Data!$ABE$1))</f>
        <v>0</v>
      </c>
      <c r="BI9" s="33" t="e">
        <f>VLOOKUP(H9,Data!$ABL$2:$ABM$8,2,FALSE)</f>
        <v>#N/A</v>
      </c>
      <c r="BJ9" s="172" t="e">
        <f>VLOOKUP(H9,Data!$ABW$2:$ABX$9,2,FALSE)</f>
        <v>#N/A</v>
      </c>
      <c r="BK9" s="172" t="e">
        <f>VLOOKUP(H9,Data!$ABW$2:$ABY$8,3,FALSE)</f>
        <v>#N/A</v>
      </c>
      <c r="BL9" s="172" t="str">
        <f t="shared" si="0"/>
        <v/>
      </c>
      <c r="BM9" s="172" t="str">
        <f t="shared" si="1"/>
        <v/>
      </c>
      <c r="BN9" s="172" t="str">
        <f t="shared" ref="BN9:BN57" si="4">IF(COUNTIF(BL9:BM9,$BN$6),"Check Size","")</f>
        <v/>
      </c>
      <c r="BO9" s="33" t="e">
        <f t="shared" ref="BO9:BO57" si="5">F9/H9</f>
        <v>#DIV/0!</v>
      </c>
      <c r="BP9" s="33" t="e">
        <f t="shared" ref="BP9:BP57" si="6">IF(BO9&lt;400, "Yes", "No")</f>
        <v>#DIV/0!</v>
      </c>
      <c r="BQ9" s="33" t="e">
        <f t="shared" ref="BQ9:BQ57" si="7">IF(BO9&gt;1000, "Yes", "No")</f>
        <v>#DIV/0!</v>
      </c>
      <c r="BR9" s="33" t="str">
        <f t="shared" ref="BR9:BR57" si="8">IF(COUNTIF(BP9:BQ9,$BN$6),"Check Size","")</f>
        <v/>
      </c>
    </row>
    <row r="10" spans="1:70" ht="30" customHeight="1" thickTop="1" thickBot="1">
      <c r="A10" s="52">
        <v>3</v>
      </c>
      <c r="B10" s="17"/>
      <c r="C10" s="17"/>
      <c r="D10" s="13"/>
      <c r="E10" s="15"/>
      <c r="F10" s="14"/>
      <c r="G10" s="14"/>
      <c r="H10" s="14"/>
      <c r="I10" s="13"/>
      <c r="J10" s="14"/>
      <c r="K10" s="14"/>
      <c r="L10" s="563"/>
      <c r="M10" s="564"/>
      <c r="N10" s="15"/>
      <c r="O10" s="15"/>
      <c r="P10" s="15"/>
      <c r="Q10" s="13"/>
      <c r="R10" s="13"/>
      <c r="S10" s="13"/>
      <c r="T10" s="699"/>
      <c r="U10" s="700"/>
      <c r="V10" s="229"/>
      <c r="W10" s="230"/>
      <c r="X10" s="269" t="e">
        <f t="shared" si="2"/>
        <v>#N/A</v>
      </c>
      <c r="Y10" s="269" t="e">
        <f>VLOOKUP(Q10,Data!$QH$2:$QI$4,2,FALSE)</f>
        <v>#N/A</v>
      </c>
      <c r="AA10" s="269" t="e">
        <f t="shared" si="3"/>
        <v>#N/A</v>
      </c>
      <c r="AB10" s="172" t="str">
        <f>IF(COUNTIF($J$8:$J$57,Data!KF5),Data!KG5,"")</f>
        <v/>
      </c>
      <c r="AD10" s="172" t="e">
        <f>IF(#REF!=Data!$KK$2,Data!$KM$1,IF(#REF!=Data!$KK$3,Data!$KN$1,IF(#REF!=Data!$KK$4,Data!$KP$1,IF(#REF!=Data!$KK$5,Data!$KQ$1))))</f>
        <v>#REF!</v>
      </c>
      <c r="AE10" s="33" t="str">
        <f>IF(D10=Data!$W$10,Data!$QJ$1,Data!$QK$1)</f>
        <v>RollerControl</v>
      </c>
      <c r="AH10" s="33" t="b">
        <f>IF(Q10=Data!$PX$2,Data!$PZ$1,IF(Q10=Data!$PX$3,Data!$PY$1,IF(Q10=Data!$PX$4,Data!$QA$1)))</f>
        <v>0</v>
      </c>
      <c r="AJ10" s="33" t="b">
        <f>IF(Q10=Data!$PX$3,Data!$QB$1,IF(Q10=Data!$PX$2,Data!$QC$1,IF(Q10=Data!$PX$4,Data!$QD$1)))</f>
        <v>0</v>
      </c>
      <c r="AL10" s="33" t="str">
        <f>IF(D10=Data!$W$3,Data!$QF$1,IF(D10=Data!$W$4,Data!$QF$1,IF(D10=Data!$W$5,Data!$QF$1,IF(D10=Data!$W$6,Data!$QF$1,IF(D10=Data!$W$7,Data!$QF$1,IF(D10=Data!$W$8,Data!$QF$1,IF(D10=Data!$W$9,Data!$QF$1,IF(D10=Data!$W$10,Data!$QE$1,IF(D10=Data!$W$11,Data!$QF$1,IF(D10=Data!$W$12,Data!$QF$1,IF(D10=Data!$W$13,Data!$QF$1,IF(D10=Data!$W$14,Data!$QF$1,IF(D10=Data!$W$15,Data!$QF$1,IF(D10=Data!$W$16,Data!$QF$1))))))))))))))</f>
        <v>RollerBracketType2</v>
      </c>
      <c r="AV10" s="40" t="e">
        <f>IF(AND(G10&lt;2130, OR(#REF!&lt;2100)),Data!$KS$1,Data!$KT$1)</f>
        <v>#REF!</v>
      </c>
      <c r="AW10" s="172" t="e">
        <f>MATCH(#REF!,Data!$LA$1:$LD$1,0)</f>
        <v>#REF!</v>
      </c>
      <c r="AX10" s="172" t="e">
        <f>MATCH('Panel Glide Blinds'!AV10,Data!$KZ$2:$KZ$3,0)</f>
        <v>#REF!</v>
      </c>
      <c r="AY10" s="172" t="e">
        <f>INDEX(Data!$LA$2:$LD$3,'Panel Glide Blinds'!AX10,'Panel Glide Blinds'!AW10)</f>
        <v>#REF!</v>
      </c>
      <c r="BB10" s="172" t="e">
        <f>IF(#REF!=Data!$QK$2,Data!$QL$1,IF(#REF!=Data!$QK$3,Data!$QM$1,IF(#REF!=Data!$QK$4,Data!$QN$1,IF(#REF!=Data!$QK$5,Data!$QO$1,IF(#REF!=Data!$QK$6,Data!$QP$1,IF(#REF!=Data!$QK$7,Data!$QQ$1,IF(#REF!=Data!$QK$8,Data!$QR$1,IF(#REF!=Data!$QK$9,Data!$QS$1,IF(#REF!=Data!$QK$10,Data!$QT$1,IF(#REF!=Data!$QK$11,Data!$QU$1))))))))))</f>
        <v>#REF!</v>
      </c>
      <c r="BC10" s="33" t="e">
        <f>IF(#REF!=Data!$QK$2,Data!$QL$17,IF(#REF!=Data!$QK$3,Data!$QM$17,IF(#REF!=Data!$QK$4,Data!$QN$17,IF(#REF!=Data!$QK$5,Data!$QO$17,IF(#REF!=Data!$QK$6,Data!$QP$17,IF(#REF!=Data!$QK$7,Data!$QQ$17,IF(#REF!=Data!$QK$8,Data!$QR$17,IF(#REF!=Data!$QK$9,Data!$QS$17,IF(#REF!=Data!$QK$10,Data!$QT$17,IF(#REF!=Data!$QK$11,Data!$QU$17))))))))))</f>
        <v>#REF!</v>
      </c>
      <c r="BD10" s="33" t="e">
        <f>IF(#REF!=Data!$PU$2,Data!$PW$1,IF(#REF!=Data!$PU$3,Data!$PW$1,IF(#REF!=Data!$PU$4,Data!$PV$1,IF(#REF!=Data!$PU$5,Data!$PV$1,))))</f>
        <v>#REF!</v>
      </c>
      <c r="BE10" s="33" t="e">
        <f>MATCH('Panel Glide Blinds'!D10,Data!$AAK$2:$AAK$15)</f>
        <v>#N/A</v>
      </c>
      <c r="BF10" s="33" t="e">
        <f>MATCH(O10,Data!$AAL$1:$AAM$1)</f>
        <v>#N/A</v>
      </c>
      <c r="BG10" s="33" t="e">
        <f>INDEX(Data!$AAL$2:$AAM$15,BE10,BF10)</f>
        <v>#N/A</v>
      </c>
      <c r="BH10" s="33" t="b">
        <f>IF(O10=Data!$ABF$1,Data!$ABD$1,IF(O10=Data!$ABF$2,Data!$ABE$1))</f>
        <v>0</v>
      </c>
      <c r="BI10" s="33" t="e">
        <f>VLOOKUP(H10,Data!$ABL$2:$ABM$8,2,FALSE)</f>
        <v>#N/A</v>
      </c>
      <c r="BJ10" s="172" t="e">
        <f>VLOOKUP(H10,Data!$ABW$2:$ABX$9,2,FALSE)</f>
        <v>#N/A</v>
      </c>
      <c r="BK10" s="172" t="e">
        <f>VLOOKUP(H10,Data!$ABW$2:$ABY$8,3,FALSE)</f>
        <v>#N/A</v>
      </c>
      <c r="BL10" s="172" t="str">
        <f t="shared" si="0"/>
        <v/>
      </c>
      <c r="BM10" s="172" t="str">
        <f t="shared" si="1"/>
        <v/>
      </c>
      <c r="BN10" s="172" t="str">
        <f t="shared" si="4"/>
        <v/>
      </c>
      <c r="BO10" s="33" t="e">
        <f t="shared" si="5"/>
        <v>#DIV/0!</v>
      </c>
      <c r="BP10" s="33" t="e">
        <f t="shared" si="6"/>
        <v>#DIV/0!</v>
      </c>
      <c r="BQ10" s="33" t="e">
        <f t="shared" si="7"/>
        <v>#DIV/0!</v>
      </c>
      <c r="BR10" s="33" t="str">
        <f t="shared" si="8"/>
        <v/>
      </c>
    </row>
    <row r="11" spans="1:70" ht="30" customHeight="1" thickTop="1" thickBot="1">
      <c r="A11" s="52">
        <v>4</v>
      </c>
      <c r="B11" s="17"/>
      <c r="C11" s="17"/>
      <c r="D11" s="13"/>
      <c r="E11" s="15"/>
      <c r="F11" s="14"/>
      <c r="G11" s="14"/>
      <c r="H11" s="14"/>
      <c r="I11" s="13"/>
      <c r="J11" s="14"/>
      <c r="K11" s="14"/>
      <c r="L11" s="563"/>
      <c r="M11" s="564"/>
      <c r="N11" s="15"/>
      <c r="O11" s="15"/>
      <c r="P11" s="15"/>
      <c r="Q11" s="13"/>
      <c r="R11" s="13"/>
      <c r="S11" s="13"/>
      <c r="T11" s="699"/>
      <c r="U11" s="700"/>
      <c r="V11" s="229"/>
      <c r="W11" s="230"/>
      <c r="X11" s="269" t="e">
        <f t="shared" si="2"/>
        <v>#N/A</v>
      </c>
      <c r="Y11" s="269" t="e">
        <f>VLOOKUP(Q11,Data!$QH$2:$QI$4,2,FALSE)</f>
        <v>#N/A</v>
      </c>
      <c r="AA11" s="269" t="e">
        <f t="shared" si="3"/>
        <v>#N/A</v>
      </c>
      <c r="AB11" s="172" t="str">
        <f>IF(COUNTIF($J$8:$J$57,Data!KF6),Data!KG6,"")</f>
        <v/>
      </c>
      <c r="AD11" s="172" t="e">
        <f>IF(#REF!=Data!$KK$2,Data!$KM$1,IF(#REF!=Data!$KK$3,Data!$KN$1,IF(#REF!=Data!$KK$4,Data!$KP$1,IF(#REF!=Data!$KK$5,Data!$KQ$1))))</f>
        <v>#REF!</v>
      </c>
      <c r="AE11" s="33" t="str">
        <f>IF(D11=Data!$W$10,Data!$QJ$1,Data!$QK$1)</f>
        <v>RollerControl</v>
      </c>
      <c r="AH11" s="33" t="b">
        <f>IF(Q11=Data!$PX$2,Data!$PZ$1,IF(Q11=Data!$PX$3,Data!$PY$1,IF(Q11=Data!$PX$4,Data!$QA$1)))</f>
        <v>0</v>
      </c>
      <c r="AJ11" s="33" t="b">
        <f>IF(Q11=Data!$PX$3,Data!$QB$1,IF(Q11=Data!$PX$2,Data!$QC$1,IF(Q11=Data!$PX$4,Data!$QD$1)))</f>
        <v>0</v>
      </c>
      <c r="AL11" s="33" t="str">
        <f>IF(D11=Data!$W$3,Data!$QF$1,IF(D11=Data!$W$4,Data!$QF$1,IF(D11=Data!$W$5,Data!$QF$1,IF(D11=Data!$W$6,Data!$QF$1,IF(D11=Data!$W$7,Data!$QF$1,IF(D11=Data!$W$8,Data!$QF$1,IF(D11=Data!$W$9,Data!$QF$1,IF(D11=Data!$W$10,Data!$QE$1,IF(D11=Data!$W$11,Data!$QF$1,IF(D11=Data!$W$12,Data!$QF$1,IF(D11=Data!$W$13,Data!$QF$1,IF(D11=Data!$W$14,Data!$QF$1,IF(D11=Data!$W$15,Data!$QF$1,IF(D11=Data!$W$16,Data!$QF$1))))))))))))))</f>
        <v>RollerBracketType2</v>
      </c>
      <c r="AV11" s="40" t="e">
        <f>IF(AND(G11&lt;2130, OR(#REF!&lt;2100)),Data!$KS$1,Data!$KT$1)</f>
        <v>#REF!</v>
      </c>
      <c r="AW11" s="172" t="e">
        <f>MATCH(#REF!,Data!$LA$1:$LD$1,0)</f>
        <v>#REF!</v>
      </c>
      <c r="AX11" s="172" t="e">
        <f>MATCH('Panel Glide Blinds'!AV11,Data!$KZ$2:$KZ$3,0)</f>
        <v>#REF!</v>
      </c>
      <c r="AY11" s="172" t="e">
        <f>INDEX(Data!$LA$2:$LD$3,'Panel Glide Blinds'!AX11,'Panel Glide Blinds'!AW11)</f>
        <v>#REF!</v>
      </c>
      <c r="BB11" s="172" t="e">
        <f>IF(#REF!=Data!$QK$2,Data!$QL$1,IF(#REF!=Data!$QK$3,Data!$QM$1,IF(#REF!=Data!$QK$4,Data!$QN$1,IF(#REF!=Data!$QK$5,Data!$QO$1,IF(#REF!=Data!$QK$6,Data!$QP$1,IF(#REF!=Data!$QK$7,Data!$QQ$1,IF(#REF!=Data!$QK$8,Data!$QR$1,IF(#REF!=Data!$QK$9,Data!$QS$1,IF(#REF!=Data!$QK$10,Data!$QT$1,IF(#REF!=Data!$QK$11,Data!$QU$1))))))))))</f>
        <v>#REF!</v>
      </c>
      <c r="BC11" s="33" t="e">
        <f>IF(#REF!=Data!$QK$2,Data!$QL$17,IF(#REF!=Data!$QK$3,Data!$QM$17,IF(#REF!=Data!$QK$4,Data!$QN$17,IF(#REF!=Data!$QK$5,Data!$QO$17,IF(#REF!=Data!$QK$6,Data!$QP$17,IF(#REF!=Data!$QK$7,Data!$QQ$17,IF(#REF!=Data!$QK$8,Data!$QR$17,IF(#REF!=Data!$QK$9,Data!$QS$17,IF(#REF!=Data!$QK$10,Data!$QT$17,IF(#REF!=Data!$QK$11,Data!$QU$17))))))))))</f>
        <v>#REF!</v>
      </c>
      <c r="BD11" s="33" t="e">
        <f>IF(#REF!=Data!$PU$2,Data!$PW$1,IF(#REF!=Data!$PU$3,Data!$PW$1,IF(#REF!=Data!$PU$4,Data!$PV$1,IF(#REF!=Data!$PU$5,Data!$PV$1,))))</f>
        <v>#REF!</v>
      </c>
      <c r="BE11" s="33" t="e">
        <f>MATCH('Panel Glide Blinds'!D11,Data!$AAK$2:$AAK$15)</f>
        <v>#N/A</v>
      </c>
      <c r="BF11" s="33" t="e">
        <f>MATCH(O11,Data!$AAL$1:$AAM$1)</f>
        <v>#N/A</v>
      </c>
      <c r="BG11" s="33" t="e">
        <f>INDEX(Data!$AAL$2:$AAM$15,BE11,BF11)</f>
        <v>#N/A</v>
      </c>
      <c r="BH11" s="33" t="b">
        <f>IF(O11=Data!$ABF$1,Data!$ABD$1,IF(O11=Data!$ABF$2,Data!$ABE$1))</f>
        <v>0</v>
      </c>
      <c r="BI11" s="33" t="e">
        <f>VLOOKUP(H11,Data!$ABL$2:$ABM$8,2,FALSE)</f>
        <v>#N/A</v>
      </c>
      <c r="BJ11" s="172" t="e">
        <f>VLOOKUP(H11,Data!$ABW$2:$ABX$9,2,FALSE)</f>
        <v>#N/A</v>
      </c>
      <c r="BK11" s="172" t="e">
        <f>VLOOKUP(H11,Data!$ABW$2:$ABY$8,3,FALSE)</f>
        <v>#N/A</v>
      </c>
      <c r="BL11" s="172" t="str">
        <f t="shared" si="0"/>
        <v/>
      </c>
      <c r="BM11" s="172" t="str">
        <f t="shared" si="1"/>
        <v/>
      </c>
      <c r="BN11" s="172" t="str">
        <f t="shared" si="4"/>
        <v/>
      </c>
      <c r="BO11" s="33" t="e">
        <f t="shared" si="5"/>
        <v>#DIV/0!</v>
      </c>
      <c r="BP11" s="33" t="e">
        <f t="shared" si="6"/>
        <v>#DIV/0!</v>
      </c>
      <c r="BQ11" s="33" t="e">
        <f t="shared" si="7"/>
        <v>#DIV/0!</v>
      </c>
      <c r="BR11" s="33" t="str">
        <f t="shared" si="8"/>
        <v/>
      </c>
    </row>
    <row r="12" spans="1:70" ht="30" customHeight="1" thickTop="1" thickBot="1">
      <c r="A12" s="52">
        <v>5</v>
      </c>
      <c r="B12" s="17"/>
      <c r="C12" s="17"/>
      <c r="D12" s="13"/>
      <c r="E12" s="15"/>
      <c r="F12" s="14"/>
      <c r="G12" s="14"/>
      <c r="H12" s="14"/>
      <c r="I12" s="13"/>
      <c r="J12" s="14"/>
      <c r="K12" s="14"/>
      <c r="L12" s="563"/>
      <c r="M12" s="564"/>
      <c r="N12" s="15"/>
      <c r="O12" s="15"/>
      <c r="P12" s="15"/>
      <c r="Q12" s="13"/>
      <c r="R12" s="13"/>
      <c r="S12" s="13"/>
      <c r="T12" s="699"/>
      <c r="U12" s="700"/>
      <c r="V12" s="229"/>
      <c r="W12" s="230"/>
      <c r="X12" s="269" t="e">
        <f t="shared" si="2"/>
        <v>#N/A</v>
      </c>
      <c r="Y12" s="269" t="e">
        <f>VLOOKUP(Q12,Data!$QH$2:$QI$4,2,FALSE)</f>
        <v>#N/A</v>
      </c>
      <c r="AA12" s="269" t="e">
        <f t="shared" si="3"/>
        <v>#N/A</v>
      </c>
      <c r="AB12" s="172" t="str">
        <f>IF(COUNTIF($J$8:$J$57,Data!KF7),Data!KG7,"")</f>
        <v/>
      </c>
      <c r="AD12" s="172" t="e">
        <f>IF(#REF!=Data!$KK$2,Data!$KM$1,IF(#REF!=Data!$KK$3,Data!$KN$1,IF(#REF!=Data!$KK$4,Data!$KP$1,IF(#REF!=Data!$KK$5,Data!$KQ$1))))</f>
        <v>#REF!</v>
      </c>
      <c r="AE12" s="33" t="str">
        <f>IF(D12=Data!$W$10,Data!$QJ$1,Data!$QK$1)</f>
        <v>RollerControl</v>
      </c>
      <c r="AH12" s="33" t="b">
        <f>IF(Q12=Data!$PX$2,Data!$PZ$1,IF(Q12=Data!$PX$3,Data!$PY$1,IF(Q12=Data!$PX$4,Data!$QA$1)))</f>
        <v>0</v>
      </c>
      <c r="AJ12" s="33" t="b">
        <f>IF(Q12=Data!$PX$3,Data!$QB$1,IF(Q12=Data!$PX$2,Data!$QC$1,IF(Q12=Data!$PX$4,Data!$QD$1)))</f>
        <v>0</v>
      </c>
      <c r="AL12" s="33" t="str">
        <f>IF(D12=Data!$W$3,Data!$QF$1,IF(D12=Data!$W$4,Data!$QF$1,IF(D12=Data!$W$5,Data!$QF$1,IF(D12=Data!$W$6,Data!$QF$1,IF(D12=Data!$W$7,Data!$QF$1,IF(D12=Data!$W$8,Data!$QF$1,IF(D12=Data!$W$9,Data!$QF$1,IF(D12=Data!$W$10,Data!$QE$1,IF(D12=Data!$W$11,Data!$QF$1,IF(D12=Data!$W$12,Data!$QF$1,IF(D12=Data!$W$13,Data!$QF$1,IF(D12=Data!$W$14,Data!$QF$1,IF(D12=Data!$W$15,Data!$QF$1,IF(D12=Data!$W$16,Data!$QF$1))))))))))))))</f>
        <v>RollerBracketType2</v>
      </c>
      <c r="AV12" s="40" t="e">
        <f>IF(AND(G12&lt;2130, OR(#REF!&lt;2100)),Data!$KS$1,Data!$KT$1)</f>
        <v>#REF!</v>
      </c>
      <c r="AW12" s="172" t="e">
        <f>MATCH(#REF!,Data!$LA$1:$LD$1,0)</f>
        <v>#REF!</v>
      </c>
      <c r="AX12" s="172" t="e">
        <f>MATCH('Panel Glide Blinds'!AV12,Data!$KZ$2:$KZ$3,0)</f>
        <v>#REF!</v>
      </c>
      <c r="AY12" s="172" t="e">
        <f>INDEX(Data!$LA$2:$LD$3,'Panel Glide Blinds'!AX12,'Panel Glide Blinds'!AW12)</f>
        <v>#REF!</v>
      </c>
      <c r="BB12" s="172" t="e">
        <f>IF(#REF!=Data!$QK$2,Data!$QL$1,IF(#REF!=Data!$QK$3,Data!$QM$1,IF(#REF!=Data!$QK$4,Data!$QN$1,IF(#REF!=Data!$QK$5,Data!$QO$1,IF(#REF!=Data!$QK$6,Data!$QP$1,IF(#REF!=Data!$QK$7,Data!$QQ$1,IF(#REF!=Data!$QK$8,Data!$QR$1,IF(#REF!=Data!$QK$9,Data!$QS$1,IF(#REF!=Data!$QK$10,Data!$QT$1,IF(#REF!=Data!$QK$11,Data!$QU$1))))))))))</f>
        <v>#REF!</v>
      </c>
      <c r="BC12" s="33" t="e">
        <f>IF(#REF!=Data!$QK$2,Data!$QL$17,IF(#REF!=Data!$QK$3,Data!$QM$17,IF(#REF!=Data!$QK$4,Data!$QN$17,IF(#REF!=Data!$QK$5,Data!$QO$17,IF(#REF!=Data!$QK$6,Data!$QP$17,IF(#REF!=Data!$QK$7,Data!$QQ$17,IF(#REF!=Data!$QK$8,Data!$QR$17,IF(#REF!=Data!$QK$9,Data!$QS$17,IF(#REF!=Data!$QK$10,Data!$QT$17,IF(#REF!=Data!$QK$11,Data!$QU$17))))))))))</f>
        <v>#REF!</v>
      </c>
      <c r="BD12" s="33" t="e">
        <f>IF(#REF!=Data!$PU$2,Data!$PW$1,IF(#REF!=Data!$PU$3,Data!$PW$1,IF(#REF!=Data!$PU$4,Data!$PV$1,IF(#REF!=Data!$PU$5,Data!$PV$1,))))</f>
        <v>#REF!</v>
      </c>
      <c r="BE12" s="33" t="e">
        <f>MATCH('Panel Glide Blinds'!D12,Data!$AAK$2:$AAK$15)</f>
        <v>#N/A</v>
      </c>
      <c r="BF12" s="33" t="e">
        <f>MATCH(O12,Data!$AAL$1:$AAM$1)</f>
        <v>#N/A</v>
      </c>
      <c r="BG12" s="33" t="e">
        <f>INDEX(Data!$AAL$2:$AAM$15,BE12,BF12)</f>
        <v>#N/A</v>
      </c>
      <c r="BH12" s="33" t="b">
        <f>IF(O12=Data!$ABF$1,Data!$ABD$1,IF(O12=Data!$ABF$2,Data!$ABE$1))</f>
        <v>0</v>
      </c>
      <c r="BI12" s="33" t="e">
        <f>VLOOKUP(H12,Data!$ABL$2:$ABM$8,2,FALSE)</f>
        <v>#N/A</v>
      </c>
      <c r="BJ12" s="172" t="e">
        <f>VLOOKUP(H12,Data!$ABW$2:$ABX$9,2,FALSE)</f>
        <v>#N/A</v>
      </c>
      <c r="BK12" s="172" t="e">
        <f>VLOOKUP(H12,Data!$ABW$2:$ABY$8,3,FALSE)</f>
        <v>#N/A</v>
      </c>
      <c r="BL12" s="172" t="str">
        <f t="shared" si="0"/>
        <v/>
      </c>
      <c r="BM12" s="172" t="str">
        <f t="shared" si="1"/>
        <v/>
      </c>
      <c r="BN12" s="172" t="str">
        <f t="shared" si="4"/>
        <v/>
      </c>
      <c r="BO12" s="33" t="e">
        <f t="shared" si="5"/>
        <v>#DIV/0!</v>
      </c>
      <c r="BP12" s="33" t="e">
        <f t="shared" si="6"/>
        <v>#DIV/0!</v>
      </c>
      <c r="BQ12" s="33" t="e">
        <f t="shared" si="7"/>
        <v>#DIV/0!</v>
      </c>
      <c r="BR12" s="33" t="str">
        <f t="shared" si="8"/>
        <v/>
      </c>
    </row>
    <row r="13" spans="1:70" ht="30" customHeight="1" thickTop="1" thickBot="1">
      <c r="A13" s="52">
        <v>6</v>
      </c>
      <c r="B13" s="17"/>
      <c r="C13" s="17"/>
      <c r="D13" s="13"/>
      <c r="E13" s="15"/>
      <c r="F13" s="14"/>
      <c r="G13" s="14"/>
      <c r="H13" s="14"/>
      <c r="I13" s="13"/>
      <c r="J13" s="14"/>
      <c r="K13" s="14"/>
      <c r="L13" s="563"/>
      <c r="M13" s="564"/>
      <c r="N13" s="15"/>
      <c r="O13" s="15"/>
      <c r="P13" s="15"/>
      <c r="Q13" s="13"/>
      <c r="R13" s="13"/>
      <c r="S13" s="13"/>
      <c r="T13" s="699"/>
      <c r="U13" s="700"/>
      <c r="V13" s="229"/>
      <c r="W13" s="230"/>
      <c r="X13" s="269" t="e">
        <f t="shared" si="2"/>
        <v>#N/A</v>
      </c>
      <c r="Y13" s="269" t="e">
        <f>VLOOKUP(Q13,Data!$QH$2:$QI$4,2,FALSE)</f>
        <v>#N/A</v>
      </c>
      <c r="AA13" s="269" t="e">
        <f t="shared" si="3"/>
        <v>#N/A</v>
      </c>
      <c r="AB13" s="172" t="str">
        <f>IF(COUNTIF($J$8:$J$57,Data!KF8),Data!KG8,"")</f>
        <v/>
      </c>
      <c r="AD13" s="172" t="e">
        <f>IF(#REF!=Data!$KK$2,Data!$KM$1,IF(#REF!=Data!$KK$3,Data!$KN$1,IF(#REF!=Data!$KK$4,Data!$KP$1,IF(#REF!=Data!$KK$5,Data!$KQ$1))))</f>
        <v>#REF!</v>
      </c>
      <c r="AE13" s="33" t="str">
        <f>IF(D13=Data!$W$10,Data!$QJ$1,Data!$QK$1)</f>
        <v>RollerControl</v>
      </c>
      <c r="AH13" s="33" t="b">
        <f>IF(Q13=Data!$PX$2,Data!$PZ$1,IF(Q13=Data!$PX$3,Data!$PY$1,IF(Q13=Data!$PX$4,Data!$QA$1)))</f>
        <v>0</v>
      </c>
      <c r="AJ13" s="33" t="b">
        <f>IF(Q13=Data!$PX$3,Data!$QB$1,IF(Q13=Data!$PX$2,Data!$QC$1,IF(Q13=Data!$PX$4,Data!$QD$1)))</f>
        <v>0</v>
      </c>
      <c r="AL13" s="33" t="str">
        <f>IF(D13=Data!$W$3,Data!$QF$1,IF(D13=Data!$W$4,Data!$QF$1,IF(D13=Data!$W$5,Data!$QF$1,IF(D13=Data!$W$6,Data!$QF$1,IF(D13=Data!$W$7,Data!$QF$1,IF(D13=Data!$W$8,Data!$QF$1,IF(D13=Data!$W$9,Data!$QF$1,IF(D13=Data!$W$10,Data!$QE$1,IF(D13=Data!$W$11,Data!$QF$1,IF(D13=Data!$W$12,Data!$QF$1,IF(D13=Data!$W$13,Data!$QF$1,IF(D13=Data!$W$14,Data!$QF$1,IF(D13=Data!$W$15,Data!$QF$1,IF(D13=Data!$W$16,Data!$QF$1))))))))))))))</f>
        <v>RollerBracketType2</v>
      </c>
      <c r="AV13" s="40" t="e">
        <f>IF(AND(G13&lt;2130, OR(#REF!&lt;2100)),Data!$KS$1,Data!$KT$1)</f>
        <v>#REF!</v>
      </c>
      <c r="AW13" s="172" t="e">
        <f>MATCH(#REF!,Data!$LA$1:$LD$1,0)</f>
        <v>#REF!</v>
      </c>
      <c r="AX13" s="172" t="e">
        <f>MATCH('Panel Glide Blinds'!AV13,Data!$KZ$2:$KZ$3,0)</f>
        <v>#REF!</v>
      </c>
      <c r="AY13" s="172" t="e">
        <f>INDEX(Data!$LA$2:$LD$3,'Panel Glide Blinds'!AX13,'Panel Glide Blinds'!AW13)</f>
        <v>#REF!</v>
      </c>
      <c r="BB13" s="172" t="e">
        <f>IF(#REF!=Data!$QK$2,Data!$QL$1,IF(#REF!=Data!$QK$3,Data!$QM$1,IF(#REF!=Data!$QK$4,Data!$QN$1,IF(#REF!=Data!$QK$5,Data!$QO$1,IF(#REF!=Data!$QK$6,Data!$QP$1,IF(#REF!=Data!$QK$7,Data!$QQ$1,IF(#REF!=Data!$QK$8,Data!$QR$1,IF(#REF!=Data!$QK$9,Data!$QS$1,IF(#REF!=Data!$QK$10,Data!$QT$1,IF(#REF!=Data!$QK$11,Data!$QU$1))))))))))</f>
        <v>#REF!</v>
      </c>
      <c r="BC13" s="33" t="e">
        <f>IF(#REF!=Data!$QK$2,Data!$QL$17,IF(#REF!=Data!$QK$3,Data!$QM$17,IF(#REF!=Data!$QK$4,Data!$QN$17,IF(#REF!=Data!$QK$5,Data!$QO$17,IF(#REF!=Data!$QK$6,Data!$QP$17,IF(#REF!=Data!$QK$7,Data!$QQ$17,IF(#REF!=Data!$QK$8,Data!$QR$17,IF(#REF!=Data!$QK$9,Data!$QS$17,IF(#REF!=Data!$QK$10,Data!$QT$17,IF(#REF!=Data!$QK$11,Data!$QU$17))))))))))</f>
        <v>#REF!</v>
      </c>
      <c r="BD13" s="33" t="e">
        <f>IF(#REF!=Data!$PU$2,Data!$PW$1,IF(#REF!=Data!$PU$3,Data!$PW$1,IF(#REF!=Data!$PU$4,Data!$PV$1,IF(#REF!=Data!$PU$5,Data!$PV$1,))))</f>
        <v>#REF!</v>
      </c>
      <c r="BE13" s="33" t="e">
        <f>MATCH('Panel Glide Blinds'!D13,Data!$AAK$2:$AAK$15)</f>
        <v>#N/A</v>
      </c>
      <c r="BF13" s="33" t="e">
        <f>MATCH(O13,Data!$AAL$1:$AAM$1)</f>
        <v>#N/A</v>
      </c>
      <c r="BG13" s="33" t="e">
        <f>INDEX(Data!$AAL$2:$AAM$15,BE13,BF13)</f>
        <v>#N/A</v>
      </c>
      <c r="BH13" s="33" t="b">
        <f>IF(O13=Data!$ABF$1,Data!$ABD$1,IF(O13=Data!$ABF$2,Data!$ABE$1))</f>
        <v>0</v>
      </c>
      <c r="BI13" s="33" t="e">
        <f>VLOOKUP(H13,Data!$ABL$2:$ABM$8,2,FALSE)</f>
        <v>#N/A</v>
      </c>
      <c r="BJ13" s="172" t="e">
        <f>VLOOKUP(H13,Data!$ABW$2:$ABX$9,2,FALSE)</f>
        <v>#N/A</v>
      </c>
      <c r="BK13" s="172" t="e">
        <f>VLOOKUP(H13,Data!$ABW$2:$ABY$8,3,FALSE)</f>
        <v>#N/A</v>
      </c>
      <c r="BL13" s="172" t="str">
        <f t="shared" si="0"/>
        <v/>
      </c>
      <c r="BM13" s="172" t="str">
        <f t="shared" si="1"/>
        <v/>
      </c>
      <c r="BN13" s="172" t="str">
        <f t="shared" si="4"/>
        <v/>
      </c>
      <c r="BO13" s="33" t="e">
        <f t="shared" si="5"/>
        <v>#DIV/0!</v>
      </c>
      <c r="BP13" s="33" t="e">
        <f t="shared" si="6"/>
        <v>#DIV/0!</v>
      </c>
      <c r="BQ13" s="33" t="e">
        <f t="shared" si="7"/>
        <v>#DIV/0!</v>
      </c>
      <c r="BR13" s="33" t="str">
        <f t="shared" si="8"/>
        <v/>
      </c>
    </row>
    <row r="14" spans="1:70" ht="30" customHeight="1" thickTop="1" thickBot="1">
      <c r="A14" s="52">
        <v>7</v>
      </c>
      <c r="B14" s="17"/>
      <c r="C14" s="17"/>
      <c r="D14" s="13"/>
      <c r="E14" s="15"/>
      <c r="F14" s="14"/>
      <c r="G14" s="14"/>
      <c r="H14" s="14"/>
      <c r="I14" s="13"/>
      <c r="J14" s="14"/>
      <c r="K14" s="14"/>
      <c r="L14" s="563"/>
      <c r="M14" s="564"/>
      <c r="N14" s="15"/>
      <c r="O14" s="15"/>
      <c r="P14" s="15"/>
      <c r="Q14" s="13"/>
      <c r="R14" s="13"/>
      <c r="S14" s="13"/>
      <c r="T14" s="699"/>
      <c r="U14" s="700"/>
      <c r="V14" s="229"/>
      <c r="W14" s="230"/>
      <c r="X14" s="269" t="e">
        <f t="shared" si="2"/>
        <v>#N/A</v>
      </c>
      <c r="Y14" s="269" t="e">
        <f>VLOOKUP(Q14,Data!$QH$2:$QI$4,2,FALSE)</f>
        <v>#N/A</v>
      </c>
      <c r="AA14" s="269" t="e">
        <f t="shared" si="3"/>
        <v>#N/A</v>
      </c>
      <c r="AB14" s="172" t="str">
        <f>IF(COUNTIF($J$8:$J$57,Data!KF9),Data!KG9,"")</f>
        <v/>
      </c>
      <c r="AD14" s="172" t="e">
        <f>IF(#REF!=Data!$KK$2,Data!$KM$1,IF(#REF!=Data!$KK$3,Data!$KN$1,IF(#REF!=Data!$KK$4,Data!$KP$1,IF(#REF!=Data!$KK$5,Data!$KQ$1))))</f>
        <v>#REF!</v>
      </c>
      <c r="AE14" s="33" t="str">
        <f>IF(D14=Data!$W$10,Data!$QJ$1,Data!$QK$1)</f>
        <v>RollerControl</v>
      </c>
      <c r="AH14" s="33" t="b">
        <f>IF(Q14=Data!$PX$2,Data!$PZ$1,IF(Q14=Data!$PX$3,Data!$PY$1,IF(Q14=Data!$PX$4,Data!$QA$1)))</f>
        <v>0</v>
      </c>
      <c r="AJ14" s="33" t="b">
        <f>IF(Q14=Data!$PX$3,Data!$QB$1,IF(Q14=Data!$PX$2,Data!$QC$1,IF(Q14=Data!$PX$4,Data!$QD$1)))</f>
        <v>0</v>
      </c>
      <c r="AL14" s="33" t="str">
        <f>IF(D14=Data!$W$3,Data!$QF$1,IF(D14=Data!$W$4,Data!$QF$1,IF(D14=Data!$W$5,Data!$QF$1,IF(D14=Data!$W$6,Data!$QF$1,IF(D14=Data!$W$7,Data!$QF$1,IF(D14=Data!$W$8,Data!$QF$1,IF(D14=Data!$W$9,Data!$QF$1,IF(D14=Data!$W$10,Data!$QE$1,IF(D14=Data!$W$11,Data!$QF$1,IF(D14=Data!$W$12,Data!$QF$1,IF(D14=Data!$W$13,Data!$QF$1,IF(D14=Data!$W$14,Data!$QF$1,IF(D14=Data!$W$15,Data!$QF$1,IF(D14=Data!$W$16,Data!$QF$1))))))))))))))</f>
        <v>RollerBracketType2</v>
      </c>
      <c r="AV14" s="40" t="e">
        <f>IF(AND(G14&lt;2130, OR(#REF!&lt;2100)),Data!$KS$1,Data!$KT$1)</f>
        <v>#REF!</v>
      </c>
      <c r="AW14" s="172" t="e">
        <f>MATCH(#REF!,Data!$LA$1:$LD$1,0)</f>
        <v>#REF!</v>
      </c>
      <c r="AX14" s="172" t="e">
        <f>MATCH('Panel Glide Blinds'!AV14,Data!$KZ$2:$KZ$3,0)</f>
        <v>#REF!</v>
      </c>
      <c r="AY14" s="172" t="e">
        <f>INDEX(Data!$LA$2:$LD$3,'Panel Glide Blinds'!AX14,'Panel Glide Blinds'!AW14)</f>
        <v>#REF!</v>
      </c>
      <c r="BB14" s="172" t="e">
        <f>IF(#REF!=Data!$QK$2,Data!$QL$1,IF(#REF!=Data!$QK$3,Data!$QM$1,IF(#REF!=Data!$QK$4,Data!$QN$1,IF(#REF!=Data!$QK$5,Data!$QO$1,IF(#REF!=Data!$QK$6,Data!$QP$1,IF(#REF!=Data!$QK$7,Data!$QQ$1,IF(#REF!=Data!$QK$8,Data!$QR$1,IF(#REF!=Data!$QK$9,Data!$QS$1,IF(#REF!=Data!$QK$10,Data!$QT$1,IF(#REF!=Data!$QK$11,Data!$QU$1))))))))))</f>
        <v>#REF!</v>
      </c>
      <c r="BC14" s="33" t="e">
        <f>IF(#REF!=Data!$QK$2,Data!$QL$17,IF(#REF!=Data!$QK$3,Data!$QM$17,IF(#REF!=Data!$QK$4,Data!$QN$17,IF(#REF!=Data!$QK$5,Data!$QO$17,IF(#REF!=Data!$QK$6,Data!$QP$17,IF(#REF!=Data!$QK$7,Data!$QQ$17,IF(#REF!=Data!$QK$8,Data!$QR$17,IF(#REF!=Data!$QK$9,Data!$QS$17,IF(#REF!=Data!$QK$10,Data!$QT$17,IF(#REF!=Data!$QK$11,Data!$QU$17))))))))))</f>
        <v>#REF!</v>
      </c>
      <c r="BD14" s="33" t="e">
        <f>IF(#REF!=Data!$PU$2,Data!$PW$1,IF(#REF!=Data!$PU$3,Data!$PW$1,IF(#REF!=Data!$PU$4,Data!$PV$1,IF(#REF!=Data!$PU$5,Data!$PV$1,))))</f>
        <v>#REF!</v>
      </c>
      <c r="BE14" s="33" t="e">
        <f>MATCH('Panel Glide Blinds'!D14,Data!$AAK$2:$AAK$15)</f>
        <v>#N/A</v>
      </c>
      <c r="BF14" s="33" t="e">
        <f>MATCH(O14,Data!$AAL$1:$AAM$1)</f>
        <v>#N/A</v>
      </c>
      <c r="BG14" s="33" t="e">
        <f>INDEX(Data!$AAL$2:$AAM$15,BE14,BF14)</f>
        <v>#N/A</v>
      </c>
      <c r="BH14" s="33" t="b">
        <f>IF(O14=Data!$ABF$1,Data!$ABD$1,IF(O14=Data!$ABF$2,Data!$ABE$1))</f>
        <v>0</v>
      </c>
      <c r="BI14" s="33" t="e">
        <f>VLOOKUP(H14,Data!$ABL$2:$ABM$8,2,FALSE)</f>
        <v>#N/A</v>
      </c>
      <c r="BJ14" s="172" t="e">
        <f>VLOOKUP(H14,Data!$ABW$2:$ABX$9,2,FALSE)</f>
        <v>#N/A</v>
      </c>
      <c r="BK14" s="172" t="e">
        <f>VLOOKUP(H14,Data!$ABW$2:$ABY$8,3,FALSE)</f>
        <v>#N/A</v>
      </c>
      <c r="BL14" s="172" t="str">
        <f t="shared" si="0"/>
        <v/>
      </c>
      <c r="BM14" s="172" t="str">
        <f t="shared" si="1"/>
        <v/>
      </c>
      <c r="BN14" s="172" t="str">
        <f t="shared" si="4"/>
        <v/>
      </c>
      <c r="BO14" s="33" t="e">
        <f t="shared" si="5"/>
        <v>#DIV/0!</v>
      </c>
      <c r="BP14" s="33" t="e">
        <f t="shared" si="6"/>
        <v>#DIV/0!</v>
      </c>
      <c r="BQ14" s="33" t="e">
        <f t="shared" si="7"/>
        <v>#DIV/0!</v>
      </c>
      <c r="BR14" s="33" t="str">
        <f t="shared" si="8"/>
        <v/>
      </c>
    </row>
    <row r="15" spans="1:70" ht="30" customHeight="1" thickTop="1" thickBot="1">
      <c r="A15" s="52">
        <v>8</v>
      </c>
      <c r="B15" s="17"/>
      <c r="C15" s="17"/>
      <c r="D15" s="19"/>
      <c r="E15" s="15"/>
      <c r="F15" s="14"/>
      <c r="G15" s="14"/>
      <c r="H15" s="14"/>
      <c r="I15" s="13"/>
      <c r="J15" s="14"/>
      <c r="K15" s="14"/>
      <c r="L15" s="563"/>
      <c r="M15" s="564"/>
      <c r="N15" s="15"/>
      <c r="O15" s="15"/>
      <c r="P15" s="15"/>
      <c r="Q15" s="13"/>
      <c r="R15" s="13"/>
      <c r="S15" s="13"/>
      <c r="T15" s="699"/>
      <c r="U15" s="700"/>
      <c r="V15" s="229"/>
      <c r="W15" s="230"/>
      <c r="X15" s="269" t="e">
        <f t="shared" si="2"/>
        <v>#N/A</v>
      </c>
      <c r="Y15" s="269" t="e">
        <f>VLOOKUP(Q15,Data!$QH$2:$QI$4,2,FALSE)</f>
        <v>#N/A</v>
      </c>
      <c r="AA15" s="269" t="e">
        <f t="shared" si="3"/>
        <v>#N/A</v>
      </c>
      <c r="AB15" s="172" t="str">
        <f>IF(COUNTIF(AB8:AB14,Data!KG6),Data!KH6,"")</f>
        <v/>
      </c>
      <c r="AD15" s="172" t="e">
        <f>IF(#REF!=Data!$KK$2,Data!$KM$1,IF(#REF!=Data!$KK$3,Data!$KN$1,IF(#REF!=Data!$KK$4,Data!$KP$1,IF(#REF!=Data!$KK$5,Data!$KQ$1))))</f>
        <v>#REF!</v>
      </c>
      <c r="AE15" s="33" t="str">
        <f>IF(D15=Data!$W$10,Data!$QJ$1,Data!$QK$1)</f>
        <v>RollerControl</v>
      </c>
      <c r="AH15" s="33" t="b">
        <f>IF(Q15=Data!$PX$2,Data!$PZ$1,IF(Q15=Data!$PX$3,Data!$PY$1,IF(Q15=Data!$PX$4,Data!$QA$1)))</f>
        <v>0</v>
      </c>
      <c r="AJ15" s="33" t="b">
        <f>IF(Q15=Data!$PX$3,Data!$QB$1,IF(Q15=Data!$PX$2,Data!$QC$1,IF(Q15=Data!$PX$4,Data!$QD$1)))</f>
        <v>0</v>
      </c>
      <c r="AL15" s="33" t="str">
        <f>IF(D15=Data!$W$3,Data!$QF$1,IF(D15=Data!$W$4,Data!$QF$1,IF(D15=Data!$W$5,Data!$QF$1,IF(D15=Data!$W$6,Data!$QF$1,IF(D15=Data!$W$7,Data!$QF$1,IF(D15=Data!$W$8,Data!$QF$1,IF(D15=Data!$W$9,Data!$QF$1,IF(D15=Data!$W$10,Data!$QE$1,IF(D15=Data!$W$11,Data!$QF$1,IF(D15=Data!$W$12,Data!$QF$1,IF(D15=Data!$W$13,Data!$QF$1,IF(D15=Data!$W$14,Data!$QF$1,IF(D15=Data!$W$15,Data!$QF$1,IF(D15=Data!$W$16,Data!$QF$1))))))))))))))</f>
        <v>RollerBracketType2</v>
      </c>
      <c r="AV15" s="40" t="e">
        <f>IF(AND(G15&lt;2130, OR(#REF!&lt;2100)),Data!$KS$1,Data!$KT$1)</f>
        <v>#REF!</v>
      </c>
      <c r="AW15" s="172" t="e">
        <f>MATCH(#REF!,Data!$LA$1:$LD$1,0)</f>
        <v>#REF!</v>
      </c>
      <c r="AX15" s="172" t="e">
        <f>MATCH('Panel Glide Blinds'!AV15,Data!$KZ$2:$KZ$3,0)</f>
        <v>#REF!</v>
      </c>
      <c r="AY15" s="172" t="e">
        <f>INDEX(Data!$LA$2:$LD$3,'Panel Glide Blinds'!AX15,'Panel Glide Blinds'!AW15)</f>
        <v>#REF!</v>
      </c>
      <c r="BB15" s="172" t="e">
        <f>IF(#REF!=Data!$QK$2,Data!$QL$1,IF(#REF!=Data!$QK$3,Data!$QM$1,IF(#REF!=Data!$QK$4,Data!$QN$1,IF(#REF!=Data!$QK$5,Data!$QO$1,IF(#REF!=Data!$QK$6,Data!$QP$1,IF(#REF!=Data!$QK$7,Data!$QQ$1,IF(#REF!=Data!$QK$8,Data!$QR$1,IF(#REF!=Data!$QK$9,Data!$QS$1,IF(#REF!=Data!$QK$10,Data!$QT$1,IF(#REF!=Data!$QK$11,Data!$QU$1))))))))))</f>
        <v>#REF!</v>
      </c>
      <c r="BC15" s="33" t="e">
        <f>IF(#REF!=Data!$QK$2,Data!$QL$17,IF(#REF!=Data!$QK$3,Data!$QM$17,IF(#REF!=Data!$QK$4,Data!$QN$17,IF(#REF!=Data!$QK$5,Data!$QO$17,IF(#REF!=Data!$QK$6,Data!$QP$17,IF(#REF!=Data!$QK$7,Data!$QQ$17,IF(#REF!=Data!$QK$8,Data!$QR$17,IF(#REF!=Data!$QK$9,Data!$QS$17,IF(#REF!=Data!$QK$10,Data!$QT$17,IF(#REF!=Data!$QK$11,Data!$QU$17))))))))))</f>
        <v>#REF!</v>
      </c>
      <c r="BD15" s="33" t="e">
        <f>IF(#REF!=Data!$PU$2,Data!$PW$1,IF(#REF!=Data!$PU$3,Data!$PW$1,IF(#REF!=Data!$PU$4,Data!$PV$1,IF(#REF!=Data!$PU$5,Data!$PV$1,))))</f>
        <v>#REF!</v>
      </c>
      <c r="BE15" s="33" t="e">
        <f>MATCH('Panel Glide Blinds'!D15,Data!$AAK$2:$AAK$15)</f>
        <v>#N/A</v>
      </c>
      <c r="BF15" s="33" t="e">
        <f>MATCH(O15,Data!$AAL$1:$AAM$1)</f>
        <v>#N/A</v>
      </c>
      <c r="BG15" s="33" t="e">
        <f>INDEX(Data!$AAL$2:$AAM$15,BE15,BF15)</f>
        <v>#N/A</v>
      </c>
      <c r="BH15" s="33" t="b">
        <f>IF(O15=Data!$ABF$1,Data!$ABD$1,IF(O15=Data!$ABF$2,Data!$ABE$1))</f>
        <v>0</v>
      </c>
      <c r="BI15" s="33" t="e">
        <f>VLOOKUP(H15,Data!$ABL$2:$ABM$8,2,FALSE)</f>
        <v>#N/A</v>
      </c>
      <c r="BJ15" s="172" t="e">
        <f>VLOOKUP(H15,Data!$ABW$2:$ABX$9,2,FALSE)</f>
        <v>#N/A</v>
      </c>
      <c r="BK15" s="172" t="e">
        <f>VLOOKUP(H15,Data!$ABW$2:$ABY$8,3,FALSE)</f>
        <v>#N/A</v>
      </c>
      <c r="BL15" s="172" t="str">
        <f t="shared" si="0"/>
        <v/>
      </c>
      <c r="BM15" s="172" t="str">
        <f t="shared" si="1"/>
        <v/>
      </c>
      <c r="BN15" s="172" t="str">
        <f t="shared" si="4"/>
        <v/>
      </c>
      <c r="BO15" s="33" t="e">
        <f t="shared" si="5"/>
        <v>#DIV/0!</v>
      </c>
      <c r="BP15" s="33" t="e">
        <f t="shared" si="6"/>
        <v>#DIV/0!</v>
      </c>
      <c r="BQ15" s="33" t="e">
        <f t="shared" si="7"/>
        <v>#DIV/0!</v>
      </c>
      <c r="BR15" s="33" t="str">
        <f t="shared" si="8"/>
        <v/>
      </c>
    </row>
    <row r="16" spans="1:70" ht="30" customHeight="1" thickTop="1" thickBot="1">
      <c r="A16" s="52">
        <v>9</v>
      </c>
      <c r="B16" s="17"/>
      <c r="C16" s="17"/>
      <c r="D16" s="13"/>
      <c r="E16" s="15"/>
      <c r="F16" s="14"/>
      <c r="G16" s="14"/>
      <c r="H16" s="14"/>
      <c r="I16" s="13"/>
      <c r="J16" s="14"/>
      <c r="K16" s="14"/>
      <c r="L16" s="563"/>
      <c r="M16" s="564"/>
      <c r="N16" s="15"/>
      <c r="O16" s="15"/>
      <c r="P16" s="15"/>
      <c r="Q16" s="13"/>
      <c r="R16" s="13"/>
      <c r="S16" s="13"/>
      <c r="T16" s="699"/>
      <c r="U16" s="700"/>
      <c r="V16" s="229"/>
      <c r="W16" s="230"/>
      <c r="X16" s="269" t="e">
        <f t="shared" si="2"/>
        <v>#N/A</v>
      </c>
      <c r="Y16" s="269" t="e">
        <f>VLOOKUP(Q16,Data!$QH$2:$QI$4,2,FALSE)</f>
        <v>#N/A</v>
      </c>
      <c r="AA16" s="269" t="e">
        <f t="shared" si="3"/>
        <v>#N/A</v>
      </c>
      <c r="AB16" s="172" t="str">
        <f>IF(COUNTIF(AB8:AB14,Data!KG7),Data!KH7,"")</f>
        <v/>
      </c>
      <c r="AD16" s="172" t="e">
        <f>IF(#REF!=Data!$KK$2,Data!$KM$1,IF(#REF!=Data!$KK$3,Data!$KN$1,IF(#REF!=Data!$KK$4,Data!$KP$1,IF(#REF!=Data!$KK$5,Data!$KQ$1))))</f>
        <v>#REF!</v>
      </c>
      <c r="AE16" s="33" t="str">
        <f>IF(D16=Data!$W$10,Data!$QJ$1,Data!$QK$1)</f>
        <v>RollerControl</v>
      </c>
      <c r="AH16" s="33" t="b">
        <f>IF(Q16=Data!$PX$2,Data!$PZ$1,IF(Q16=Data!$PX$3,Data!$PY$1,IF(Q16=Data!$PX$4,Data!$QA$1)))</f>
        <v>0</v>
      </c>
      <c r="AJ16" s="33" t="b">
        <f>IF(Q16=Data!$PX$3,Data!$QB$1,IF(Q16=Data!$PX$2,Data!$QC$1,IF(Q16=Data!$PX$4,Data!$QD$1)))</f>
        <v>0</v>
      </c>
      <c r="AL16" s="33" t="str">
        <f>IF(D16=Data!$W$3,Data!$QF$1,IF(D16=Data!$W$4,Data!$QF$1,IF(D16=Data!$W$5,Data!$QF$1,IF(D16=Data!$W$6,Data!$QF$1,IF(D16=Data!$W$7,Data!$QF$1,IF(D16=Data!$W$8,Data!$QF$1,IF(D16=Data!$W$9,Data!$QF$1,IF(D16=Data!$W$10,Data!$QE$1,IF(D16=Data!$W$11,Data!$QF$1,IF(D16=Data!$W$12,Data!$QF$1,IF(D16=Data!$W$13,Data!$QF$1,IF(D16=Data!$W$14,Data!$QF$1,IF(D16=Data!$W$15,Data!$QF$1,IF(D16=Data!$W$16,Data!$QF$1))))))))))))))</f>
        <v>RollerBracketType2</v>
      </c>
      <c r="AV16" s="40" t="e">
        <f>IF(AND(G16&lt;2130, OR(#REF!&lt;2100)),Data!$KS$1,Data!$KT$1)</f>
        <v>#REF!</v>
      </c>
      <c r="AW16" s="172" t="e">
        <f>MATCH(#REF!,Data!$LA$1:$LD$1,0)</f>
        <v>#REF!</v>
      </c>
      <c r="AX16" s="172" t="e">
        <f>MATCH('Panel Glide Blinds'!AV16,Data!$KZ$2:$KZ$3,0)</f>
        <v>#REF!</v>
      </c>
      <c r="AY16" s="172" t="e">
        <f>INDEX(Data!$LA$2:$LD$3,'Panel Glide Blinds'!AX16,'Panel Glide Blinds'!AW16)</f>
        <v>#REF!</v>
      </c>
      <c r="BB16" s="172" t="e">
        <f>IF(#REF!=Data!$QK$2,Data!$QL$1,IF(#REF!=Data!$QK$3,Data!$QM$1,IF(#REF!=Data!$QK$4,Data!$QN$1,IF(#REF!=Data!$QK$5,Data!$QO$1,IF(#REF!=Data!$QK$6,Data!$QP$1,IF(#REF!=Data!$QK$7,Data!$QQ$1,IF(#REF!=Data!$QK$8,Data!$QR$1,IF(#REF!=Data!$QK$9,Data!$QS$1,IF(#REF!=Data!$QK$10,Data!$QT$1,IF(#REF!=Data!$QK$11,Data!$QU$1))))))))))</f>
        <v>#REF!</v>
      </c>
      <c r="BC16" s="33" t="e">
        <f>IF(#REF!=Data!$QK$2,Data!$QL$17,IF(#REF!=Data!$QK$3,Data!$QM$17,IF(#REF!=Data!$QK$4,Data!$QN$17,IF(#REF!=Data!$QK$5,Data!$QO$17,IF(#REF!=Data!$QK$6,Data!$QP$17,IF(#REF!=Data!$QK$7,Data!$QQ$17,IF(#REF!=Data!$QK$8,Data!$QR$17,IF(#REF!=Data!$QK$9,Data!$QS$17,IF(#REF!=Data!$QK$10,Data!$QT$17,IF(#REF!=Data!$QK$11,Data!$QU$17))))))))))</f>
        <v>#REF!</v>
      </c>
      <c r="BD16" s="33" t="e">
        <f>IF(#REF!=Data!$PU$2,Data!$PW$1,IF(#REF!=Data!$PU$3,Data!$PW$1,IF(#REF!=Data!$PU$4,Data!$PV$1,IF(#REF!=Data!$PU$5,Data!$PV$1,))))</f>
        <v>#REF!</v>
      </c>
      <c r="BE16" s="33" t="e">
        <f>MATCH('Panel Glide Blinds'!D16,Data!$AAK$2:$AAK$15)</f>
        <v>#N/A</v>
      </c>
      <c r="BF16" s="33" t="e">
        <f>MATCH(O16,Data!$AAL$1:$AAM$1)</f>
        <v>#N/A</v>
      </c>
      <c r="BG16" s="33" t="e">
        <f>INDEX(Data!$AAL$2:$AAM$15,BE16,BF16)</f>
        <v>#N/A</v>
      </c>
      <c r="BH16" s="33" t="b">
        <f>IF(O16=Data!$ABF$1,Data!$ABD$1,IF(O16=Data!$ABF$2,Data!$ABE$1))</f>
        <v>0</v>
      </c>
      <c r="BI16" s="33" t="e">
        <f>VLOOKUP(H16,Data!$ABL$2:$ABM$8,2,FALSE)</f>
        <v>#N/A</v>
      </c>
      <c r="BJ16" s="172" t="e">
        <f>VLOOKUP(H16,Data!$ABW$2:$ABX$9,2,FALSE)</f>
        <v>#N/A</v>
      </c>
      <c r="BK16" s="172" t="e">
        <f>VLOOKUP(H16,Data!$ABW$2:$ABY$8,3,FALSE)</f>
        <v>#N/A</v>
      </c>
      <c r="BL16" s="172" t="str">
        <f t="shared" si="0"/>
        <v/>
      </c>
      <c r="BM16" s="172" t="str">
        <f t="shared" si="1"/>
        <v/>
      </c>
      <c r="BN16" s="172" t="str">
        <f t="shared" si="4"/>
        <v/>
      </c>
      <c r="BO16" s="33" t="e">
        <f t="shared" si="5"/>
        <v>#DIV/0!</v>
      </c>
      <c r="BP16" s="33" t="e">
        <f t="shared" si="6"/>
        <v>#DIV/0!</v>
      </c>
      <c r="BQ16" s="33" t="e">
        <f t="shared" si="7"/>
        <v>#DIV/0!</v>
      </c>
      <c r="BR16" s="33" t="str">
        <f t="shared" si="8"/>
        <v/>
      </c>
    </row>
    <row r="17" spans="1:70" ht="30" customHeight="1" thickTop="1" thickBot="1">
      <c r="A17" s="52">
        <v>10</v>
      </c>
      <c r="B17" s="17"/>
      <c r="C17" s="17"/>
      <c r="D17" s="19"/>
      <c r="E17" s="15"/>
      <c r="F17" s="14"/>
      <c r="G17" s="14"/>
      <c r="H17" s="14"/>
      <c r="I17" s="13"/>
      <c r="J17" s="14"/>
      <c r="K17" s="14"/>
      <c r="L17" s="563"/>
      <c r="M17" s="564"/>
      <c r="N17" s="15"/>
      <c r="O17" s="15"/>
      <c r="P17" s="15"/>
      <c r="Q17" s="13"/>
      <c r="R17" s="13"/>
      <c r="S17" s="13"/>
      <c r="T17" s="699"/>
      <c r="U17" s="700"/>
      <c r="V17" s="229"/>
      <c r="W17" s="230"/>
      <c r="X17" s="269" t="e">
        <f t="shared" si="2"/>
        <v>#N/A</v>
      </c>
      <c r="Y17" s="269" t="e">
        <f>VLOOKUP(Q17,Data!$QH$2:$QI$4,2,FALSE)</f>
        <v>#N/A</v>
      </c>
      <c r="AA17" s="269" t="e">
        <f t="shared" si="3"/>
        <v>#N/A</v>
      </c>
      <c r="AB17" s="172" t="str">
        <f>AB15&amp;" &amp; "&amp;AB16&amp;""</f>
        <v xml:space="preserve"> &amp; </v>
      </c>
      <c r="AD17" s="172" t="e">
        <f>IF(#REF!=Data!$KK$2,Data!$KM$1,IF(#REF!=Data!$KK$3,Data!$KN$1,IF(#REF!=Data!$KK$4,Data!$KP$1,IF(#REF!=Data!$KK$5,Data!$KQ$1))))</f>
        <v>#REF!</v>
      </c>
      <c r="AE17" s="33" t="str">
        <f>IF(D17=Data!$W$10,Data!$QJ$1,Data!$QK$1)</f>
        <v>RollerControl</v>
      </c>
      <c r="AH17" s="33" t="b">
        <f>IF(Q17=Data!$PX$2,Data!$PZ$1,IF(Q17=Data!$PX$3,Data!$PY$1,IF(Q17=Data!$PX$4,Data!$QA$1)))</f>
        <v>0</v>
      </c>
      <c r="AJ17" s="33" t="b">
        <f>IF(Q17=Data!$PX$3,Data!$QB$1,IF(Q17=Data!$PX$2,Data!$QC$1,IF(Q17=Data!$PX$4,Data!$QD$1)))</f>
        <v>0</v>
      </c>
      <c r="AL17" s="33" t="str">
        <f>IF(D17=Data!$W$3,Data!$QF$1,IF(D17=Data!$W$4,Data!$QF$1,IF(D17=Data!$W$5,Data!$QF$1,IF(D17=Data!$W$6,Data!$QF$1,IF(D17=Data!$W$7,Data!$QF$1,IF(D17=Data!$W$8,Data!$QF$1,IF(D17=Data!$W$9,Data!$QF$1,IF(D17=Data!$W$10,Data!$QE$1,IF(D17=Data!$W$11,Data!$QF$1,IF(D17=Data!$W$12,Data!$QF$1,IF(D17=Data!$W$13,Data!$QF$1,IF(D17=Data!$W$14,Data!$QF$1,IF(D17=Data!$W$15,Data!$QF$1,IF(D17=Data!$W$16,Data!$QF$1))))))))))))))</f>
        <v>RollerBracketType2</v>
      </c>
      <c r="AV17" s="40" t="e">
        <f>IF(AND(G17&lt;2130, OR(#REF!&lt;2100)),Data!$KS$1,Data!$KT$1)</f>
        <v>#REF!</v>
      </c>
      <c r="AW17" s="172" t="e">
        <f>MATCH(#REF!,Data!$LA$1:$LD$1,0)</f>
        <v>#REF!</v>
      </c>
      <c r="AX17" s="172" t="e">
        <f>MATCH('Panel Glide Blinds'!AV17,Data!$KZ$2:$KZ$3,0)</f>
        <v>#REF!</v>
      </c>
      <c r="AY17" s="172" t="e">
        <f>INDEX(Data!$LA$2:$LD$3,'Panel Glide Blinds'!AX17,'Panel Glide Blinds'!AW17)</f>
        <v>#REF!</v>
      </c>
      <c r="BB17" s="172" t="e">
        <f>IF(#REF!=Data!$QK$2,Data!$QL$1,IF(#REF!=Data!$QK$3,Data!$QM$1,IF(#REF!=Data!$QK$4,Data!$QN$1,IF(#REF!=Data!$QK$5,Data!$QO$1,IF(#REF!=Data!$QK$6,Data!$QP$1,IF(#REF!=Data!$QK$7,Data!$QQ$1,IF(#REF!=Data!$QK$8,Data!$QR$1,IF(#REF!=Data!$QK$9,Data!$QS$1,IF(#REF!=Data!$QK$10,Data!$QT$1,IF(#REF!=Data!$QK$11,Data!$QU$1))))))))))</f>
        <v>#REF!</v>
      </c>
      <c r="BC17" s="33" t="e">
        <f>IF(#REF!=Data!$QK$2,Data!$QL$17,IF(#REF!=Data!$QK$3,Data!$QM$17,IF(#REF!=Data!$QK$4,Data!$QN$17,IF(#REF!=Data!$QK$5,Data!$QO$17,IF(#REF!=Data!$QK$6,Data!$QP$17,IF(#REF!=Data!$QK$7,Data!$QQ$17,IF(#REF!=Data!$QK$8,Data!$QR$17,IF(#REF!=Data!$QK$9,Data!$QS$17,IF(#REF!=Data!$QK$10,Data!$QT$17,IF(#REF!=Data!$QK$11,Data!$QU$17))))))))))</f>
        <v>#REF!</v>
      </c>
      <c r="BD17" s="33" t="e">
        <f>IF(#REF!=Data!$PU$2,Data!$PW$1,IF(#REF!=Data!$PU$3,Data!$PW$1,IF(#REF!=Data!$PU$4,Data!$PV$1,IF(#REF!=Data!$PU$5,Data!$PV$1,))))</f>
        <v>#REF!</v>
      </c>
      <c r="BE17" s="33" t="e">
        <f>MATCH('Panel Glide Blinds'!D17,Data!$AAK$2:$AAK$15)</f>
        <v>#N/A</v>
      </c>
      <c r="BF17" s="33" t="e">
        <f>MATCH(O17,Data!$AAL$1:$AAM$1)</f>
        <v>#N/A</v>
      </c>
      <c r="BG17" s="33" t="e">
        <f>INDEX(Data!$AAL$2:$AAM$15,BE17,BF17)</f>
        <v>#N/A</v>
      </c>
      <c r="BH17" s="33" t="b">
        <f>IF(O17=Data!$ABF$1,Data!$ABD$1,IF(O17=Data!$ABF$2,Data!$ABE$1))</f>
        <v>0</v>
      </c>
      <c r="BI17" s="33" t="e">
        <f>VLOOKUP(H17,Data!$ABL$2:$ABM$8,2,FALSE)</f>
        <v>#N/A</v>
      </c>
      <c r="BJ17" s="172" t="e">
        <f>VLOOKUP(H17,Data!$ABW$2:$ABX$9,2,FALSE)</f>
        <v>#N/A</v>
      </c>
      <c r="BK17" s="172" t="e">
        <f>VLOOKUP(H17,Data!$ABW$2:$ABY$8,3,FALSE)</f>
        <v>#N/A</v>
      </c>
      <c r="BL17" s="172" t="str">
        <f t="shared" si="0"/>
        <v/>
      </c>
      <c r="BM17" s="172" t="str">
        <f t="shared" si="1"/>
        <v/>
      </c>
      <c r="BN17" s="172" t="str">
        <f t="shared" si="4"/>
        <v/>
      </c>
      <c r="BO17" s="33" t="e">
        <f t="shared" si="5"/>
        <v>#DIV/0!</v>
      </c>
      <c r="BP17" s="33" t="e">
        <f t="shared" si="6"/>
        <v>#DIV/0!</v>
      </c>
      <c r="BQ17" s="33" t="e">
        <f t="shared" si="7"/>
        <v>#DIV/0!</v>
      </c>
      <c r="BR17" s="33" t="str">
        <f t="shared" si="8"/>
        <v/>
      </c>
    </row>
    <row r="18" spans="1:70" ht="30" customHeight="1" thickTop="1" thickBot="1">
      <c r="A18" s="52">
        <v>11</v>
      </c>
      <c r="B18" s="17"/>
      <c r="C18" s="17"/>
      <c r="D18" s="13"/>
      <c r="E18" s="15"/>
      <c r="F18" s="14"/>
      <c r="G18" s="14"/>
      <c r="H18" s="14"/>
      <c r="I18" s="13"/>
      <c r="J18" s="14"/>
      <c r="K18" s="14"/>
      <c r="L18" s="563"/>
      <c r="M18" s="564"/>
      <c r="N18" s="15"/>
      <c r="O18" s="15"/>
      <c r="P18" s="15"/>
      <c r="Q18" s="13"/>
      <c r="R18" s="13"/>
      <c r="S18" s="13"/>
      <c r="T18" s="699"/>
      <c r="U18" s="700"/>
      <c r="V18" s="229"/>
      <c r="W18" s="230"/>
      <c r="X18" s="269" t="e">
        <f t="shared" si="2"/>
        <v>#N/A</v>
      </c>
      <c r="Y18" s="269" t="e">
        <f>VLOOKUP(Q18,Data!$QH$2:$QI$4,2,FALSE)</f>
        <v>#N/A</v>
      </c>
      <c r="AA18" s="269" t="e">
        <f t="shared" si="3"/>
        <v>#N/A</v>
      </c>
      <c r="AB18" s="172" t="str">
        <f>IF(AB17="Corner &amp; Bay","Corner &amp; Bay Window Diagram Must Be Supplied",IF(AB15="Corner","Corner Window Diagram Must Be Supplied",IF(AB16="Bay","Bay Window Diagram Must Be Supplied","")))</f>
        <v/>
      </c>
      <c r="AD18" s="172" t="e">
        <f>IF(#REF!=Data!$KK$2,Data!$KM$1,IF(#REF!=Data!$KK$3,Data!$KN$1,IF(#REF!=Data!$KK$4,Data!$KP$1,IF(#REF!=Data!$KK$5,Data!$KQ$1))))</f>
        <v>#REF!</v>
      </c>
      <c r="AE18" s="33" t="str">
        <f>IF(D18=Data!$W$10,Data!$QJ$1,Data!$QK$1)</f>
        <v>RollerControl</v>
      </c>
      <c r="AH18" s="33" t="b">
        <f>IF(Q18=Data!$PX$2,Data!$PZ$1,IF(Q18=Data!$PX$3,Data!$PY$1,IF(Q18=Data!$PX$4,Data!$QA$1)))</f>
        <v>0</v>
      </c>
      <c r="AJ18" s="33" t="b">
        <f>IF(Q18=Data!$PX$3,Data!$QB$1,IF(Q18=Data!$PX$2,Data!$QC$1,IF(Q18=Data!$PX$4,Data!$QD$1)))</f>
        <v>0</v>
      </c>
      <c r="AL18" s="33" t="str">
        <f>IF(D18=Data!$W$3,Data!$QF$1,IF(D18=Data!$W$4,Data!$QF$1,IF(D18=Data!$W$5,Data!$QF$1,IF(D18=Data!$W$6,Data!$QF$1,IF(D18=Data!$W$7,Data!$QF$1,IF(D18=Data!$W$8,Data!$QF$1,IF(D18=Data!$W$9,Data!$QF$1,IF(D18=Data!$W$10,Data!$QE$1,IF(D18=Data!$W$11,Data!$QF$1,IF(D18=Data!$W$12,Data!$QF$1,IF(D18=Data!$W$13,Data!$QF$1,IF(D18=Data!$W$14,Data!$QF$1,IF(D18=Data!$W$15,Data!$QF$1,IF(D18=Data!$W$16,Data!$QF$1))))))))))))))</f>
        <v>RollerBracketType2</v>
      </c>
      <c r="AV18" s="40" t="e">
        <f>IF(AND(G18&lt;2130, OR(#REF!&lt;2100)),Data!$KS$1,Data!$KT$1)</f>
        <v>#REF!</v>
      </c>
      <c r="AW18" s="172" t="e">
        <f>MATCH(#REF!,Data!$LA$1:$LD$1,0)</f>
        <v>#REF!</v>
      </c>
      <c r="AX18" s="172" t="e">
        <f>MATCH('Panel Glide Blinds'!AV18,Data!$KZ$2:$KZ$3,0)</f>
        <v>#REF!</v>
      </c>
      <c r="AY18" s="172" t="e">
        <f>INDEX(Data!$LA$2:$LD$3,'Panel Glide Blinds'!AX18,'Panel Glide Blinds'!AW18)</f>
        <v>#REF!</v>
      </c>
      <c r="BB18" s="172" t="e">
        <f>IF(#REF!=Data!$QK$2,Data!$QL$1,IF(#REF!=Data!$QK$3,Data!$QM$1,IF(#REF!=Data!$QK$4,Data!$QN$1,IF(#REF!=Data!$QK$5,Data!$QO$1,IF(#REF!=Data!$QK$6,Data!$QP$1,IF(#REF!=Data!$QK$7,Data!$QQ$1,IF(#REF!=Data!$QK$8,Data!$QR$1,IF(#REF!=Data!$QK$9,Data!$QS$1,IF(#REF!=Data!$QK$10,Data!$QT$1,IF(#REF!=Data!$QK$11,Data!$QU$1))))))))))</f>
        <v>#REF!</v>
      </c>
      <c r="BC18" s="33" t="e">
        <f>IF(#REF!=Data!$QK$2,Data!$QL$17,IF(#REF!=Data!$QK$3,Data!$QM$17,IF(#REF!=Data!$QK$4,Data!$QN$17,IF(#REF!=Data!$QK$5,Data!$QO$17,IF(#REF!=Data!$QK$6,Data!$QP$17,IF(#REF!=Data!$QK$7,Data!$QQ$17,IF(#REF!=Data!$QK$8,Data!$QR$17,IF(#REF!=Data!$QK$9,Data!$QS$17,IF(#REF!=Data!$QK$10,Data!$QT$17,IF(#REF!=Data!$QK$11,Data!$QU$17))))))))))</f>
        <v>#REF!</v>
      </c>
      <c r="BD18" s="33" t="e">
        <f>IF(#REF!=Data!$PU$2,Data!$PW$1,IF(#REF!=Data!$PU$3,Data!$PW$1,IF(#REF!=Data!$PU$4,Data!$PV$1,IF(#REF!=Data!$PU$5,Data!$PV$1,))))</f>
        <v>#REF!</v>
      </c>
      <c r="BE18" s="33" t="e">
        <f>MATCH('Panel Glide Blinds'!D18,Data!$AAK$2:$AAK$15)</f>
        <v>#N/A</v>
      </c>
      <c r="BF18" s="33" t="e">
        <f>MATCH(O18,Data!$AAL$1:$AAM$1)</f>
        <v>#N/A</v>
      </c>
      <c r="BG18" s="33" t="e">
        <f>INDEX(Data!$AAL$2:$AAM$15,BE18,BF18)</f>
        <v>#N/A</v>
      </c>
      <c r="BH18" s="33" t="b">
        <f>IF(O18=Data!$ABF$1,Data!$ABD$1,IF(O18=Data!$ABF$2,Data!$ABE$1))</f>
        <v>0</v>
      </c>
      <c r="BI18" s="33" t="e">
        <f>VLOOKUP(H18,Data!$ABL$2:$ABM$8,2,FALSE)</f>
        <v>#N/A</v>
      </c>
      <c r="BJ18" s="172" t="e">
        <f>VLOOKUP(H18,Data!$ABW$2:$ABX$9,2,FALSE)</f>
        <v>#N/A</v>
      </c>
      <c r="BK18" s="172" t="e">
        <f>VLOOKUP(H18,Data!$ABW$2:$ABY$8,3,FALSE)</f>
        <v>#N/A</v>
      </c>
      <c r="BL18" s="172" t="str">
        <f t="shared" si="0"/>
        <v/>
      </c>
      <c r="BM18" s="172" t="str">
        <f t="shared" si="1"/>
        <v/>
      </c>
      <c r="BN18" s="172" t="str">
        <f t="shared" si="4"/>
        <v/>
      </c>
      <c r="BO18" s="33" t="e">
        <f t="shared" si="5"/>
        <v>#DIV/0!</v>
      </c>
      <c r="BP18" s="33" t="e">
        <f t="shared" si="6"/>
        <v>#DIV/0!</v>
      </c>
      <c r="BQ18" s="33" t="e">
        <f t="shared" si="7"/>
        <v>#DIV/0!</v>
      </c>
      <c r="BR18" s="33" t="str">
        <f t="shared" si="8"/>
        <v/>
      </c>
    </row>
    <row r="19" spans="1:70" ht="30" customHeight="1" thickTop="1" thickBot="1">
      <c r="A19" s="52">
        <v>12</v>
      </c>
      <c r="B19" s="17"/>
      <c r="C19" s="17"/>
      <c r="D19" s="13"/>
      <c r="E19" s="15"/>
      <c r="F19" s="14"/>
      <c r="G19" s="14"/>
      <c r="H19" s="14"/>
      <c r="I19" s="13"/>
      <c r="J19" s="14"/>
      <c r="K19" s="14"/>
      <c r="L19" s="563"/>
      <c r="M19" s="564"/>
      <c r="N19" s="15"/>
      <c r="O19" s="15"/>
      <c r="P19" s="15"/>
      <c r="Q19" s="13"/>
      <c r="R19" s="13"/>
      <c r="S19" s="13"/>
      <c r="T19" s="699"/>
      <c r="U19" s="700"/>
      <c r="V19" s="229"/>
      <c r="W19" s="230"/>
      <c r="X19" s="269" t="e">
        <f t="shared" si="2"/>
        <v>#N/A</v>
      </c>
      <c r="Y19" s="269" t="e">
        <f>VLOOKUP(Q19,Data!$QH$2:$QI$4,2,FALSE)</f>
        <v>#N/A</v>
      </c>
      <c r="AA19" s="269" t="e">
        <f t="shared" si="3"/>
        <v>#N/A</v>
      </c>
      <c r="AD19" s="172" t="e">
        <f>IF(#REF!=Data!$KK$2,Data!$KM$1,IF(#REF!=Data!$KK$3,Data!$KN$1,IF(#REF!=Data!$KK$4,Data!$KP$1,IF(#REF!=Data!$KK$5,Data!$KQ$1))))</f>
        <v>#REF!</v>
      </c>
      <c r="AE19" s="33" t="str">
        <f>IF(D19=Data!$W$10,Data!$QJ$1,Data!$QK$1)</f>
        <v>RollerControl</v>
      </c>
      <c r="AH19" s="33" t="b">
        <f>IF(Q19=Data!$PX$2,Data!$PZ$1,IF(Q19=Data!$PX$3,Data!$PY$1,IF(Q19=Data!$PX$4,Data!$QA$1)))</f>
        <v>0</v>
      </c>
      <c r="AJ19" s="33" t="b">
        <f>IF(Q19=Data!$PX$3,Data!$QB$1,IF(Q19=Data!$PX$2,Data!$QC$1,IF(Q19=Data!$PX$4,Data!$QD$1)))</f>
        <v>0</v>
      </c>
      <c r="AL19" s="33" t="str">
        <f>IF(D19=Data!$W$3,Data!$QF$1,IF(D19=Data!$W$4,Data!$QF$1,IF(D19=Data!$W$5,Data!$QF$1,IF(D19=Data!$W$6,Data!$QF$1,IF(D19=Data!$W$7,Data!$QF$1,IF(D19=Data!$W$8,Data!$QF$1,IF(D19=Data!$W$9,Data!$QF$1,IF(D19=Data!$W$10,Data!$QE$1,IF(D19=Data!$W$11,Data!$QF$1,IF(D19=Data!$W$12,Data!$QF$1,IF(D19=Data!$W$13,Data!$QF$1,IF(D19=Data!$W$14,Data!$QF$1,IF(D19=Data!$W$15,Data!$QF$1,IF(D19=Data!$W$16,Data!$QF$1))))))))))))))</f>
        <v>RollerBracketType2</v>
      </c>
      <c r="AV19" s="40" t="e">
        <f>IF(AND(G19&lt;2130, OR(#REF!&lt;2100)),Data!$KS$1,Data!$KT$1)</f>
        <v>#REF!</v>
      </c>
      <c r="AW19" s="172" t="e">
        <f>MATCH(#REF!,Data!$LA$1:$LD$1,0)</f>
        <v>#REF!</v>
      </c>
      <c r="AX19" s="172" t="e">
        <f>MATCH('Panel Glide Blinds'!AV19,Data!$KZ$2:$KZ$3,0)</f>
        <v>#REF!</v>
      </c>
      <c r="AY19" s="172" t="e">
        <f>INDEX(Data!$LA$2:$LD$3,'Panel Glide Blinds'!AX19,'Panel Glide Blinds'!AW19)</f>
        <v>#REF!</v>
      </c>
      <c r="BB19" s="172" t="e">
        <f>IF(#REF!=Data!$QK$2,Data!$QL$1,IF(#REF!=Data!$QK$3,Data!$QM$1,IF(#REF!=Data!$QK$4,Data!$QN$1,IF(#REF!=Data!$QK$5,Data!$QO$1,IF(#REF!=Data!$QK$6,Data!$QP$1,IF(#REF!=Data!$QK$7,Data!$QQ$1,IF(#REF!=Data!$QK$8,Data!$QR$1,IF(#REF!=Data!$QK$9,Data!$QS$1,IF(#REF!=Data!$QK$10,Data!$QT$1,IF(#REF!=Data!$QK$11,Data!$QU$1))))))))))</f>
        <v>#REF!</v>
      </c>
      <c r="BC19" s="33" t="e">
        <f>IF(#REF!=Data!$QK$2,Data!$QL$17,IF(#REF!=Data!$QK$3,Data!$QM$17,IF(#REF!=Data!$QK$4,Data!$QN$17,IF(#REF!=Data!$QK$5,Data!$QO$17,IF(#REF!=Data!$QK$6,Data!$QP$17,IF(#REF!=Data!$QK$7,Data!$QQ$17,IF(#REF!=Data!$QK$8,Data!$QR$17,IF(#REF!=Data!$QK$9,Data!$QS$17,IF(#REF!=Data!$QK$10,Data!$QT$17,IF(#REF!=Data!$QK$11,Data!$QU$17))))))))))</f>
        <v>#REF!</v>
      </c>
      <c r="BD19" s="33" t="e">
        <f>IF(#REF!=Data!$PU$2,Data!$PW$1,IF(#REF!=Data!$PU$3,Data!$PW$1,IF(#REF!=Data!$PU$4,Data!$PV$1,IF(#REF!=Data!$PU$5,Data!$PV$1,))))</f>
        <v>#REF!</v>
      </c>
      <c r="BE19" s="33" t="e">
        <f>MATCH('Panel Glide Blinds'!D19,Data!$AAK$2:$AAK$15)</f>
        <v>#N/A</v>
      </c>
      <c r="BF19" s="33" t="e">
        <f>MATCH(O19,Data!$AAL$1:$AAM$1)</f>
        <v>#N/A</v>
      </c>
      <c r="BG19" s="33" t="e">
        <f>INDEX(Data!$AAL$2:$AAM$15,BE19,BF19)</f>
        <v>#N/A</v>
      </c>
      <c r="BH19" s="33" t="b">
        <f>IF(O19=Data!$ABF$1,Data!$ABD$1,IF(O19=Data!$ABF$2,Data!$ABE$1))</f>
        <v>0</v>
      </c>
      <c r="BI19" s="33" t="e">
        <f>VLOOKUP(H19,Data!$ABL$2:$ABM$8,2,FALSE)</f>
        <v>#N/A</v>
      </c>
      <c r="BJ19" s="172" t="e">
        <f>VLOOKUP(H19,Data!$ABW$2:$ABX$9,2,FALSE)</f>
        <v>#N/A</v>
      </c>
      <c r="BK19" s="172" t="e">
        <f>VLOOKUP(H19,Data!$ABW$2:$ABY$8,3,FALSE)</f>
        <v>#N/A</v>
      </c>
      <c r="BL19" s="172" t="str">
        <f t="shared" si="0"/>
        <v/>
      </c>
      <c r="BM19" s="172" t="str">
        <f t="shared" si="1"/>
        <v/>
      </c>
      <c r="BN19" s="172" t="str">
        <f t="shared" si="4"/>
        <v/>
      </c>
      <c r="BO19" s="33" t="e">
        <f t="shared" si="5"/>
        <v>#DIV/0!</v>
      </c>
      <c r="BP19" s="33" t="e">
        <f t="shared" si="6"/>
        <v>#DIV/0!</v>
      </c>
      <c r="BQ19" s="33" t="e">
        <f t="shared" si="7"/>
        <v>#DIV/0!</v>
      </c>
      <c r="BR19" s="33" t="str">
        <f t="shared" si="8"/>
        <v/>
      </c>
    </row>
    <row r="20" spans="1:70" ht="30" customHeight="1" thickTop="1" thickBot="1">
      <c r="A20" s="52">
        <v>13</v>
      </c>
      <c r="B20" s="17"/>
      <c r="C20" s="17"/>
      <c r="D20" s="13"/>
      <c r="E20" s="15"/>
      <c r="F20" s="14"/>
      <c r="G20" s="14"/>
      <c r="H20" s="14"/>
      <c r="I20" s="13"/>
      <c r="J20" s="14"/>
      <c r="K20" s="14"/>
      <c r="L20" s="563"/>
      <c r="M20" s="564"/>
      <c r="N20" s="15"/>
      <c r="O20" s="15"/>
      <c r="P20" s="15"/>
      <c r="Q20" s="13"/>
      <c r="R20" s="13"/>
      <c r="S20" s="13"/>
      <c r="T20" s="699"/>
      <c r="U20" s="700"/>
      <c r="V20" s="229"/>
      <c r="W20" s="230"/>
      <c r="X20" s="269" t="e">
        <f t="shared" si="2"/>
        <v>#N/A</v>
      </c>
      <c r="Y20" s="269" t="e">
        <f>VLOOKUP(Q20,Data!$QH$2:$QI$4,2,FALSE)</f>
        <v>#N/A</v>
      </c>
      <c r="AA20" s="269" t="e">
        <f t="shared" si="3"/>
        <v>#N/A</v>
      </c>
      <c r="AD20" s="172" t="e">
        <f>IF(#REF!=Data!$KK$2,Data!$KM$1,IF(#REF!=Data!$KK$3,Data!$KN$1,IF(#REF!=Data!$KK$4,Data!$KP$1,IF(#REF!=Data!$KK$5,Data!$KQ$1))))</f>
        <v>#REF!</v>
      </c>
      <c r="AE20" s="33" t="str">
        <f>IF(D20=Data!$W$10,Data!$QJ$1,Data!$QK$1)</f>
        <v>RollerControl</v>
      </c>
      <c r="AH20" s="33" t="b">
        <f>IF(Q20=Data!$PX$2,Data!$PZ$1,IF(Q20=Data!$PX$3,Data!$PY$1,IF(Q20=Data!$PX$4,Data!$QA$1)))</f>
        <v>0</v>
      </c>
      <c r="AJ20" s="33" t="b">
        <f>IF(Q20=Data!$PX$3,Data!$QB$1,IF(Q20=Data!$PX$2,Data!$QC$1,IF(Q20=Data!$PX$4,Data!$QD$1)))</f>
        <v>0</v>
      </c>
      <c r="AL20" s="33" t="str">
        <f>IF(D20=Data!$W$3,Data!$QF$1,IF(D20=Data!$W$4,Data!$QF$1,IF(D20=Data!$W$5,Data!$QF$1,IF(D20=Data!$W$6,Data!$QF$1,IF(D20=Data!$W$7,Data!$QF$1,IF(D20=Data!$W$8,Data!$QF$1,IF(D20=Data!$W$9,Data!$QF$1,IF(D20=Data!$W$10,Data!$QE$1,IF(D20=Data!$W$11,Data!$QF$1,IF(D20=Data!$W$12,Data!$QF$1,IF(D20=Data!$W$13,Data!$QF$1,IF(D20=Data!$W$14,Data!$QF$1,IF(D20=Data!$W$15,Data!$QF$1,IF(D20=Data!$W$16,Data!$QF$1))))))))))))))</f>
        <v>RollerBracketType2</v>
      </c>
      <c r="AV20" s="40" t="e">
        <f>IF(AND(G20&lt;2130, OR(#REF!&lt;2100)),Data!$KS$1,Data!$KT$1)</f>
        <v>#REF!</v>
      </c>
      <c r="AW20" s="172" t="e">
        <f>MATCH(#REF!,Data!$LA$1:$LD$1,0)</f>
        <v>#REF!</v>
      </c>
      <c r="AX20" s="172" t="e">
        <f>MATCH('Panel Glide Blinds'!AV20,Data!$KZ$2:$KZ$3,0)</f>
        <v>#REF!</v>
      </c>
      <c r="AY20" s="172" t="e">
        <f>INDEX(Data!$LA$2:$LD$3,'Panel Glide Blinds'!AX20,'Panel Glide Blinds'!AW20)</f>
        <v>#REF!</v>
      </c>
      <c r="BB20" s="172" t="e">
        <f>IF(#REF!=Data!$QK$2,Data!$QL$1,IF(#REF!=Data!$QK$3,Data!$QM$1,IF(#REF!=Data!$QK$4,Data!$QN$1,IF(#REF!=Data!$QK$5,Data!$QO$1,IF(#REF!=Data!$QK$6,Data!$QP$1,IF(#REF!=Data!$QK$7,Data!$QQ$1,IF(#REF!=Data!$QK$8,Data!$QR$1,IF(#REF!=Data!$QK$9,Data!$QS$1,IF(#REF!=Data!$QK$10,Data!$QT$1,IF(#REF!=Data!$QK$11,Data!$QU$1))))))))))</f>
        <v>#REF!</v>
      </c>
      <c r="BC20" s="33" t="e">
        <f>IF(#REF!=Data!$QK$2,Data!$QL$17,IF(#REF!=Data!$QK$3,Data!$QM$17,IF(#REF!=Data!$QK$4,Data!$QN$17,IF(#REF!=Data!$QK$5,Data!$QO$17,IF(#REF!=Data!$QK$6,Data!$QP$17,IF(#REF!=Data!$QK$7,Data!$QQ$17,IF(#REF!=Data!$QK$8,Data!$QR$17,IF(#REF!=Data!$QK$9,Data!$QS$17,IF(#REF!=Data!$QK$10,Data!$QT$17,IF(#REF!=Data!$QK$11,Data!$QU$17))))))))))</f>
        <v>#REF!</v>
      </c>
      <c r="BD20" s="33" t="e">
        <f>IF(#REF!=Data!$PU$2,Data!$PW$1,IF(#REF!=Data!$PU$3,Data!$PW$1,IF(#REF!=Data!$PU$4,Data!$PV$1,IF(#REF!=Data!$PU$5,Data!$PV$1,))))</f>
        <v>#REF!</v>
      </c>
      <c r="BE20" s="33" t="e">
        <f>MATCH('Panel Glide Blinds'!D20,Data!$AAK$2:$AAK$15)</f>
        <v>#N/A</v>
      </c>
      <c r="BF20" s="33" t="e">
        <f>MATCH(O20,Data!$AAL$1:$AAM$1)</f>
        <v>#N/A</v>
      </c>
      <c r="BG20" s="33" t="e">
        <f>INDEX(Data!$AAL$2:$AAM$15,BE20,BF20)</f>
        <v>#N/A</v>
      </c>
      <c r="BH20" s="33" t="b">
        <f>IF(O20=Data!$ABF$1,Data!$ABD$1,IF(O20=Data!$ABF$2,Data!$ABE$1))</f>
        <v>0</v>
      </c>
      <c r="BI20" s="33" t="e">
        <f>VLOOKUP(H20,Data!$ABL$2:$ABM$8,2,FALSE)</f>
        <v>#N/A</v>
      </c>
      <c r="BJ20" s="172" t="e">
        <f>VLOOKUP(H20,Data!$ABW$2:$ABX$9,2,FALSE)</f>
        <v>#N/A</v>
      </c>
      <c r="BK20" s="172" t="e">
        <f>VLOOKUP(H20,Data!$ABW$2:$ABY$8,3,FALSE)</f>
        <v>#N/A</v>
      </c>
      <c r="BL20" s="172" t="str">
        <f t="shared" si="0"/>
        <v/>
      </c>
      <c r="BM20" s="172" t="str">
        <f t="shared" si="1"/>
        <v/>
      </c>
      <c r="BN20" s="172" t="str">
        <f t="shared" si="4"/>
        <v/>
      </c>
      <c r="BO20" s="33" t="e">
        <f t="shared" si="5"/>
        <v>#DIV/0!</v>
      </c>
      <c r="BP20" s="33" t="e">
        <f t="shared" si="6"/>
        <v>#DIV/0!</v>
      </c>
      <c r="BQ20" s="33" t="e">
        <f t="shared" si="7"/>
        <v>#DIV/0!</v>
      </c>
      <c r="BR20" s="33" t="str">
        <f t="shared" si="8"/>
        <v/>
      </c>
    </row>
    <row r="21" spans="1:70" ht="30" customHeight="1" thickTop="1" thickBot="1">
      <c r="A21" s="52">
        <v>14</v>
      </c>
      <c r="B21" s="17"/>
      <c r="C21" s="17"/>
      <c r="D21" s="13"/>
      <c r="E21" s="15"/>
      <c r="F21" s="14"/>
      <c r="G21" s="14"/>
      <c r="H21" s="14"/>
      <c r="I21" s="13"/>
      <c r="J21" s="14"/>
      <c r="K21" s="14"/>
      <c r="L21" s="563"/>
      <c r="M21" s="564"/>
      <c r="N21" s="15"/>
      <c r="O21" s="15"/>
      <c r="P21" s="15"/>
      <c r="Q21" s="13"/>
      <c r="R21" s="13"/>
      <c r="S21" s="13"/>
      <c r="T21" s="699"/>
      <c r="U21" s="700"/>
      <c r="V21" s="229"/>
      <c r="W21" s="230"/>
      <c r="X21" s="269" t="e">
        <f t="shared" si="2"/>
        <v>#N/A</v>
      </c>
      <c r="Y21" s="269" t="e">
        <f>VLOOKUP(Q21,Data!$QH$2:$QI$4,2,FALSE)</f>
        <v>#N/A</v>
      </c>
      <c r="AA21" s="269" t="e">
        <f t="shared" si="3"/>
        <v>#N/A</v>
      </c>
      <c r="AD21" s="172" t="e">
        <f>IF(#REF!=Data!$KK$2,Data!$KM$1,IF(#REF!=Data!$KK$3,Data!$KN$1,IF(#REF!=Data!$KK$4,Data!$KP$1,IF(#REF!=Data!$KK$5,Data!$KQ$1))))</f>
        <v>#REF!</v>
      </c>
      <c r="AE21" s="33" t="str">
        <f>IF(D21=Data!$W$10,Data!$QJ$1,Data!$QK$1)</f>
        <v>RollerControl</v>
      </c>
      <c r="AH21" s="33" t="b">
        <f>IF(Q21=Data!$PX$2,Data!$PZ$1,IF(Q21=Data!$PX$3,Data!$PY$1,IF(Q21=Data!$PX$4,Data!$QA$1)))</f>
        <v>0</v>
      </c>
      <c r="AJ21" s="33" t="b">
        <f>IF(Q21=Data!$PX$3,Data!$QB$1,IF(Q21=Data!$PX$2,Data!$QC$1,IF(Q21=Data!$PX$4,Data!$QD$1)))</f>
        <v>0</v>
      </c>
      <c r="AL21" s="33" t="str">
        <f>IF(D21=Data!$W$3,Data!$QF$1,IF(D21=Data!$W$4,Data!$QF$1,IF(D21=Data!$W$5,Data!$QF$1,IF(D21=Data!$W$6,Data!$QF$1,IF(D21=Data!$W$7,Data!$QF$1,IF(D21=Data!$W$8,Data!$QF$1,IF(D21=Data!$W$9,Data!$QF$1,IF(D21=Data!$W$10,Data!$QE$1,IF(D21=Data!$W$11,Data!$QF$1,IF(D21=Data!$W$12,Data!$QF$1,IF(D21=Data!$W$13,Data!$QF$1,IF(D21=Data!$W$14,Data!$QF$1,IF(D21=Data!$W$15,Data!$QF$1,IF(D21=Data!$W$16,Data!$QF$1))))))))))))))</f>
        <v>RollerBracketType2</v>
      </c>
      <c r="AV21" s="40" t="e">
        <f>IF(AND(G21&lt;2130, OR(#REF!&lt;2100)),Data!$KS$1,Data!$KT$1)</f>
        <v>#REF!</v>
      </c>
      <c r="AW21" s="172" t="e">
        <f>MATCH(#REF!,Data!$LA$1:$LD$1,0)</f>
        <v>#REF!</v>
      </c>
      <c r="AX21" s="172" t="e">
        <f>MATCH('Panel Glide Blinds'!AV21,Data!$KZ$2:$KZ$3,0)</f>
        <v>#REF!</v>
      </c>
      <c r="AY21" s="172" t="e">
        <f>INDEX(Data!$LA$2:$LD$3,'Panel Glide Blinds'!AX21,'Panel Glide Blinds'!AW21)</f>
        <v>#REF!</v>
      </c>
      <c r="BB21" s="172" t="e">
        <f>IF(#REF!=Data!$QK$2,Data!$QL$1,IF(#REF!=Data!$QK$3,Data!$QM$1,IF(#REF!=Data!$QK$4,Data!$QN$1,IF(#REF!=Data!$QK$5,Data!$QO$1,IF(#REF!=Data!$QK$6,Data!$QP$1,IF(#REF!=Data!$QK$7,Data!$QQ$1,IF(#REF!=Data!$QK$8,Data!$QR$1,IF(#REF!=Data!$QK$9,Data!$QS$1,IF(#REF!=Data!$QK$10,Data!$QT$1,IF(#REF!=Data!$QK$11,Data!$QU$1))))))))))</f>
        <v>#REF!</v>
      </c>
      <c r="BC21" s="33" t="e">
        <f>IF(#REF!=Data!$QK$2,Data!$QL$17,IF(#REF!=Data!$QK$3,Data!$QM$17,IF(#REF!=Data!$QK$4,Data!$QN$17,IF(#REF!=Data!$QK$5,Data!$QO$17,IF(#REF!=Data!$QK$6,Data!$QP$17,IF(#REF!=Data!$QK$7,Data!$QQ$17,IF(#REF!=Data!$QK$8,Data!$QR$17,IF(#REF!=Data!$QK$9,Data!$QS$17,IF(#REF!=Data!$QK$10,Data!$QT$17,IF(#REF!=Data!$QK$11,Data!$QU$17))))))))))</f>
        <v>#REF!</v>
      </c>
      <c r="BD21" s="33" t="e">
        <f>IF(#REF!=Data!$PU$2,Data!$PW$1,IF(#REF!=Data!$PU$3,Data!$PW$1,IF(#REF!=Data!$PU$4,Data!$PV$1,IF(#REF!=Data!$PU$5,Data!$PV$1,))))</f>
        <v>#REF!</v>
      </c>
      <c r="BE21" s="33" t="e">
        <f>MATCH('Panel Glide Blinds'!D21,Data!$AAK$2:$AAK$15)</f>
        <v>#N/A</v>
      </c>
      <c r="BF21" s="33" t="e">
        <f>MATCH(O21,Data!$AAL$1:$AAM$1)</f>
        <v>#N/A</v>
      </c>
      <c r="BG21" s="33" t="e">
        <f>INDEX(Data!$AAL$2:$AAM$15,BE21,BF21)</f>
        <v>#N/A</v>
      </c>
      <c r="BH21" s="33" t="b">
        <f>IF(O21=Data!$ABF$1,Data!$ABD$1,IF(O21=Data!$ABF$2,Data!$ABE$1))</f>
        <v>0</v>
      </c>
      <c r="BI21" s="33" t="e">
        <f>VLOOKUP(H21,Data!$ABL$2:$ABM$8,2,FALSE)</f>
        <v>#N/A</v>
      </c>
      <c r="BJ21" s="172" t="e">
        <f>VLOOKUP(H21,Data!$ABW$2:$ABX$9,2,FALSE)</f>
        <v>#N/A</v>
      </c>
      <c r="BK21" s="172" t="e">
        <f>VLOOKUP(H21,Data!$ABW$2:$ABY$8,3,FALSE)</f>
        <v>#N/A</v>
      </c>
      <c r="BL21" s="172" t="str">
        <f t="shared" si="0"/>
        <v/>
      </c>
      <c r="BM21" s="172" t="str">
        <f t="shared" si="1"/>
        <v/>
      </c>
      <c r="BN21" s="172" t="str">
        <f t="shared" si="4"/>
        <v/>
      </c>
      <c r="BO21" s="33" t="e">
        <f t="shared" si="5"/>
        <v>#DIV/0!</v>
      </c>
      <c r="BP21" s="33" t="e">
        <f t="shared" si="6"/>
        <v>#DIV/0!</v>
      </c>
      <c r="BQ21" s="33" t="e">
        <f t="shared" si="7"/>
        <v>#DIV/0!</v>
      </c>
      <c r="BR21" s="33" t="str">
        <f t="shared" si="8"/>
        <v/>
      </c>
    </row>
    <row r="22" spans="1:70" ht="30" customHeight="1" thickTop="1" thickBot="1">
      <c r="A22" s="52">
        <v>15</v>
      </c>
      <c r="B22" s="17"/>
      <c r="C22" s="17"/>
      <c r="D22" s="13"/>
      <c r="E22" s="15"/>
      <c r="F22" s="14"/>
      <c r="G22" s="14"/>
      <c r="H22" s="14"/>
      <c r="I22" s="13"/>
      <c r="J22" s="14"/>
      <c r="K22" s="14"/>
      <c r="L22" s="563"/>
      <c r="M22" s="564"/>
      <c r="N22" s="15"/>
      <c r="O22" s="15"/>
      <c r="P22" s="15"/>
      <c r="Q22" s="13"/>
      <c r="R22" s="13"/>
      <c r="S22" s="13"/>
      <c r="T22" s="699"/>
      <c r="U22" s="700"/>
      <c r="V22" s="229"/>
      <c r="W22" s="230"/>
      <c r="X22" s="269" t="e">
        <f t="shared" si="2"/>
        <v>#N/A</v>
      </c>
      <c r="Y22" s="269" t="e">
        <f>VLOOKUP(Q22,Data!$QH$2:$QI$4,2,FALSE)</f>
        <v>#N/A</v>
      </c>
      <c r="AA22" s="269" t="e">
        <f t="shared" si="3"/>
        <v>#N/A</v>
      </c>
      <c r="AD22" s="172" t="e">
        <f>IF(#REF!=Data!$KK$2,Data!$KM$1,IF(#REF!=Data!$KK$3,Data!$KN$1,IF(#REF!=Data!$KK$4,Data!$KP$1,IF(#REF!=Data!$KK$5,Data!$KQ$1))))</f>
        <v>#REF!</v>
      </c>
      <c r="AE22" s="33" t="str">
        <f>IF(D22=Data!$W$10,Data!$QJ$1,Data!$QK$1)</f>
        <v>RollerControl</v>
      </c>
      <c r="AH22" s="33" t="b">
        <f>IF(Q22=Data!$PX$2,Data!$PZ$1,IF(Q22=Data!$PX$3,Data!$PY$1,IF(Q22=Data!$PX$4,Data!$QA$1)))</f>
        <v>0</v>
      </c>
      <c r="AJ22" s="33" t="b">
        <f>IF(Q22=Data!$PX$3,Data!$QB$1,IF(Q22=Data!$PX$2,Data!$QC$1,IF(Q22=Data!$PX$4,Data!$QD$1)))</f>
        <v>0</v>
      </c>
      <c r="AL22" s="33" t="str">
        <f>IF(D22=Data!$W$3,Data!$QF$1,IF(D22=Data!$W$4,Data!$QF$1,IF(D22=Data!$W$5,Data!$QF$1,IF(D22=Data!$W$6,Data!$QF$1,IF(D22=Data!$W$7,Data!$QF$1,IF(D22=Data!$W$8,Data!$QF$1,IF(D22=Data!$W$9,Data!$QF$1,IF(D22=Data!$W$10,Data!$QE$1,IF(D22=Data!$W$11,Data!$QF$1,IF(D22=Data!$W$12,Data!$QF$1,IF(D22=Data!$W$13,Data!$QF$1,IF(D22=Data!$W$14,Data!$QF$1,IF(D22=Data!$W$15,Data!$QF$1,IF(D22=Data!$W$16,Data!$QF$1))))))))))))))</f>
        <v>RollerBracketType2</v>
      </c>
      <c r="AV22" s="40" t="e">
        <f>IF(AND(G22&lt;2130, OR(#REF!&lt;2100)),Data!$KS$1,Data!$KT$1)</f>
        <v>#REF!</v>
      </c>
      <c r="AW22" s="172" t="e">
        <f>MATCH(#REF!,Data!$LA$1:$LD$1,0)</f>
        <v>#REF!</v>
      </c>
      <c r="AX22" s="172" t="e">
        <f>MATCH('Panel Glide Blinds'!AV22,Data!$KZ$2:$KZ$3,0)</f>
        <v>#REF!</v>
      </c>
      <c r="AY22" s="172" t="e">
        <f>INDEX(Data!$LA$2:$LD$3,'Panel Glide Blinds'!AX22,'Panel Glide Blinds'!AW22)</f>
        <v>#REF!</v>
      </c>
      <c r="BB22" s="172" t="e">
        <f>IF(#REF!=Data!$QK$2,Data!$QL$1,IF(#REF!=Data!$QK$3,Data!$QM$1,IF(#REF!=Data!$QK$4,Data!$QN$1,IF(#REF!=Data!$QK$5,Data!$QO$1,IF(#REF!=Data!$QK$6,Data!$QP$1,IF(#REF!=Data!$QK$7,Data!$QQ$1,IF(#REF!=Data!$QK$8,Data!$QR$1,IF(#REF!=Data!$QK$9,Data!$QS$1,IF(#REF!=Data!$QK$10,Data!$QT$1,IF(#REF!=Data!$QK$11,Data!$QU$1))))))))))</f>
        <v>#REF!</v>
      </c>
      <c r="BC22" s="33" t="e">
        <f>IF(#REF!=Data!$QK$2,Data!$QL$17,IF(#REF!=Data!$QK$3,Data!$QM$17,IF(#REF!=Data!$QK$4,Data!$QN$17,IF(#REF!=Data!$QK$5,Data!$QO$17,IF(#REF!=Data!$QK$6,Data!$QP$17,IF(#REF!=Data!$QK$7,Data!$QQ$17,IF(#REF!=Data!$QK$8,Data!$QR$17,IF(#REF!=Data!$QK$9,Data!$QS$17,IF(#REF!=Data!$QK$10,Data!$QT$17,IF(#REF!=Data!$QK$11,Data!$QU$17))))))))))</f>
        <v>#REF!</v>
      </c>
      <c r="BD22" s="33" t="e">
        <f>IF(#REF!=Data!$PU$2,Data!$PW$1,IF(#REF!=Data!$PU$3,Data!$PW$1,IF(#REF!=Data!$PU$4,Data!$PV$1,IF(#REF!=Data!$PU$5,Data!$PV$1,))))</f>
        <v>#REF!</v>
      </c>
      <c r="BE22" s="33" t="e">
        <f>MATCH('Panel Glide Blinds'!D22,Data!$AAK$2:$AAK$15)</f>
        <v>#N/A</v>
      </c>
      <c r="BF22" s="33" t="e">
        <f>MATCH(O22,Data!$AAL$1:$AAM$1)</f>
        <v>#N/A</v>
      </c>
      <c r="BG22" s="33" t="e">
        <f>INDEX(Data!$AAL$2:$AAM$15,BE22,BF22)</f>
        <v>#N/A</v>
      </c>
      <c r="BH22" s="33" t="b">
        <f>IF(O22=Data!$ABF$1,Data!$ABD$1,IF(O22=Data!$ABF$2,Data!$ABE$1))</f>
        <v>0</v>
      </c>
      <c r="BI22" s="33" t="e">
        <f>VLOOKUP(H22,Data!$ABL$2:$ABM$8,2,FALSE)</f>
        <v>#N/A</v>
      </c>
      <c r="BJ22" s="172" t="e">
        <f>VLOOKUP(H22,Data!$ABW$2:$ABX$9,2,FALSE)</f>
        <v>#N/A</v>
      </c>
      <c r="BK22" s="172" t="e">
        <f>VLOOKUP(H22,Data!$ABW$2:$ABY$8,3,FALSE)</f>
        <v>#N/A</v>
      </c>
      <c r="BL22" s="172" t="str">
        <f t="shared" si="0"/>
        <v/>
      </c>
      <c r="BM22" s="172" t="str">
        <f t="shared" si="1"/>
        <v/>
      </c>
      <c r="BN22" s="172" t="str">
        <f t="shared" si="4"/>
        <v/>
      </c>
      <c r="BO22" s="33" t="e">
        <f t="shared" si="5"/>
        <v>#DIV/0!</v>
      </c>
      <c r="BP22" s="33" t="e">
        <f t="shared" si="6"/>
        <v>#DIV/0!</v>
      </c>
      <c r="BQ22" s="33" t="e">
        <f t="shared" si="7"/>
        <v>#DIV/0!</v>
      </c>
      <c r="BR22" s="33" t="str">
        <f t="shared" si="8"/>
        <v/>
      </c>
    </row>
    <row r="23" spans="1:70" ht="30" customHeight="1" thickTop="1" thickBot="1">
      <c r="A23" s="52">
        <v>16</v>
      </c>
      <c r="B23" s="17"/>
      <c r="C23" s="17"/>
      <c r="D23" s="13"/>
      <c r="E23" s="15"/>
      <c r="F23" s="14"/>
      <c r="G23" s="14"/>
      <c r="H23" s="14"/>
      <c r="I23" s="13"/>
      <c r="J23" s="14"/>
      <c r="K23" s="14"/>
      <c r="L23" s="563"/>
      <c r="M23" s="564"/>
      <c r="N23" s="15"/>
      <c r="O23" s="15"/>
      <c r="P23" s="15"/>
      <c r="Q23" s="13"/>
      <c r="R23" s="13"/>
      <c r="S23" s="13"/>
      <c r="T23" s="699"/>
      <c r="U23" s="700"/>
      <c r="V23" s="229"/>
      <c r="W23" s="230"/>
      <c r="X23" s="269" t="e">
        <f t="shared" si="2"/>
        <v>#N/A</v>
      </c>
      <c r="Y23" s="269" t="e">
        <f>VLOOKUP(Q23,Data!$QH$2:$QI$4,2,FALSE)</f>
        <v>#N/A</v>
      </c>
      <c r="AA23" s="269" t="e">
        <f t="shared" si="3"/>
        <v>#N/A</v>
      </c>
      <c r="AD23" s="172" t="e">
        <f>IF(#REF!=Data!$KK$2,Data!$KM$1,IF(#REF!=Data!$KK$3,Data!$KN$1,IF(#REF!=Data!$KK$4,Data!$KP$1,IF(#REF!=Data!$KK$5,Data!$KQ$1))))</f>
        <v>#REF!</v>
      </c>
      <c r="AE23" s="33" t="str">
        <f>IF(D23=Data!$W$10,Data!$QJ$1,Data!$QK$1)</f>
        <v>RollerControl</v>
      </c>
      <c r="AH23" s="33" t="b">
        <f>IF(Q23=Data!$PX$2,Data!$PZ$1,IF(Q23=Data!$PX$3,Data!$PY$1,IF(Q23=Data!$PX$4,Data!$QA$1)))</f>
        <v>0</v>
      </c>
      <c r="AJ23" s="33" t="b">
        <f>IF(Q23=Data!$PX$3,Data!$QB$1,IF(Q23=Data!$PX$2,Data!$QC$1,IF(Q23=Data!$PX$4,Data!$QD$1)))</f>
        <v>0</v>
      </c>
      <c r="AL23" s="33" t="str">
        <f>IF(D23=Data!$W$3,Data!$QF$1,IF(D23=Data!$W$4,Data!$QF$1,IF(D23=Data!$W$5,Data!$QF$1,IF(D23=Data!$W$6,Data!$QF$1,IF(D23=Data!$W$7,Data!$QF$1,IF(D23=Data!$W$8,Data!$QF$1,IF(D23=Data!$W$9,Data!$QF$1,IF(D23=Data!$W$10,Data!$QE$1,IF(D23=Data!$W$11,Data!$QF$1,IF(D23=Data!$W$12,Data!$QF$1,IF(D23=Data!$W$13,Data!$QF$1,IF(D23=Data!$W$14,Data!$QF$1,IF(D23=Data!$W$15,Data!$QF$1,IF(D23=Data!$W$16,Data!$QF$1))))))))))))))</f>
        <v>RollerBracketType2</v>
      </c>
      <c r="AV23" s="40" t="e">
        <f>IF(AND(G23&lt;2130, OR(#REF!&lt;2100)),Data!$KS$1,Data!$KT$1)</f>
        <v>#REF!</v>
      </c>
      <c r="AW23" s="172" t="e">
        <f>MATCH(#REF!,Data!$LA$1:$LD$1,0)</f>
        <v>#REF!</v>
      </c>
      <c r="AX23" s="172" t="e">
        <f>MATCH('Panel Glide Blinds'!AV23,Data!$KZ$2:$KZ$3,0)</f>
        <v>#REF!</v>
      </c>
      <c r="AY23" s="172" t="e">
        <f>INDEX(Data!$LA$2:$LD$3,'Panel Glide Blinds'!AX23,'Panel Glide Blinds'!AW23)</f>
        <v>#REF!</v>
      </c>
      <c r="BB23" s="172" t="e">
        <f>IF(#REF!=Data!$QK$2,Data!$QL$1,IF(#REF!=Data!$QK$3,Data!$QM$1,IF(#REF!=Data!$QK$4,Data!$QN$1,IF(#REF!=Data!$QK$5,Data!$QO$1,IF(#REF!=Data!$QK$6,Data!$QP$1,IF(#REF!=Data!$QK$7,Data!$QQ$1,IF(#REF!=Data!$QK$8,Data!$QR$1,IF(#REF!=Data!$QK$9,Data!$QS$1,IF(#REF!=Data!$QK$10,Data!$QT$1,IF(#REF!=Data!$QK$11,Data!$QU$1))))))))))</f>
        <v>#REF!</v>
      </c>
      <c r="BC23" s="33" t="e">
        <f>IF(#REF!=Data!$QK$2,Data!$QL$17,IF(#REF!=Data!$QK$3,Data!$QM$17,IF(#REF!=Data!$QK$4,Data!$QN$17,IF(#REF!=Data!$QK$5,Data!$QO$17,IF(#REF!=Data!$QK$6,Data!$QP$17,IF(#REF!=Data!$QK$7,Data!$QQ$17,IF(#REF!=Data!$QK$8,Data!$QR$17,IF(#REF!=Data!$QK$9,Data!$QS$17,IF(#REF!=Data!$QK$10,Data!$QT$17,IF(#REF!=Data!$QK$11,Data!$QU$17))))))))))</f>
        <v>#REF!</v>
      </c>
      <c r="BD23" s="33" t="e">
        <f>IF(#REF!=Data!$PU$2,Data!$PW$1,IF(#REF!=Data!$PU$3,Data!$PW$1,IF(#REF!=Data!$PU$4,Data!$PV$1,IF(#REF!=Data!$PU$5,Data!$PV$1,))))</f>
        <v>#REF!</v>
      </c>
      <c r="BE23" s="33" t="e">
        <f>MATCH('Panel Glide Blinds'!D23,Data!$AAK$2:$AAK$15)</f>
        <v>#N/A</v>
      </c>
      <c r="BF23" s="33" t="e">
        <f>MATCH(O23,Data!$AAL$1:$AAM$1)</f>
        <v>#N/A</v>
      </c>
      <c r="BG23" s="33" t="e">
        <f>INDEX(Data!$AAL$2:$AAM$15,BE23,BF23)</f>
        <v>#N/A</v>
      </c>
      <c r="BH23" s="33" t="b">
        <f>IF(O23=Data!$ABF$1,Data!$ABD$1,IF(O23=Data!$ABF$2,Data!$ABE$1))</f>
        <v>0</v>
      </c>
      <c r="BI23" s="33" t="e">
        <f>VLOOKUP(H23,Data!$ABL$2:$ABM$8,2,FALSE)</f>
        <v>#N/A</v>
      </c>
      <c r="BJ23" s="172" t="e">
        <f>VLOOKUP(H23,Data!$ABW$2:$ABX$9,2,FALSE)</f>
        <v>#N/A</v>
      </c>
      <c r="BK23" s="172" t="e">
        <f>VLOOKUP(H23,Data!$ABW$2:$ABY$8,3,FALSE)</f>
        <v>#N/A</v>
      </c>
      <c r="BL23" s="172" t="str">
        <f t="shared" si="0"/>
        <v/>
      </c>
      <c r="BM23" s="172" t="str">
        <f t="shared" si="1"/>
        <v/>
      </c>
      <c r="BN23" s="172" t="str">
        <f t="shared" si="4"/>
        <v/>
      </c>
      <c r="BO23" s="33" t="e">
        <f t="shared" si="5"/>
        <v>#DIV/0!</v>
      </c>
      <c r="BP23" s="33" t="e">
        <f t="shared" si="6"/>
        <v>#DIV/0!</v>
      </c>
      <c r="BQ23" s="33" t="e">
        <f t="shared" si="7"/>
        <v>#DIV/0!</v>
      </c>
      <c r="BR23" s="33" t="str">
        <f t="shared" si="8"/>
        <v/>
      </c>
    </row>
    <row r="24" spans="1:70" ht="30" customHeight="1" thickTop="1" thickBot="1">
      <c r="A24" s="52">
        <v>17</v>
      </c>
      <c r="B24" s="17"/>
      <c r="C24" s="17"/>
      <c r="D24" s="19"/>
      <c r="E24" s="15"/>
      <c r="F24" s="14"/>
      <c r="G24" s="14"/>
      <c r="H24" s="14"/>
      <c r="I24" s="13"/>
      <c r="J24" s="14"/>
      <c r="K24" s="14"/>
      <c r="L24" s="563"/>
      <c r="M24" s="564"/>
      <c r="N24" s="15"/>
      <c r="O24" s="15"/>
      <c r="P24" s="15"/>
      <c r="Q24" s="13"/>
      <c r="R24" s="13"/>
      <c r="S24" s="13"/>
      <c r="T24" s="699"/>
      <c r="U24" s="700"/>
      <c r="V24" s="229"/>
      <c r="W24" s="230"/>
      <c r="X24" s="269" t="e">
        <f t="shared" si="2"/>
        <v>#N/A</v>
      </c>
      <c r="Y24" s="269" t="e">
        <f>VLOOKUP(Q24,Data!$QH$2:$QI$4,2,FALSE)</f>
        <v>#N/A</v>
      </c>
      <c r="AA24" s="269" t="e">
        <f t="shared" si="3"/>
        <v>#N/A</v>
      </c>
      <c r="AD24" s="172" t="e">
        <f>IF(#REF!=Data!$KK$2,Data!$KM$1,IF(#REF!=Data!$KK$3,Data!$KN$1,IF(#REF!=Data!$KK$4,Data!$KP$1,IF(#REF!=Data!$KK$5,Data!$KQ$1))))</f>
        <v>#REF!</v>
      </c>
      <c r="AE24" s="33" t="str">
        <f>IF(D24=Data!$W$10,Data!$QJ$1,Data!$QK$1)</f>
        <v>RollerControl</v>
      </c>
      <c r="AH24" s="33" t="b">
        <f>IF(Q24=Data!$PX$2,Data!$PZ$1,IF(Q24=Data!$PX$3,Data!$PY$1,IF(Q24=Data!$PX$4,Data!$QA$1)))</f>
        <v>0</v>
      </c>
      <c r="AJ24" s="33" t="b">
        <f>IF(Q24=Data!$PX$3,Data!$QB$1,IF(Q24=Data!$PX$2,Data!$QC$1,IF(Q24=Data!$PX$4,Data!$QD$1)))</f>
        <v>0</v>
      </c>
      <c r="AL24" s="33" t="str">
        <f>IF(D24=Data!$W$3,Data!$QF$1,IF(D24=Data!$W$4,Data!$QF$1,IF(D24=Data!$W$5,Data!$QF$1,IF(D24=Data!$W$6,Data!$QF$1,IF(D24=Data!$W$7,Data!$QF$1,IF(D24=Data!$W$8,Data!$QF$1,IF(D24=Data!$W$9,Data!$QF$1,IF(D24=Data!$W$10,Data!$QE$1,IF(D24=Data!$W$11,Data!$QF$1,IF(D24=Data!$W$12,Data!$QF$1,IF(D24=Data!$W$13,Data!$QF$1,IF(D24=Data!$W$14,Data!$QF$1,IF(D24=Data!$W$15,Data!$QF$1,IF(D24=Data!$W$16,Data!$QF$1))))))))))))))</f>
        <v>RollerBracketType2</v>
      </c>
      <c r="AV24" s="40" t="e">
        <f>IF(AND(G24&lt;2130, OR(#REF!&lt;2100)),Data!$KS$1,Data!$KT$1)</f>
        <v>#REF!</v>
      </c>
      <c r="AW24" s="172" t="e">
        <f>MATCH(#REF!,Data!$LA$1:$LD$1,0)</f>
        <v>#REF!</v>
      </c>
      <c r="AX24" s="172" t="e">
        <f>MATCH('Panel Glide Blinds'!AV24,Data!$KZ$2:$KZ$3,0)</f>
        <v>#REF!</v>
      </c>
      <c r="AY24" s="172" t="e">
        <f>INDEX(Data!$LA$2:$LD$3,'Panel Glide Blinds'!AX24,'Panel Glide Blinds'!AW24)</f>
        <v>#REF!</v>
      </c>
      <c r="BB24" s="172" t="e">
        <f>IF(#REF!=Data!$QK$2,Data!$QL$1,IF(#REF!=Data!$QK$3,Data!$QM$1,IF(#REF!=Data!$QK$4,Data!$QN$1,IF(#REF!=Data!$QK$5,Data!$QO$1,IF(#REF!=Data!$QK$6,Data!$QP$1,IF(#REF!=Data!$QK$7,Data!$QQ$1,IF(#REF!=Data!$QK$8,Data!$QR$1,IF(#REF!=Data!$QK$9,Data!$QS$1,IF(#REF!=Data!$QK$10,Data!$QT$1,IF(#REF!=Data!$QK$11,Data!$QU$1))))))))))</f>
        <v>#REF!</v>
      </c>
      <c r="BC24" s="33" t="e">
        <f>IF(#REF!=Data!$QK$2,Data!$QL$17,IF(#REF!=Data!$QK$3,Data!$QM$17,IF(#REF!=Data!$QK$4,Data!$QN$17,IF(#REF!=Data!$QK$5,Data!$QO$17,IF(#REF!=Data!$QK$6,Data!$QP$17,IF(#REF!=Data!$QK$7,Data!$QQ$17,IF(#REF!=Data!$QK$8,Data!$QR$17,IF(#REF!=Data!$QK$9,Data!$QS$17,IF(#REF!=Data!$QK$10,Data!$QT$17,IF(#REF!=Data!$QK$11,Data!$QU$17))))))))))</f>
        <v>#REF!</v>
      </c>
      <c r="BD24" s="33" t="e">
        <f>IF(#REF!=Data!$PU$2,Data!$PW$1,IF(#REF!=Data!$PU$3,Data!$PW$1,IF(#REF!=Data!$PU$4,Data!$PV$1,IF(#REF!=Data!$PU$5,Data!$PV$1,))))</f>
        <v>#REF!</v>
      </c>
      <c r="BE24" s="33" t="e">
        <f>MATCH('Panel Glide Blinds'!D24,Data!$AAK$2:$AAK$15)</f>
        <v>#N/A</v>
      </c>
      <c r="BF24" s="33" t="e">
        <f>MATCH(O24,Data!$AAL$1:$AAM$1)</f>
        <v>#N/A</v>
      </c>
      <c r="BG24" s="33" t="e">
        <f>INDEX(Data!$AAL$2:$AAM$15,BE24,BF24)</f>
        <v>#N/A</v>
      </c>
      <c r="BH24" s="33" t="b">
        <f>IF(O24=Data!$ABF$1,Data!$ABD$1,IF(O24=Data!$ABF$2,Data!$ABE$1))</f>
        <v>0</v>
      </c>
      <c r="BI24" s="33" t="e">
        <f>VLOOKUP(H24,Data!$ABL$2:$ABM$8,2,FALSE)</f>
        <v>#N/A</v>
      </c>
      <c r="BJ24" s="172" t="e">
        <f>VLOOKUP(H24,Data!$ABW$2:$ABX$9,2,FALSE)</f>
        <v>#N/A</v>
      </c>
      <c r="BK24" s="172" t="e">
        <f>VLOOKUP(H24,Data!$ABW$2:$ABY$8,3,FALSE)</f>
        <v>#N/A</v>
      </c>
      <c r="BL24" s="172" t="str">
        <f t="shared" si="0"/>
        <v/>
      </c>
      <c r="BM24" s="172" t="str">
        <f t="shared" si="1"/>
        <v/>
      </c>
      <c r="BN24" s="172" t="str">
        <f t="shared" si="4"/>
        <v/>
      </c>
      <c r="BO24" s="33" t="e">
        <f t="shared" si="5"/>
        <v>#DIV/0!</v>
      </c>
      <c r="BP24" s="33" t="e">
        <f t="shared" si="6"/>
        <v>#DIV/0!</v>
      </c>
      <c r="BQ24" s="33" t="e">
        <f t="shared" si="7"/>
        <v>#DIV/0!</v>
      </c>
      <c r="BR24" s="33" t="str">
        <f t="shared" si="8"/>
        <v/>
      </c>
    </row>
    <row r="25" spans="1:70" ht="30" customHeight="1" thickTop="1" thickBot="1">
      <c r="A25" s="52">
        <v>18</v>
      </c>
      <c r="B25" s="17"/>
      <c r="C25" s="17"/>
      <c r="D25" s="19"/>
      <c r="E25" s="15"/>
      <c r="F25" s="14"/>
      <c r="G25" s="14"/>
      <c r="H25" s="14"/>
      <c r="I25" s="13"/>
      <c r="J25" s="14"/>
      <c r="K25" s="14"/>
      <c r="L25" s="563"/>
      <c r="M25" s="564"/>
      <c r="N25" s="15"/>
      <c r="O25" s="15"/>
      <c r="P25" s="15"/>
      <c r="Q25" s="13"/>
      <c r="R25" s="13"/>
      <c r="S25" s="13"/>
      <c r="T25" s="699"/>
      <c r="U25" s="700"/>
      <c r="V25" s="229"/>
      <c r="W25" s="230"/>
      <c r="X25" s="269" t="e">
        <f t="shared" si="2"/>
        <v>#N/A</v>
      </c>
      <c r="Y25" s="269" t="e">
        <f>VLOOKUP(Q25,Data!$QH$2:$QI$4,2,FALSE)</f>
        <v>#N/A</v>
      </c>
      <c r="AA25" s="269" t="e">
        <f t="shared" si="3"/>
        <v>#N/A</v>
      </c>
      <c r="AD25" s="172" t="e">
        <f>IF(#REF!=Data!$KK$2,Data!$KM$1,IF(#REF!=Data!$KK$3,Data!$KN$1,IF(#REF!=Data!$KK$4,Data!$KP$1,IF(#REF!=Data!$KK$5,Data!$KQ$1))))</f>
        <v>#REF!</v>
      </c>
      <c r="AE25" s="33" t="str">
        <f>IF(D25=Data!$W$10,Data!$QJ$1,Data!$QK$1)</f>
        <v>RollerControl</v>
      </c>
      <c r="AH25" s="33" t="b">
        <f>IF(Q25=Data!$PX$2,Data!$PZ$1,IF(Q25=Data!$PX$3,Data!$PY$1,IF(Q25=Data!$PX$4,Data!$QA$1)))</f>
        <v>0</v>
      </c>
      <c r="AJ25" s="33" t="b">
        <f>IF(Q25=Data!$PX$3,Data!$QB$1,IF(Q25=Data!$PX$2,Data!$QC$1,IF(Q25=Data!$PX$4,Data!$QD$1)))</f>
        <v>0</v>
      </c>
      <c r="AL25" s="33" t="str">
        <f>IF(D25=Data!$W$3,Data!$QF$1,IF(D25=Data!$W$4,Data!$QF$1,IF(D25=Data!$W$5,Data!$QF$1,IF(D25=Data!$W$6,Data!$QF$1,IF(D25=Data!$W$7,Data!$QF$1,IF(D25=Data!$W$8,Data!$QF$1,IF(D25=Data!$W$9,Data!$QF$1,IF(D25=Data!$W$10,Data!$QE$1,IF(D25=Data!$W$11,Data!$QF$1,IF(D25=Data!$W$12,Data!$QF$1,IF(D25=Data!$W$13,Data!$QF$1,IF(D25=Data!$W$14,Data!$QF$1,IF(D25=Data!$W$15,Data!$QF$1,IF(D25=Data!$W$16,Data!$QF$1))))))))))))))</f>
        <v>RollerBracketType2</v>
      </c>
      <c r="AV25" s="40" t="e">
        <f>IF(AND(G25&lt;2130, OR(#REF!&lt;2100)),Data!$KS$1,Data!$KT$1)</f>
        <v>#REF!</v>
      </c>
      <c r="AW25" s="172" t="e">
        <f>MATCH(#REF!,Data!$LA$1:$LD$1,0)</f>
        <v>#REF!</v>
      </c>
      <c r="AX25" s="172" t="e">
        <f>MATCH('Panel Glide Blinds'!AV25,Data!$KZ$2:$KZ$3,0)</f>
        <v>#REF!</v>
      </c>
      <c r="AY25" s="172" t="e">
        <f>INDEX(Data!$LA$2:$LD$3,'Panel Glide Blinds'!AX25,'Panel Glide Blinds'!AW25)</f>
        <v>#REF!</v>
      </c>
      <c r="BB25" s="172" t="e">
        <f>IF(#REF!=Data!$QK$2,Data!$QL$1,IF(#REF!=Data!$QK$3,Data!$QM$1,IF(#REF!=Data!$QK$4,Data!$QN$1,IF(#REF!=Data!$QK$5,Data!$QO$1,IF(#REF!=Data!$QK$6,Data!$QP$1,IF(#REF!=Data!$QK$7,Data!$QQ$1,IF(#REF!=Data!$QK$8,Data!$QR$1,IF(#REF!=Data!$QK$9,Data!$QS$1,IF(#REF!=Data!$QK$10,Data!$QT$1,IF(#REF!=Data!$QK$11,Data!$QU$1))))))))))</f>
        <v>#REF!</v>
      </c>
      <c r="BC25" s="33" t="e">
        <f>IF(#REF!=Data!$QK$2,Data!$QL$17,IF(#REF!=Data!$QK$3,Data!$QM$17,IF(#REF!=Data!$QK$4,Data!$QN$17,IF(#REF!=Data!$QK$5,Data!$QO$17,IF(#REF!=Data!$QK$6,Data!$QP$17,IF(#REF!=Data!$QK$7,Data!$QQ$17,IF(#REF!=Data!$QK$8,Data!$QR$17,IF(#REF!=Data!$QK$9,Data!$QS$17,IF(#REF!=Data!$QK$10,Data!$QT$17,IF(#REF!=Data!$QK$11,Data!$QU$17))))))))))</f>
        <v>#REF!</v>
      </c>
      <c r="BD25" s="33" t="e">
        <f>IF(#REF!=Data!$PU$2,Data!$PW$1,IF(#REF!=Data!$PU$3,Data!$PW$1,IF(#REF!=Data!$PU$4,Data!$PV$1,IF(#REF!=Data!$PU$5,Data!$PV$1,))))</f>
        <v>#REF!</v>
      </c>
      <c r="BE25" s="33" t="e">
        <f>MATCH('Panel Glide Blinds'!D25,Data!$AAK$2:$AAK$15)</f>
        <v>#N/A</v>
      </c>
      <c r="BF25" s="33" t="e">
        <f>MATCH(O25,Data!$AAL$1:$AAM$1)</f>
        <v>#N/A</v>
      </c>
      <c r="BG25" s="33" t="e">
        <f>INDEX(Data!$AAL$2:$AAM$15,BE25,BF25)</f>
        <v>#N/A</v>
      </c>
      <c r="BH25" s="33" t="b">
        <f>IF(O25=Data!$ABF$1,Data!$ABD$1,IF(O25=Data!$ABF$2,Data!$ABE$1))</f>
        <v>0</v>
      </c>
      <c r="BI25" s="33" t="e">
        <f>VLOOKUP(H25,Data!$ABL$2:$ABM$8,2,FALSE)</f>
        <v>#N/A</v>
      </c>
      <c r="BJ25" s="172" t="e">
        <f>VLOOKUP(H25,Data!$ABW$2:$ABX$9,2,FALSE)</f>
        <v>#N/A</v>
      </c>
      <c r="BK25" s="172" t="e">
        <f>VLOOKUP(H25,Data!$ABW$2:$ABY$8,3,FALSE)</f>
        <v>#N/A</v>
      </c>
      <c r="BL25" s="172" t="str">
        <f t="shared" si="0"/>
        <v/>
      </c>
      <c r="BM25" s="172" t="str">
        <f t="shared" si="1"/>
        <v/>
      </c>
      <c r="BN25" s="172" t="str">
        <f t="shared" si="4"/>
        <v/>
      </c>
      <c r="BO25" s="33" t="e">
        <f t="shared" si="5"/>
        <v>#DIV/0!</v>
      </c>
      <c r="BP25" s="33" t="e">
        <f t="shared" si="6"/>
        <v>#DIV/0!</v>
      </c>
      <c r="BQ25" s="33" t="e">
        <f t="shared" si="7"/>
        <v>#DIV/0!</v>
      </c>
      <c r="BR25" s="33" t="str">
        <f t="shared" si="8"/>
        <v/>
      </c>
    </row>
    <row r="26" spans="1:70" ht="30" customHeight="1" thickTop="1" thickBot="1">
      <c r="A26" s="52">
        <v>19</v>
      </c>
      <c r="B26" s="17"/>
      <c r="C26" s="17"/>
      <c r="D26" s="19"/>
      <c r="E26" s="15"/>
      <c r="F26" s="14"/>
      <c r="G26" s="14"/>
      <c r="H26" s="14"/>
      <c r="I26" s="13"/>
      <c r="J26" s="14"/>
      <c r="K26" s="14"/>
      <c r="L26" s="563"/>
      <c r="M26" s="564"/>
      <c r="N26" s="15"/>
      <c r="O26" s="15"/>
      <c r="P26" s="15"/>
      <c r="Q26" s="13"/>
      <c r="R26" s="13"/>
      <c r="S26" s="13"/>
      <c r="T26" s="699"/>
      <c r="U26" s="700"/>
      <c r="V26" s="229"/>
      <c r="W26" s="230"/>
      <c r="X26" s="269" t="e">
        <f t="shared" si="2"/>
        <v>#N/A</v>
      </c>
      <c r="Y26" s="269" t="e">
        <f>VLOOKUP(Q26,Data!$QH$2:$QI$4,2,FALSE)</f>
        <v>#N/A</v>
      </c>
      <c r="AA26" s="269" t="e">
        <f t="shared" si="3"/>
        <v>#N/A</v>
      </c>
      <c r="AD26" s="172" t="e">
        <f>IF(#REF!=Data!$KK$2,Data!$KM$1,IF(#REF!=Data!$KK$3,Data!$KN$1,IF(#REF!=Data!$KK$4,Data!$KP$1,IF(#REF!=Data!$KK$5,Data!$KQ$1))))</f>
        <v>#REF!</v>
      </c>
      <c r="AE26" s="33" t="str">
        <f>IF(D26=Data!$W$10,Data!$QJ$1,Data!$QK$1)</f>
        <v>RollerControl</v>
      </c>
      <c r="AH26" s="33" t="b">
        <f>IF(Q26=Data!$PX$2,Data!$PZ$1,IF(Q26=Data!$PX$3,Data!$PY$1,IF(Q26=Data!$PX$4,Data!$QA$1)))</f>
        <v>0</v>
      </c>
      <c r="AJ26" s="33" t="b">
        <f>IF(Q26=Data!$PX$3,Data!$QB$1,IF(Q26=Data!$PX$2,Data!$QC$1,IF(Q26=Data!$PX$4,Data!$QD$1)))</f>
        <v>0</v>
      </c>
      <c r="AL26" s="33" t="str">
        <f>IF(D26=Data!$W$3,Data!$QF$1,IF(D26=Data!$W$4,Data!$QF$1,IF(D26=Data!$W$5,Data!$QF$1,IF(D26=Data!$W$6,Data!$QF$1,IF(D26=Data!$W$7,Data!$QF$1,IF(D26=Data!$W$8,Data!$QF$1,IF(D26=Data!$W$9,Data!$QF$1,IF(D26=Data!$W$10,Data!$QE$1,IF(D26=Data!$W$11,Data!$QF$1,IF(D26=Data!$W$12,Data!$QF$1,IF(D26=Data!$W$13,Data!$QF$1,IF(D26=Data!$W$14,Data!$QF$1,IF(D26=Data!$W$15,Data!$QF$1,IF(D26=Data!$W$16,Data!$QF$1))))))))))))))</f>
        <v>RollerBracketType2</v>
      </c>
      <c r="AV26" s="40" t="e">
        <f>IF(AND(G26&lt;2130, OR(#REF!&lt;2100)),Data!$KS$1,Data!$KT$1)</f>
        <v>#REF!</v>
      </c>
      <c r="AW26" s="172" t="e">
        <f>MATCH(#REF!,Data!$LA$1:$LD$1,0)</f>
        <v>#REF!</v>
      </c>
      <c r="AX26" s="172" t="e">
        <f>MATCH('Panel Glide Blinds'!AV26,Data!$KZ$2:$KZ$3,0)</f>
        <v>#REF!</v>
      </c>
      <c r="AY26" s="172" t="e">
        <f>INDEX(Data!$LA$2:$LD$3,'Panel Glide Blinds'!AX26,'Panel Glide Blinds'!AW26)</f>
        <v>#REF!</v>
      </c>
      <c r="BB26" s="172" t="e">
        <f>IF(#REF!=Data!$QK$2,Data!$QL$1,IF(#REF!=Data!$QK$3,Data!$QM$1,IF(#REF!=Data!$QK$4,Data!$QN$1,IF(#REF!=Data!$QK$5,Data!$QO$1,IF(#REF!=Data!$QK$6,Data!$QP$1,IF(#REF!=Data!$QK$7,Data!$QQ$1,IF(#REF!=Data!$QK$8,Data!$QR$1,IF(#REF!=Data!$QK$9,Data!$QS$1,IF(#REF!=Data!$QK$10,Data!$QT$1,IF(#REF!=Data!$QK$11,Data!$QU$1))))))))))</f>
        <v>#REF!</v>
      </c>
      <c r="BC26" s="33" t="e">
        <f>IF(#REF!=Data!$QK$2,Data!$QL$17,IF(#REF!=Data!$QK$3,Data!$QM$17,IF(#REF!=Data!$QK$4,Data!$QN$17,IF(#REF!=Data!$QK$5,Data!$QO$17,IF(#REF!=Data!$QK$6,Data!$QP$17,IF(#REF!=Data!$QK$7,Data!$QQ$17,IF(#REF!=Data!$QK$8,Data!$QR$17,IF(#REF!=Data!$QK$9,Data!$QS$17,IF(#REF!=Data!$QK$10,Data!$QT$17,IF(#REF!=Data!$QK$11,Data!$QU$17))))))))))</f>
        <v>#REF!</v>
      </c>
      <c r="BD26" s="33" t="e">
        <f>IF(#REF!=Data!$PU$2,Data!$PW$1,IF(#REF!=Data!$PU$3,Data!$PW$1,IF(#REF!=Data!$PU$4,Data!$PV$1,IF(#REF!=Data!$PU$5,Data!$PV$1,))))</f>
        <v>#REF!</v>
      </c>
      <c r="BE26" s="33" t="e">
        <f>MATCH('Panel Glide Blinds'!D26,Data!$AAK$2:$AAK$15)</f>
        <v>#N/A</v>
      </c>
      <c r="BF26" s="33" t="e">
        <f>MATCH(O26,Data!$AAL$1:$AAM$1)</f>
        <v>#N/A</v>
      </c>
      <c r="BG26" s="33" t="e">
        <f>INDEX(Data!$AAL$2:$AAM$15,BE26,BF26)</f>
        <v>#N/A</v>
      </c>
      <c r="BH26" s="33" t="b">
        <f>IF(O26=Data!$ABF$1,Data!$ABD$1,IF(O26=Data!$ABF$2,Data!$ABE$1))</f>
        <v>0</v>
      </c>
      <c r="BI26" s="33" t="e">
        <f>VLOOKUP(H26,Data!$ABL$2:$ABM$8,2,FALSE)</f>
        <v>#N/A</v>
      </c>
      <c r="BJ26" s="172" t="e">
        <f>VLOOKUP(H26,Data!$ABW$2:$ABX$9,2,FALSE)</f>
        <v>#N/A</v>
      </c>
      <c r="BK26" s="172" t="e">
        <f>VLOOKUP(H26,Data!$ABW$2:$ABY$8,3,FALSE)</f>
        <v>#N/A</v>
      </c>
      <c r="BL26" s="172" t="str">
        <f t="shared" si="0"/>
        <v/>
      </c>
      <c r="BM26" s="172" t="str">
        <f t="shared" si="1"/>
        <v/>
      </c>
      <c r="BN26" s="172" t="str">
        <f t="shared" si="4"/>
        <v/>
      </c>
      <c r="BO26" s="33" t="e">
        <f t="shared" si="5"/>
        <v>#DIV/0!</v>
      </c>
      <c r="BP26" s="33" t="e">
        <f t="shared" si="6"/>
        <v>#DIV/0!</v>
      </c>
      <c r="BQ26" s="33" t="e">
        <f t="shared" si="7"/>
        <v>#DIV/0!</v>
      </c>
      <c r="BR26" s="33" t="str">
        <f t="shared" si="8"/>
        <v/>
      </c>
    </row>
    <row r="27" spans="1:70" ht="30" customHeight="1" thickTop="1" thickBot="1">
      <c r="A27" s="52">
        <v>20</v>
      </c>
      <c r="B27" s="13"/>
      <c r="C27" s="13"/>
      <c r="D27" s="13"/>
      <c r="E27" s="15"/>
      <c r="F27" s="14"/>
      <c r="G27" s="14"/>
      <c r="H27" s="14"/>
      <c r="I27" s="13"/>
      <c r="J27" s="14"/>
      <c r="K27" s="14"/>
      <c r="L27" s="563"/>
      <c r="M27" s="564"/>
      <c r="N27" s="15"/>
      <c r="O27" s="15"/>
      <c r="P27" s="15"/>
      <c r="Q27" s="13"/>
      <c r="R27" s="13"/>
      <c r="S27" s="13"/>
      <c r="T27" s="699"/>
      <c r="U27" s="700"/>
      <c r="V27" s="229"/>
      <c r="W27" s="230"/>
      <c r="X27" s="269" t="e">
        <f t="shared" si="2"/>
        <v>#N/A</v>
      </c>
      <c r="Y27" s="269" t="e">
        <f>VLOOKUP(Q27,Data!$QH$2:$QI$4,2,FALSE)</f>
        <v>#N/A</v>
      </c>
      <c r="AA27" s="269" t="e">
        <f t="shared" si="3"/>
        <v>#N/A</v>
      </c>
      <c r="AD27" s="172" t="e">
        <f>IF(#REF!=Data!$KK$2,Data!$KM$1,IF(#REF!=Data!$KK$3,Data!$KN$1,IF(#REF!=Data!$KK$4,Data!$KP$1,IF(#REF!=Data!$KK$5,Data!$KQ$1))))</f>
        <v>#REF!</v>
      </c>
      <c r="AE27" s="33" t="str">
        <f>IF(D27=Data!$W$10,Data!$QJ$1,Data!$QK$1)</f>
        <v>RollerControl</v>
      </c>
      <c r="AH27" s="33" t="b">
        <f>IF(Q27=Data!$PX$2,Data!$PZ$1,IF(Q27=Data!$PX$3,Data!$PY$1,IF(Q27=Data!$PX$4,Data!$QA$1)))</f>
        <v>0</v>
      </c>
      <c r="AJ27" s="33" t="b">
        <f>IF(Q27=Data!$PX$3,Data!$QB$1,IF(Q27=Data!$PX$2,Data!$QC$1,IF(Q27=Data!$PX$4,Data!$QD$1)))</f>
        <v>0</v>
      </c>
      <c r="AL27" s="33" t="str">
        <f>IF(D27=Data!$W$3,Data!$QF$1,IF(D27=Data!$W$4,Data!$QF$1,IF(D27=Data!$W$5,Data!$QF$1,IF(D27=Data!$W$6,Data!$QF$1,IF(D27=Data!$W$7,Data!$QF$1,IF(D27=Data!$W$8,Data!$QF$1,IF(D27=Data!$W$9,Data!$QF$1,IF(D27=Data!$W$10,Data!$QE$1,IF(D27=Data!$W$11,Data!$QF$1,IF(D27=Data!$W$12,Data!$QF$1,IF(D27=Data!$W$13,Data!$QF$1,IF(D27=Data!$W$14,Data!$QF$1,IF(D27=Data!$W$15,Data!$QF$1,IF(D27=Data!$W$16,Data!$QF$1))))))))))))))</f>
        <v>RollerBracketType2</v>
      </c>
      <c r="AV27" s="40" t="e">
        <f>IF(AND(G27&lt;2130, OR(#REF!&lt;2100)),Data!$KS$1,Data!$KT$1)</f>
        <v>#REF!</v>
      </c>
      <c r="AW27" s="172" t="e">
        <f>MATCH(#REF!,Data!$LA$1:$LD$1,0)</f>
        <v>#REF!</v>
      </c>
      <c r="AX27" s="172" t="e">
        <f>MATCH('Panel Glide Blinds'!AV27,Data!$KZ$2:$KZ$3,0)</f>
        <v>#REF!</v>
      </c>
      <c r="AY27" s="172" t="e">
        <f>INDEX(Data!$LA$2:$LD$3,'Panel Glide Blinds'!AX27,'Panel Glide Blinds'!AW27)</f>
        <v>#REF!</v>
      </c>
      <c r="BB27" s="172" t="e">
        <f>IF(#REF!=Data!$QK$2,Data!$QL$1,IF(#REF!=Data!$QK$3,Data!$QM$1,IF(#REF!=Data!$QK$4,Data!$QN$1,IF(#REF!=Data!$QK$5,Data!$QO$1,IF(#REF!=Data!$QK$6,Data!$QP$1,IF(#REF!=Data!$QK$7,Data!$QQ$1,IF(#REF!=Data!$QK$8,Data!$QR$1,IF(#REF!=Data!$QK$9,Data!$QS$1,IF(#REF!=Data!$QK$10,Data!$QT$1,IF(#REF!=Data!$QK$11,Data!$QU$1))))))))))</f>
        <v>#REF!</v>
      </c>
      <c r="BC27" s="33" t="e">
        <f>IF(#REF!=Data!$QK$2,Data!$QL$17,IF(#REF!=Data!$QK$3,Data!$QM$17,IF(#REF!=Data!$QK$4,Data!$QN$17,IF(#REF!=Data!$QK$5,Data!$QO$17,IF(#REF!=Data!$QK$6,Data!$QP$17,IF(#REF!=Data!$QK$7,Data!$QQ$17,IF(#REF!=Data!$QK$8,Data!$QR$17,IF(#REF!=Data!$QK$9,Data!$QS$17,IF(#REF!=Data!$QK$10,Data!$QT$17,IF(#REF!=Data!$QK$11,Data!$QU$17))))))))))</f>
        <v>#REF!</v>
      </c>
      <c r="BD27" s="33" t="e">
        <f>IF(#REF!=Data!$PU$2,Data!$PW$1,IF(#REF!=Data!$PU$3,Data!$PW$1,IF(#REF!=Data!$PU$4,Data!$PV$1,IF(#REF!=Data!$PU$5,Data!$PV$1,))))</f>
        <v>#REF!</v>
      </c>
      <c r="BE27" s="33" t="e">
        <f>MATCH('Panel Glide Blinds'!D27,Data!$AAK$2:$AAK$15)</f>
        <v>#N/A</v>
      </c>
      <c r="BF27" s="33" t="e">
        <f>MATCH(O27,Data!$AAL$1:$AAM$1)</f>
        <v>#N/A</v>
      </c>
      <c r="BG27" s="33" t="e">
        <f>INDEX(Data!$AAL$2:$AAM$15,BE27,BF27)</f>
        <v>#N/A</v>
      </c>
      <c r="BH27" s="33" t="b">
        <f>IF(O27=Data!$ABF$1,Data!$ABD$1,IF(O27=Data!$ABF$2,Data!$ABE$1))</f>
        <v>0</v>
      </c>
      <c r="BI27" s="33" t="e">
        <f>VLOOKUP(H27,Data!$ABL$2:$ABM$8,2,FALSE)</f>
        <v>#N/A</v>
      </c>
      <c r="BJ27" s="172" t="e">
        <f>VLOOKUP(H27,Data!$ABW$2:$ABX$9,2,FALSE)</f>
        <v>#N/A</v>
      </c>
      <c r="BK27" s="172" t="e">
        <f>VLOOKUP(H27,Data!$ABW$2:$ABY$8,3,FALSE)</f>
        <v>#N/A</v>
      </c>
      <c r="BL27" s="172" t="str">
        <f t="shared" si="0"/>
        <v/>
      </c>
      <c r="BM27" s="172" t="str">
        <f t="shared" si="1"/>
        <v/>
      </c>
      <c r="BN27" s="172" t="str">
        <f t="shared" si="4"/>
        <v/>
      </c>
      <c r="BO27" s="33" t="e">
        <f t="shared" si="5"/>
        <v>#DIV/0!</v>
      </c>
      <c r="BP27" s="33" t="e">
        <f t="shared" si="6"/>
        <v>#DIV/0!</v>
      </c>
      <c r="BQ27" s="33" t="e">
        <f t="shared" si="7"/>
        <v>#DIV/0!</v>
      </c>
      <c r="BR27" s="33" t="str">
        <f t="shared" si="8"/>
        <v/>
      </c>
    </row>
    <row r="28" spans="1:70" ht="30" customHeight="1" thickTop="1" thickBot="1">
      <c r="A28" s="52">
        <v>21</v>
      </c>
      <c r="B28" s="13"/>
      <c r="C28" s="13"/>
      <c r="D28" s="19"/>
      <c r="E28" s="15"/>
      <c r="F28" s="14"/>
      <c r="G28" s="14"/>
      <c r="H28" s="14"/>
      <c r="I28" s="13"/>
      <c r="J28" s="14"/>
      <c r="K28" s="14"/>
      <c r="L28" s="563"/>
      <c r="M28" s="564"/>
      <c r="N28" s="15"/>
      <c r="O28" s="15"/>
      <c r="P28" s="15"/>
      <c r="Q28" s="13"/>
      <c r="R28" s="13"/>
      <c r="S28" s="13"/>
      <c r="T28" s="699"/>
      <c r="U28" s="700"/>
      <c r="V28" s="229"/>
      <c r="W28" s="230"/>
      <c r="X28" s="269" t="e">
        <f t="shared" si="2"/>
        <v>#N/A</v>
      </c>
      <c r="Y28" s="269" t="e">
        <f>VLOOKUP(Q28,Data!$QH$2:$QI$4,2,FALSE)</f>
        <v>#N/A</v>
      </c>
      <c r="AA28" s="269" t="e">
        <f t="shared" si="3"/>
        <v>#N/A</v>
      </c>
      <c r="AD28" s="172" t="e">
        <f>IF(#REF!=Data!$KK$2,Data!$KM$1,IF(#REF!=Data!$KK$3,Data!$KN$1,IF(#REF!=Data!$KK$4,Data!$KP$1,IF(#REF!=Data!$KK$5,Data!$KQ$1))))</f>
        <v>#REF!</v>
      </c>
      <c r="AE28" s="33" t="str">
        <f>IF(D28=Data!$W$10,Data!$QJ$1,Data!$QK$1)</f>
        <v>RollerControl</v>
      </c>
      <c r="AH28" s="33" t="b">
        <f>IF(Q28=Data!$PX$2,Data!$PZ$1,IF(Q28=Data!$PX$3,Data!$PY$1,IF(Q28=Data!$PX$4,Data!$QA$1)))</f>
        <v>0</v>
      </c>
      <c r="AJ28" s="33" t="b">
        <f>IF(Q28=Data!$PX$3,Data!$QB$1,IF(Q28=Data!$PX$2,Data!$QC$1,IF(Q28=Data!$PX$4,Data!$QD$1)))</f>
        <v>0</v>
      </c>
      <c r="AL28" s="33" t="str">
        <f>IF(D28=Data!$W$3,Data!$QF$1,IF(D28=Data!$W$4,Data!$QF$1,IF(D28=Data!$W$5,Data!$QF$1,IF(D28=Data!$W$6,Data!$QF$1,IF(D28=Data!$W$7,Data!$QF$1,IF(D28=Data!$W$8,Data!$QF$1,IF(D28=Data!$W$9,Data!$QF$1,IF(D28=Data!$W$10,Data!$QE$1,IF(D28=Data!$W$11,Data!$QF$1,IF(D28=Data!$W$12,Data!$QF$1,IF(D28=Data!$W$13,Data!$QF$1,IF(D28=Data!$W$14,Data!$QF$1,IF(D28=Data!$W$15,Data!$QF$1,IF(D28=Data!$W$16,Data!$QF$1))))))))))))))</f>
        <v>RollerBracketType2</v>
      </c>
      <c r="AV28" s="40" t="e">
        <f>IF(AND(G28&lt;2130, OR(#REF!&lt;2100)),Data!$KS$1,Data!$KT$1)</f>
        <v>#REF!</v>
      </c>
      <c r="AW28" s="172" t="e">
        <f>MATCH(#REF!,Data!$LA$1:$LD$1,0)</f>
        <v>#REF!</v>
      </c>
      <c r="AX28" s="172" t="e">
        <f>MATCH('Panel Glide Blinds'!AV28,Data!$KZ$2:$KZ$3,0)</f>
        <v>#REF!</v>
      </c>
      <c r="AY28" s="172" t="e">
        <f>INDEX(Data!$LA$2:$LD$3,'Panel Glide Blinds'!AX28,'Panel Glide Blinds'!AW28)</f>
        <v>#REF!</v>
      </c>
      <c r="BB28" s="172" t="e">
        <f>IF(#REF!=Data!$QK$2,Data!$QL$1,IF(#REF!=Data!$QK$3,Data!$QM$1,IF(#REF!=Data!$QK$4,Data!$QN$1,IF(#REF!=Data!$QK$5,Data!$QO$1,IF(#REF!=Data!$QK$6,Data!$QP$1,IF(#REF!=Data!$QK$7,Data!$QQ$1,IF(#REF!=Data!$QK$8,Data!$QR$1,IF(#REF!=Data!$QK$9,Data!$QS$1,IF(#REF!=Data!$QK$10,Data!$QT$1,IF(#REF!=Data!$QK$11,Data!$QU$1))))))))))</f>
        <v>#REF!</v>
      </c>
      <c r="BC28" s="33" t="e">
        <f>IF(#REF!=Data!$QK$2,Data!$QL$17,IF(#REF!=Data!$QK$3,Data!$QM$17,IF(#REF!=Data!$QK$4,Data!$QN$17,IF(#REF!=Data!$QK$5,Data!$QO$17,IF(#REF!=Data!$QK$6,Data!$QP$17,IF(#REF!=Data!$QK$7,Data!$QQ$17,IF(#REF!=Data!$QK$8,Data!$QR$17,IF(#REF!=Data!$QK$9,Data!$QS$17,IF(#REF!=Data!$QK$10,Data!$QT$17,IF(#REF!=Data!$QK$11,Data!$QU$17))))))))))</f>
        <v>#REF!</v>
      </c>
      <c r="BD28" s="33" t="e">
        <f>IF(#REF!=Data!$PU$2,Data!$PW$1,IF(#REF!=Data!$PU$3,Data!$PW$1,IF(#REF!=Data!$PU$4,Data!$PV$1,IF(#REF!=Data!$PU$5,Data!$PV$1,))))</f>
        <v>#REF!</v>
      </c>
      <c r="BE28" s="33" t="e">
        <f>MATCH('Panel Glide Blinds'!D28,Data!$AAK$2:$AAK$15)</f>
        <v>#N/A</v>
      </c>
      <c r="BF28" s="33" t="e">
        <f>MATCH(O28,Data!$AAL$1:$AAM$1)</f>
        <v>#N/A</v>
      </c>
      <c r="BG28" s="33" t="e">
        <f>INDEX(Data!$AAL$2:$AAM$15,BE28,BF28)</f>
        <v>#N/A</v>
      </c>
      <c r="BH28" s="33" t="b">
        <f>IF(O28=Data!$ABF$1,Data!$ABD$1,IF(O28=Data!$ABF$2,Data!$ABE$1))</f>
        <v>0</v>
      </c>
      <c r="BI28" s="33" t="e">
        <f>VLOOKUP(H28,Data!$ABL$2:$ABM$8,2,FALSE)</f>
        <v>#N/A</v>
      </c>
      <c r="BJ28" s="172" t="e">
        <f>VLOOKUP(H28,Data!$ABW$2:$ABX$9,2,FALSE)</f>
        <v>#N/A</v>
      </c>
      <c r="BK28" s="172" t="e">
        <f>VLOOKUP(H28,Data!$ABW$2:$ABY$8,3,FALSE)</f>
        <v>#N/A</v>
      </c>
      <c r="BL28" s="172" t="str">
        <f t="shared" si="0"/>
        <v/>
      </c>
      <c r="BM28" s="172" t="str">
        <f t="shared" si="1"/>
        <v/>
      </c>
      <c r="BN28" s="172" t="str">
        <f t="shared" si="4"/>
        <v/>
      </c>
      <c r="BO28" s="33" t="e">
        <f t="shared" si="5"/>
        <v>#DIV/0!</v>
      </c>
      <c r="BP28" s="33" t="e">
        <f t="shared" si="6"/>
        <v>#DIV/0!</v>
      </c>
      <c r="BQ28" s="33" t="e">
        <f t="shared" si="7"/>
        <v>#DIV/0!</v>
      </c>
      <c r="BR28" s="33" t="str">
        <f t="shared" si="8"/>
        <v/>
      </c>
    </row>
    <row r="29" spans="1:70" ht="30" customHeight="1" thickTop="1" thickBot="1">
      <c r="A29" s="52">
        <v>22</v>
      </c>
      <c r="B29" s="13"/>
      <c r="C29" s="13"/>
      <c r="D29" s="19"/>
      <c r="E29" s="15"/>
      <c r="F29" s="14"/>
      <c r="G29" s="14"/>
      <c r="H29" s="14"/>
      <c r="I29" s="13"/>
      <c r="J29" s="14"/>
      <c r="K29" s="14"/>
      <c r="L29" s="563"/>
      <c r="M29" s="564"/>
      <c r="N29" s="15"/>
      <c r="O29" s="15"/>
      <c r="P29" s="15"/>
      <c r="Q29" s="13"/>
      <c r="R29" s="13"/>
      <c r="S29" s="13"/>
      <c r="T29" s="699"/>
      <c r="U29" s="700"/>
      <c r="V29" s="229"/>
      <c r="W29" s="230"/>
      <c r="X29" s="269" t="e">
        <f t="shared" si="2"/>
        <v>#N/A</v>
      </c>
      <c r="Y29" s="269" t="e">
        <f>VLOOKUP(Q29,Data!$QH$2:$QI$4,2,FALSE)</f>
        <v>#N/A</v>
      </c>
      <c r="AA29" s="269" t="e">
        <f t="shared" si="3"/>
        <v>#N/A</v>
      </c>
      <c r="AD29" s="172" t="e">
        <f>IF(#REF!=Data!$KK$2,Data!$KM$1,IF(#REF!=Data!$KK$3,Data!$KN$1,IF(#REF!=Data!$KK$4,Data!$KP$1,IF(#REF!=Data!$KK$5,Data!$KQ$1))))</f>
        <v>#REF!</v>
      </c>
      <c r="AE29" s="33" t="str">
        <f>IF(D29=Data!$W$10,Data!$QJ$1,Data!$QK$1)</f>
        <v>RollerControl</v>
      </c>
      <c r="AH29" s="33" t="b">
        <f>IF(Q29=Data!$PX$2,Data!$PZ$1,IF(Q29=Data!$PX$3,Data!$PY$1,IF(Q29=Data!$PX$4,Data!$QA$1)))</f>
        <v>0</v>
      </c>
      <c r="AJ29" s="33" t="b">
        <f>IF(Q29=Data!$PX$3,Data!$QB$1,IF(Q29=Data!$PX$2,Data!$QC$1,IF(Q29=Data!$PX$4,Data!$QD$1)))</f>
        <v>0</v>
      </c>
      <c r="AL29" s="33" t="str">
        <f>IF(D29=Data!$W$3,Data!$QF$1,IF(D29=Data!$W$4,Data!$QF$1,IF(D29=Data!$W$5,Data!$QF$1,IF(D29=Data!$W$6,Data!$QF$1,IF(D29=Data!$W$7,Data!$QF$1,IF(D29=Data!$W$8,Data!$QF$1,IF(D29=Data!$W$9,Data!$QF$1,IF(D29=Data!$W$10,Data!$QE$1,IF(D29=Data!$W$11,Data!$QF$1,IF(D29=Data!$W$12,Data!$QF$1,IF(D29=Data!$W$13,Data!$QF$1,IF(D29=Data!$W$14,Data!$QF$1,IF(D29=Data!$W$15,Data!$QF$1,IF(D29=Data!$W$16,Data!$QF$1))))))))))))))</f>
        <v>RollerBracketType2</v>
      </c>
      <c r="AV29" s="40" t="e">
        <f>IF(AND(G29&lt;2130, OR(#REF!&lt;2100)),Data!$KS$1,Data!$KT$1)</f>
        <v>#REF!</v>
      </c>
      <c r="AW29" s="172" t="e">
        <f>MATCH(#REF!,Data!$LA$1:$LD$1,0)</f>
        <v>#REF!</v>
      </c>
      <c r="AX29" s="172" t="e">
        <f>MATCH('Panel Glide Blinds'!AV29,Data!$KZ$2:$KZ$3,0)</f>
        <v>#REF!</v>
      </c>
      <c r="AY29" s="172" t="e">
        <f>INDEX(Data!$LA$2:$LD$3,'Panel Glide Blinds'!AX29,'Panel Glide Blinds'!AW29)</f>
        <v>#REF!</v>
      </c>
      <c r="BB29" s="172" t="e">
        <f>IF(#REF!=Data!$QK$2,Data!$QL$1,IF(#REF!=Data!$QK$3,Data!$QM$1,IF(#REF!=Data!$QK$4,Data!$QN$1,IF(#REF!=Data!$QK$5,Data!$QO$1,IF(#REF!=Data!$QK$6,Data!$QP$1,IF(#REF!=Data!$QK$7,Data!$QQ$1,IF(#REF!=Data!$QK$8,Data!$QR$1,IF(#REF!=Data!$QK$9,Data!$QS$1,IF(#REF!=Data!$QK$10,Data!$QT$1,IF(#REF!=Data!$QK$11,Data!$QU$1))))))))))</f>
        <v>#REF!</v>
      </c>
      <c r="BC29" s="33" t="e">
        <f>IF(#REF!=Data!$QK$2,Data!$QL$17,IF(#REF!=Data!$QK$3,Data!$QM$17,IF(#REF!=Data!$QK$4,Data!$QN$17,IF(#REF!=Data!$QK$5,Data!$QO$17,IF(#REF!=Data!$QK$6,Data!$QP$17,IF(#REF!=Data!$QK$7,Data!$QQ$17,IF(#REF!=Data!$QK$8,Data!$QR$17,IF(#REF!=Data!$QK$9,Data!$QS$17,IF(#REF!=Data!$QK$10,Data!$QT$17,IF(#REF!=Data!$QK$11,Data!$QU$17))))))))))</f>
        <v>#REF!</v>
      </c>
      <c r="BD29" s="33" t="e">
        <f>IF(#REF!=Data!$PU$2,Data!$PW$1,IF(#REF!=Data!$PU$3,Data!$PW$1,IF(#REF!=Data!$PU$4,Data!$PV$1,IF(#REF!=Data!$PU$5,Data!$PV$1,))))</f>
        <v>#REF!</v>
      </c>
      <c r="BE29" s="33" t="e">
        <f>MATCH('Panel Glide Blinds'!D29,Data!$AAK$2:$AAK$15)</f>
        <v>#N/A</v>
      </c>
      <c r="BF29" s="33" t="e">
        <f>MATCH(O29,Data!$AAL$1:$AAM$1)</f>
        <v>#N/A</v>
      </c>
      <c r="BG29" s="33" t="e">
        <f>INDEX(Data!$AAL$2:$AAM$15,BE29,BF29)</f>
        <v>#N/A</v>
      </c>
      <c r="BH29" s="33" t="b">
        <f>IF(O29=Data!$ABF$1,Data!$ABD$1,IF(O29=Data!$ABF$2,Data!$ABE$1))</f>
        <v>0</v>
      </c>
      <c r="BI29" s="33" t="e">
        <f>VLOOKUP(H29,Data!$ABL$2:$ABM$8,2,FALSE)</f>
        <v>#N/A</v>
      </c>
      <c r="BJ29" s="172" t="e">
        <f>VLOOKUP(H29,Data!$ABW$2:$ABX$9,2,FALSE)</f>
        <v>#N/A</v>
      </c>
      <c r="BK29" s="172" t="e">
        <f>VLOOKUP(H29,Data!$ABW$2:$ABY$8,3,FALSE)</f>
        <v>#N/A</v>
      </c>
      <c r="BL29" s="172" t="str">
        <f t="shared" si="0"/>
        <v/>
      </c>
      <c r="BM29" s="172" t="str">
        <f t="shared" si="1"/>
        <v/>
      </c>
      <c r="BN29" s="172" t="str">
        <f t="shared" si="4"/>
        <v/>
      </c>
      <c r="BO29" s="33" t="e">
        <f t="shared" si="5"/>
        <v>#DIV/0!</v>
      </c>
      <c r="BP29" s="33" t="e">
        <f t="shared" si="6"/>
        <v>#DIV/0!</v>
      </c>
      <c r="BQ29" s="33" t="e">
        <f t="shared" si="7"/>
        <v>#DIV/0!</v>
      </c>
      <c r="BR29" s="33" t="str">
        <f t="shared" si="8"/>
        <v/>
      </c>
    </row>
    <row r="30" spans="1:70" ht="30" customHeight="1" thickTop="1" thickBot="1">
      <c r="A30" s="52">
        <v>23</v>
      </c>
      <c r="B30" s="13"/>
      <c r="C30" s="13"/>
      <c r="D30" s="13"/>
      <c r="E30" s="15"/>
      <c r="F30" s="14"/>
      <c r="G30" s="14"/>
      <c r="H30" s="14"/>
      <c r="I30" s="13"/>
      <c r="J30" s="14"/>
      <c r="K30" s="14"/>
      <c r="L30" s="563"/>
      <c r="M30" s="564"/>
      <c r="N30" s="15"/>
      <c r="O30" s="15"/>
      <c r="P30" s="15"/>
      <c r="Q30" s="13"/>
      <c r="R30" s="13"/>
      <c r="S30" s="13"/>
      <c r="T30" s="699"/>
      <c r="U30" s="700"/>
      <c r="V30" s="229"/>
      <c r="W30" s="230"/>
      <c r="X30" s="269" t="e">
        <f t="shared" si="2"/>
        <v>#N/A</v>
      </c>
      <c r="Y30" s="269" t="e">
        <f>VLOOKUP(Q30,Data!$QH$2:$QI$4,2,FALSE)</f>
        <v>#N/A</v>
      </c>
      <c r="AA30" s="269" t="e">
        <f t="shared" si="3"/>
        <v>#N/A</v>
      </c>
      <c r="AD30" s="172" t="e">
        <f>IF(#REF!=Data!$KK$2,Data!$KM$1,IF(#REF!=Data!$KK$3,Data!$KN$1,IF(#REF!=Data!$KK$4,Data!$KP$1,IF(#REF!=Data!$KK$5,Data!$KQ$1))))</f>
        <v>#REF!</v>
      </c>
      <c r="AE30" s="33" t="str">
        <f>IF(D30=Data!$W$10,Data!$QJ$1,Data!$QK$1)</f>
        <v>RollerControl</v>
      </c>
      <c r="AH30" s="33" t="b">
        <f>IF(Q30=Data!$PX$2,Data!$PZ$1,IF(Q30=Data!$PX$3,Data!$PY$1,IF(Q30=Data!$PX$4,Data!$QA$1)))</f>
        <v>0</v>
      </c>
      <c r="AJ30" s="33" t="b">
        <f>IF(Q30=Data!$PX$3,Data!$QB$1,IF(Q30=Data!$PX$2,Data!$QC$1,IF(Q30=Data!$PX$4,Data!$QD$1)))</f>
        <v>0</v>
      </c>
      <c r="AL30" s="33" t="str">
        <f>IF(D30=Data!$W$3,Data!$QF$1,IF(D30=Data!$W$4,Data!$QF$1,IF(D30=Data!$W$5,Data!$QF$1,IF(D30=Data!$W$6,Data!$QF$1,IF(D30=Data!$W$7,Data!$QF$1,IF(D30=Data!$W$8,Data!$QF$1,IF(D30=Data!$W$9,Data!$QF$1,IF(D30=Data!$W$10,Data!$QE$1,IF(D30=Data!$W$11,Data!$QF$1,IF(D30=Data!$W$12,Data!$QF$1,IF(D30=Data!$W$13,Data!$QF$1,IF(D30=Data!$W$14,Data!$QF$1,IF(D30=Data!$W$15,Data!$QF$1,IF(D30=Data!$W$16,Data!$QF$1))))))))))))))</f>
        <v>RollerBracketType2</v>
      </c>
      <c r="AV30" s="40" t="e">
        <f>IF(AND(G30&lt;2130, OR(#REF!&lt;2100)),Data!$KS$1,Data!$KT$1)</f>
        <v>#REF!</v>
      </c>
      <c r="AW30" s="172" t="e">
        <f>MATCH(#REF!,Data!$LA$1:$LD$1,0)</f>
        <v>#REF!</v>
      </c>
      <c r="AX30" s="172" t="e">
        <f>MATCH('Panel Glide Blinds'!AV30,Data!$KZ$2:$KZ$3,0)</f>
        <v>#REF!</v>
      </c>
      <c r="AY30" s="172" t="e">
        <f>INDEX(Data!$LA$2:$LD$3,'Panel Glide Blinds'!AX30,'Panel Glide Blinds'!AW30)</f>
        <v>#REF!</v>
      </c>
      <c r="BB30" s="172" t="e">
        <f>IF(#REF!=Data!$QK$2,Data!$QL$1,IF(#REF!=Data!$QK$3,Data!$QM$1,IF(#REF!=Data!$QK$4,Data!$QN$1,IF(#REF!=Data!$QK$5,Data!$QO$1,IF(#REF!=Data!$QK$6,Data!$QP$1,IF(#REF!=Data!$QK$7,Data!$QQ$1,IF(#REF!=Data!$QK$8,Data!$QR$1,IF(#REF!=Data!$QK$9,Data!$QS$1,IF(#REF!=Data!$QK$10,Data!$QT$1,IF(#REF!=Data!$QK$11,Data!$QU$1))))))))))</f>
        <v>#REF!</v>
      </c>
      <c r="BC30" s="33" t="e">
        <f>IF(#REF!=Data!$QK$2,Data!$QL$17,IF(#REF!=Data!$QK$3,Data!$QM$17,IF(#REF!=Data!$QK$4,Data!$QN$17,IF(#REF!=Data!$QK$5,Data!$QO$17,IF(#REF!=Data!$QK$6,Data!$QP$17,IF(#REF!=Data!$QK$7,Data!$QQ$17,IF(#REF!=Data!$QK$8,Data!$QR$17,IF(#REF!=Data!$QK$9,Data!$QS$17,IF(#REF!=Data!$QK$10,Data!$QT$17,IF(#REF!=Data!$QK$11,Data!$QU$17))))))))))</f>
        <v>#REF!</v>
      </c>
      <c r="BD30" s="33" t="e">
        <f>IF(#REF!=Data!$PU$2,Data!$PW$1,IF(#REF!=Data!$PU$3,Data!$PW$1,IF(#REF!=Data!$PU$4,Data!$PV$1,IF(#REF!=Data!$PU$5,Data!$PV$1,))))</f>
        <v>#REF!</v>
      </c>
      <c r="BE30" s="33" t="e">
        <f>MATCH('Panel Glide Blinds'!D30,Data!$AAK$2:$AAK$15)</f>
        <v>#N/A</v>
      </c>
      <c r="BF30" s="33" t="e">
        <f>MATCH(O30,Data!$AAL$1:$AAM$1)</f>
        <v>#N/A</v>
      </c>
      <c r="BG30" s="33" t="e">
        <f>INDEX(Data!$AAL$2:$AAM$15,BE30,BF30)</f>
        <v>#N/A</v>
      </c>
      <c r="BH30" s="33" t="b">
        <f>IF(O30=Data!$ABF$1,Data!$ABD$1,IF(O30=Data!$ABF$2,Data!$ABE$1))</f>
        <v>0</v>
      </c>
      <c r="BI30" s="33" t="e">
        <f>VLOOKUP(H30,Data!$ABL$2:$ABM$8,2,FALSE)</f>
        <v>#N/A</v>
      </c>
      <c r="BJ30" s="172" t="e">
        <f>VLOOKUP(H30,Data!$ABW$2:$ABX$9,2,FALSE)</f>
        <v>#N/A</v>
      </c>
      <c r="BK30" s="172" t="e">
        <f>VLOOKUP(H30,Data!$ABW$2:$ABY$8,3,FALSE)</f>
        <v>#N/A</v>
      </c>
      <c r="BL30" s="172" t="str">
        <f t="shared" si="0"/>
        <v/>
      </c>
      <c r="BM30" s="172" t="str">
        <f t="shared" si="1"/>
        <v/>
      </c>
      <c r="BN30" s="172" t="str">
        <f t="shared" si="4"/>
        <v/>
      </c>
      <c r="BO30" s="33" t="e">
        <f t="shared" si="5"/>
        <v>#DIV/0!</v>
      </c>
      <c r="BP30" s="33" t="e">
        <f t="shared" si="6"/>
        <v>#DIV/0!</v>
      </c>
      <c r="BQ30" s="33" t="e">
        <f t="shared" si="7"/>
        <v>#DIV/0!</v>
      </c>
      <c r="BR30" s="33" t="str">
        <f t="shared" si="8"/>
        <v/>
      </c>
    </row>
    <row r="31" spans="1:70" ht="30" customHeight="1" thickTop="1" thickBot="1">
      <c r="A31" s="52">
        <v>24</v>
      </c>
      <c r="B31" s="13"/>
      <c r="C31" s="13"/>
      <c r="D31" s="19"/>
      <c r="E31" s="15"/>
      <c r="F31" s="14"/>
      <c r="G31" s="14"/>
      <c r="H31" s="14"/>
      <c r="I31" s="13"/>
      <c r="J31" s="14"/>
      <c r="K31" s="10"/>
      <c r="L31" s="586"/>
      <c r="M31" s="587"/>
      <c r="N31" s="18"/>
      <c r="O31" s="18"/>
      <c r="P31" s="15"/>
      <c r="Q31" s="13"/>
      <c r="R31" s="13"/>
      <c r="S31" s="13"/>
      <c r="T31" s="699"/>
      <c r="U31" s="700"/>
      <c r="V31" s="229"/>
      <c r="W31" s="230"/>
      <c r="X31" s="269" t="e">
        <f t="shared" si="2"/>
        <v>#N/A</v>
      </c>
      <c r="Y31" s="269" t="e">
        <f>VLOOKUP(Q31,Data!$QH$2:$QI$4,2,FALSE)</f>
        <v>#N/A</v>
      </c>
      <c r="AA31" s="269" t="e">
        <f t="shared" si="3"/>
        <v>#N/A</v>
      </c>
      <c r="AD31" s="172" t="e">
        <f>IF(#REF!=Data!$KK$2,Data!$KM$1,IF(#REF!=Data!$KK$3,Data!$KN$1,IF(#REF!=Data!$KK$4,Data!$KP$1,IF(#REF!=Data!$KK$5,Data!$KQ$1))))</f>
        <v>#REF!</v>
      </c>
      <c r="AE31" s="33" t="str">
        <f>IF(D31=Data!$W$10,Data!$QJ$1,Data!$QK$1)</f>
        <v>RollerControl</v>
      </c>
      <c r="AH31" s="33" t="b">
        <f>IF(Q31=Data!$PX$2,Data!$PZ$1,IF(Q31=Data!$PX$3,Data!$PY$1,IF(Q31=Data!$PX$4,Data!$QA$1)))</f>
        <v>0</v>
      </c>
      <c r="AJ31" s="33" t="b">
        <f>IF(Q31=Data!$PX$3,Data!$QB$1,IF(Q31=Data!$PX$2,Data!$QC$1,IF(Q31=Data!$PX$4,Data!$QD$1)))</f>
        <v>0</v>
      </c>
      <c r="AL31" s="33" t="str">
        <f>IF(D31=Data!$W$3,Data!$QF$1,IF(D31=Data!$W$4,Data!$QF$1,IF(D31=Data!$W$5,Data!$QF$1,IF(D31=Data!$W$6,Data!$QF$1,IF(D31=Data!$W$7,Data!$QF$1,IF(D31=Data!$W$8,Data!$QF$1,IF(D31=Data!$W$9,Data!$QF$1,IF(D31=Data!$W$10,Data!$QE$1,IF(D31=Data!$W$11,Data!$QF$1,IF(D31=Data!$W$12,Data!$QF$1,IF(D31=Data!$W$13,Data!$QF$1,IF(D31=Data!$W$14,Data!$QF$1,IF(D31=Data!$W$15,Data!$QF$1,IF(D31=Data!$W$16,Data!$QF$1))))))))))))))</f>
        <v>RollerBracketType2</v>
      </c>
      <c r="AV31" s="40" t="e">
        <f>IF(AND(G31&lt;2130, OR(#REF!&lt;2100)),Data!$KS$1,Data!$KT$1)</f>
        <v>#REF!</v>
      </c>
      <c r="AW31" s="172" t="e">
        <f>MATCH(#REF!,Data!$LA$1:$LD$1,0)</f>
        <v>#REF!</v>
      </c>
      <c r="AX31" s="172" t="e">
        <f>MATCH('Panel Glide Blinds'!AV31,Data!$KZ$2:$KZ$3,0)</f>
        <v>#REF!</v>
      </c>
      <c r="AY31" s="172" t="e">
        <f>INDEX(Data!$LA$2:$LD$3,'Panel Glide Blinds'!AX31,'Panel Glide Blinds'!AW31)</f>
        <v>#REF!</v>
      </c>
      <c r="BB31" s="172" t="e">
        <f>IF(#REF!=Data!$QK$2,Data!$QL$1,IF(#REF!=Data!$QK$3,Data!$QM$1,IF(#REF!=Data!$QK$4,Data!$QN$1,IF(#REF!=Data!$QK$5,Data!$QO$1,IF(#REF!=Data!$QK$6,Data!$QP$1,IF(#REF!=Data!$QK$7,Data!$QQ$1,IF(#REF!=Data!$QK$8,Data!$QR$1,IF(#REF!=Data!$QK$9,Data!$QS$1,IF(#REF!=Data!$QK$10,Data!$QT$1,IF(#REF!=Data!$QK$11,Data!$QU$1))))))))))</f>
        <v>#REF!</v>
      </c>
      <c r="BC31" s="33" t="e">
        <f>IF(#REF!=Data!$QK$2,Data!$QL$17,IF(#REF!=Data!$QK$3,Data!$QM$17,IF(#REF!=Data!$QK$4,Data!$QN$17,IF(#REF!=Data!$QK$5,Data!$QO$17,IF(#REF!=Data!$QK$6,Data!$QP$17,IF(#REF!=Data!$QK$7,Data!$QQ$17,IF(#REF!=Data!$QK$8,Data!$QR$17,IF(#REF!=Data!$QK$9,Data!$QS$17,IF(#REF!=Data!$QK$10,Data!$QT$17,IF(#REF!=Data!$QK$11,Data!$QU$17))))))))))</f>
        <v>#REF!</v>
      </c>
      <c r="BD31" s="33" t="e">
        <f>IF(#REF!=Data!$PU$2,Data!$PW$1,IF(#REF!=Data!$PU$3,Data!$PW$1,IF(#REF!=Data!$PU$4,Data!$PV$1,IF(#REF!=Data!$PU$5,Data!$PV$1,))))</f>
        <v>#REF!</v>
      </c>
      <c r="BE31" s="33" t="e">
        <f>MATCH('Panel Glide Blinds'!D31,Data!$AAK$2:$AAK$15)</f>
        <v>#N/A</v>
      </c>
      <c r="BF31" s="33" t="e">
        <f>MATCH(O31,Data!$AAL$1:$AAM$1)</f>
        <v>#N/A</v>
      </c>
      <c r="BG31" s="33" t="e">
        <f>INDEX(Data!$AAL$2:$AAM$15,BE31,BF31)</f>
        <v>#N/A</v>
      </c>
      <c r="BH31" s="33" t="b">
        <f>IF(O31=Data!$ABF$1,Data!$ABD$1,IF(O31=Data!$ABF$2,Data!$ABE$1))</f>
        <v>0</v>
      </c>
      <c r="BI31" s="33" t="e">
        <f>VLOOKUP(H31,Data!$ABL$2:$ABM$8,2,FALSE)</f>
        <v>#N/A</v>
      </c>
      <c r="BJ31" s="172" t="e">
        <f>VLOOKUP(H31,Data!$ABW$2:$ABX$9,2,FALSE)</f>
        <v>#N/A</v>
      </c>
      <c r="BK31" s="172" t="e">
        <f>VLOOKUP(H31,Data!$ABW$2:$ABY$8,3,FALSE)</f>
        <v>#N/A</v>
      </c>
      <c r="BL31" s="172" t="str">
        <f t="shared" si="0"/>
        <v/>
      </c>
      <c r="BM31" s="172" t="str">
        <f t="shared" si="1"/>
        <v/>
      </c>
      <c r="BN31" s="172" t="str">
        <f t="shared" si="4"/>
        <v/>
      </c>
      <c r="BO31" s="33" t="e">
        <f t="shared" si="5"/>
        <v>#DIV/0!</v>
      </c>
      <c r="BP31" s="33" t="e">
        <f t="shared" si="6"/>
        <v>#DIV/0!</v>
      </c>
      <c r="BQ31" s="33" t="e">
        <f t="shared" si="7"/>
        <v>#DIV/0!</v>
      </c>
      <c r="BR31" s="33" t="str">
        <f t="shared" si="8"/>
        <v/>
      </c>
    </row>
    <row r="32" spans="1:70" ht="30" customHeight="1" thickTop="1" thickBot="1">
      <c r="A32" s="52">
        <v>25</v>
      </c>
      <c r="B32" s="13"/>
      <c r="C32" s="13"/>
      <c r="D32" s="19"/>
      <c r="E32" s="15"/>
      <c r="F32" s="14"/>
      <c r="G32" s="14"/>
      <c r="H32" s="14"/>
      <c r="I32" s="13"/>
      <c r="J32" s="14"/>
      <c r="K32" s="14"/>
      <c r="L32" s="563"/>
      <c r="M32" s="564"/>
      <c r="N32" s="15"/>
      <c r="O32" s="15"/>
      <c r="P32" s="15"/>
      <c r="Q32" s="13"/>
      <c r="R32" s="13"/>
      <c r="S32" s="13"/>
      <c r="T32" s="699"/>
      <c r="U32" s="700"/>
      <c r="V32" s="229"/>
      <c r="W32" s="230"/>
      <c r="X32" s="269" t="e">
        <f t="shared" si="2"/>
        <v>#N/A</v>
      </c>
      <c r="Y32" s="269" t="e">
        <f>VLOOKUP(Q32,Data!$QH$2:$QI$4,2,FALSE)</f>
        <v>#N/A</v>
      </c>
      <c r="AA32" s="269" t="e">
        <f t="shared" si="3"/>
        <v>#N/A</v>
      </c>
      <c r="AD32" s="172" t="e">
        <f>IF(#REF!=Data!$KK$2,Data!$KM$1,IF(#REF!=Data!$KK$3,Data!$KN$1,IF(#REF!=Data!$KK$4,Data!$KP$1,IF(#REF!=Data!$KK$5,Data!$KQ$1))))</f>
        <v>#REF!</v>
      </c>
      <c r="AE32" s="33" t="str">
        <f>IF(D32=Data!$W$10,Data!$QJ$1,Data!$QK$1)</f>
        <v>RollerControl</v>
      </c>
      <c r="AH32" s="33" t="b">
        <f>IF(Q32=Data!$PX$2,Data!$PZ$1,IF(Q32=Data!$PX$3,Data!$PY$1,IF(Q32=Data!$PX$4,Data!$QA$1)))</f>
        <v>0</v>
      </c>
      <c r="AJ32" s="33" t="b">
        <f>IF(Q32=Data!$PX$3,Data!$QB$1,IF(Q32=Data!$PX$2,Data!$QC$1,IF(Q32=Data!$PX$4,Data!$QD$1)))</f>
        <v>0</v>
      </c>
      <c r="AL32" s="33" t="str">
        <f>IF(D32=Data!$W$3,Data!$QF$1,IF(D32=Data!$W$4,Data!$QF$1,IF(D32=Data!$W$5,Data!$QF$1,IF(D32=Data!$W$6,Data!$QF$1,IF(D32=Data!$W$7,Data!$QF$1,IF(D32=Data!$W$8,Data!$QF$1,IF(D32=Data!$W$9,Data!$QF$1,IF(D32=Data!$W$10,Data!$QE$1,IF(D32=Data!$W$11,Data!$QF$1,IF(D32=Data!$W$12,Data!$QF$1,IF(D32=Data!$W$13,Data!$QF$1,IF(D32=Data!$W$14,Data!$QF$1,IF(D32=Data!$W$15,Data!$QF$1,IF(D32=Data!$W$16,Data!$QF$1))))))))))))))</f>
        <v>RollerBracketType2</v>
      </c>
      <c r="AV32" s="40" t="e">
        <f>IF(AND(G32&lt;2130, OR(#REF!&lt;2100)),Data!$KS$1,Data!$KT$1)</f>
        <v>#REF!</v>
      </c>
      <c r="AW32" s="172" t="e">
        <f>MATCH(#REF!,Data!$LA$1:$LD$1,0)</f>
        <v>#REF!</v>
      </c>
      <c r="AX32" s="172" t="e">
        <f>MATCH('Panel Glide Blinds'!AV32,Data!$KZ$2:$KZ$3,0)</f>
        <v>#REF!</v>
      </c>
      <c r="AY32" s="172" t="e">
        <f>INDEX(Data!$LA$2:$LD$3,'Panel Glide Blinds'!AX32,'Panel Glide Blinds'!AW32)</f>
        <v>#REF!</v>
      </c>
      <c r="BB32" s="172" t="e">
        <f>IF(#REF!=Data!$QK$2,Data!$QL$1,IF(#REF!=Data!$QK$3,Data!$QM$1,IF(#REF!=Data!$QK$4,Data!$QN$1,IF(#REF!=Data!$QK$5,Data!$QO$1,IF(#REF!=Data!$QK$6,Data!$QP$1,IF(#REF!=Data!$QK$7,Data!$QQ$1,IF(#REF!=Data!$QK$8,Data!$QR$1,IF(#REF!=Data!$QK$9,Data!$QS$1,IF(#REF!=Data!$QK$10,Data!$QT$1,IF(#REF!=Data!$QK$11,Data!$QU$1))))))))))</f>
        <v>#REF!</v>
      </c>
      <c r="BC32" s="33" t="e">
        <f>IF(#REF!=Data!$QK$2,Data!$QL$17,IF(#REF!=Data!$QK$3,Data!$QM$17,IF(#REF!=Data!$QK$4,Data!$QN$17,IF(#REF!=Data!$QK$5,Data!$QO$17,IF(#REF!=Data!$QK$6,Data!$QP$17,IF(#REF!=Data!$QK$7,Data!$QQ$17,IF(#REF!=Data!$QK$8,Data!$QR$17,IF(#REF!=Data!$QK$9,Data!$QS$17,IF(#REF!=Data!$QK$10,Data!$QT$17,IF(#REF!=Data!$QK$11,Data!$QU$17))))))))))</f>
        <v>#REF!</v>
      </c>
      <c r="BD32" s="33" t="e">
        <f>IF(#REF!=Data!$PU$2,Data!$PW$1,IF(#REF!=Data!$PU$3,Data!$PW$1,IF(#REF!=Data!$PU$4,Data!$PV$1,IF(#REF!=Data!$PU$5,Data!$PV$1,))))</f>
        <v>#REF!</v>
      </c>
      <c r="BE32" s="33" t="e">
        <f>MATCH('Panel Glide Blinds'!D32,Data!$AAK$2:$AAK$15)</f>
        <v>#N/A</v>
      </c>
      <c r="BF32" s="33" t="e">
        <f>MATCH(O32,Data!$AAL$1:$AAM$1)</f>
        <v>#N/A</v>
      </c>
      <c r="BG32" s="33" t="e">
        <f>INDEX(Data!$AAL$2:$AAM$15,BE32,BF32)</f>
        <v>#N/A</v>
      </c>
      <c r="BH32" s="33" t="b">
        <f>IF(O32=Data!$ABF$1,Data!$ABD$1,IF(O32=Data!$ABF$2,Data!$ABE$1))</f>
        <v>0</v>
      </c>
      <c r="BI32" s="33" t="e">
        <f>VLOOKUP(H32,Data!$ABL$2:$ABM$8,2,FALSE)</f>
        <v>#N/A</v>
      </c>
      <c r="BJ32" s="172" t="e">
        <f>VLOOKUP(H32,Data!$ABW$2:$ABX$9,2,FALSE)</f>
        <v>#N/A</v>
      </c>
      <c r="BK32" s="172" t="e">
        <f>VLOOKUP(H32,Data!$ABW$2:$ABY$8,3,FALSE)</f>
        <v>#N/A</v>
      </c>
      <c r="BL32" s="172" t="str">
        <f t="shared" si="0"/>
        <v/>
      </c>
      <c r="BM32" s="172" t="str">
        <f t="shared" si="1"/>
        <v/>
      </c>
      <c r="BN32" s="172" t="str">
        <f t="shared" si="4"/>
        <v/>
      </c>
      <c r="BO32" s="33" t="e">
        <f t="shared" si="5"/>
        <v>#DIV/0!</v>
      </c>
      <c r="BP32" s="33" t="e">
        <f t="shared" si="6"/>
        <v>#DIV/0!</v>
      </c>
      <c r="BQ32" s="33" t="e">
        <f t="shared" si="7"/>
        <v>#DIV/0!</v>
      </c>
      <c r="BR32" s="33" t="str">
        <f t="shared" si="8"/>
        <v/>
      </c>
    </row>
    <row r="33" spans="1:70" ht="30" customHeight="1" thickTop="1" thickBot="1">
      <c r="A33" s="52">
        <v>26</v>
      </c>
      <c r="B33" s="13"/>
      <c r="C33" s="13"/>
      <c r="D33" s="19"/>
      <c r="E33" s="15"/>
      <c r="F33" s="14"/>
      <c r="G33" s="14"/>
      <c r="H33" s="14"/>
      <c r="I33" s="13"/>
      <c r="J33" s="14"/>
      <c r="K33" s="14"/>
      <c r="L33" s="563"/>
      <c r="M33" s="564"/>
      <c r="N33" s="15"/>
      <c r="O33" s="15"/>
      <c r="P33" s="15"/>
      <c r="Q33" s="13"/>
      <c r="R33" s="13"/>
      <c r="S33" s="13"/>
      <c r="T33" s="699"/>
      <c r="U33" s="700"/>
      <c r="V33" s="229"/>
      <c r="W33" s="230"/>
      <c r="X33" s="269" t="e">
        <f t="shared" si="2"/>
        <v>#N/A</v>
      </c>
      <c r="Y33" s="269" t="e">
        <f>VLOOKUP(Q33,Data!$QH$2:$QI$4,2,FALSE)</f>
        <v>#N/A</v>
      </c>
      <c r="AA33" s="269" t="e">
        <f t="shared" si="3"/>
        <v>#N/A</v>
      </c>
      <c r="AD33" s="172" t="e">
        <f>IF(#REF!=Data!$KK$2,Data!$KM$1,IF(#REF!=Data!$KK$3,Data!$KN$1,IF(#REF!=Data!$KK$4,Data!$KP$1,IF(#REF!=Data!$KK$5,Data!$KQ$1))))</f>
        <v>#REF!</v>
      </c>
      <c r="AE33" s="33" t="str">
        <f>IF(D33=Data!$W$10,Data!$QJ$1,Data!$QK$1)</f>
        <v>RollerControl</v>
      </c>
      <c r="AH33" s="33" t="b">
        <f>IF(Q33=Data!$PX$2,Data!$PZ$1,IF(Q33=Data!$PX$3,Data!$PY$1,IF(Q33=Data!$PX$4,Data!$QA$1)))</f>
        <v>0</v>
      </c>
      <c r="AJ33" s="33" t="b">
        <f>IF(Q33=Data!$PX$3,Data!$QB$1,IF(Q33=Data!$PX$2,Data!$QC$1,IF(Q33=Data!$PX$4,Data!$QD$1)))</f>
        <v>0</v>
      </c>
      <c r="AL33" s="33" t="str">
        <f>IF(D33=Data!$W$3,Data!$QF$1,IF(D33=Data!$W$4,Data!$QF$1,IF(D33=Data!$W$5,Data!$QF$1,IF(D33=Data!$W$6,Data!$QF$1,IF(D33=Data!$W$7,Data!$QF$1,IF(D33=Data!$W$8,Data!$QF$1,IF(D33=Data!$W$9,Data!$QF$1,IF(D33=Data!$W$10,Data!$QE$1,IF(D33=Data!$W$11,Data!$QF$1,IF(D33=Data!$W$12,Data!$QF$1,IF(D33=Data!$W$13,Data!$QF$1,IF(D33=Data!$W$14,Data!$QF$1,IF(D33=Data!$W$15,Data!$QF$1,IF(D33=Data!$W$16,Data!$QF$1))))))))))))))</f>
        <v>RollerBracketType2</v>
      </c>
      <c r="AV33" s="40" t="e">
        <f>IF(AND(G33&lt;2130, OR(#REF!&lt;2100)),Data!$KS$1,Data!$KT$1)</f>
        <v>#REF!</v>
      </c>
      <c r="AW33" s="172" t="e">
        <f>MATCH(#REF!,Data!$LA$1:$LD$1,0)</f>
        <v>#REF!</v>
      </c>
      <c r="AX33" s="172" t="e">
        <f>MATCH('Panel Glide Blinds'!AV33,Data!$KZ$2:$KZ$3,0)</f>
        <v>#REF!</v>
      </c>
      <c r="AY33" s="172" t="e">
        <f>INDEX(Data!$LA$2:$LD$3,'Panel Glide Blinds'!AX33,'Panel Glide Blinds'!AW33)</f>
        <v>#REF!</v>
      </c>
      <c r="BB33" s="172" t="e">
        <f>IF(#REF!=Data!$QK$2,Data!$QL$1,IF(#REF!=Data!$QK$3,Data!$QM$1,IF(#REF!=Data!$QK$4,Data!$QN$1,IF(#REF!=Data!$QK$5,Data!$QO$1,IF(#REF!=Data!$QK$6,Data!$QP$1,IF(#REF!=Data!$QK$7,Data!$QQ$1,IF(#REF!=Data!$QK$8,Data!$QR$1,IF(#REF!=Data!$QK$9,Data!$QS$1,IF(#REF!=Data!$QK$10,Data!$QT$1,IF(#REF!=Data!$QK$11,Data!$QU$1))))))))))</f>
        <v>#REF!</v>
      </c>
      <c r="BC33" s="33" t="e">
        <f>IF(#REF!=Data!$QK$2,Data!$QL$17,IF(#REF!=Data!$QK$3,Data!$QM$17,IF(#REF!=Data!$QK$4,Data!$QN$17,IF(#REF!=Data!$QK$5,Data!$QO$17,IF(#REF!=Data!$QK$6,Data!$QP$17,IF(#REF!=Data!$QK$7,Data!$QQ$17,IF(#REF!=Data!$QK$8,Data!$QR$17,IF(#REF!=Data!$QK$9,Data!$QS$17,IF(#REF!=Data!$QK$10,Data!$QT$17,IF(#REF!=Data!$QK$11,Data!$QU$17))))))))))</f>
        <v>#REF!</v>
      </c>
      <c r="BD33" s="33" t="e">
        <f>IF(#REF!=Data!$PU$2,Data!$PW$1,IF(#REF!=Data!$PU$3,Data!$PW$1,IF(#REF!=Data!$PU$4,Data!$PV$1,IF(#REF!=Data!$PU$5,Data!$PV$1,))))</f>
        <v>#REF!</v>
      </c>
      <c r="BE33" s="33" t="e">
        <f>MATCH('Panel Glide Blinds'!D33,Data!$AAK$2:$AAK$15)</f>
        <v>#N/A</v>
      </c>
      <c r="BF33" s="33" t="e">
        <f>MATCH(O33,Data!$AAL$1:$AAM$1)</f>
        <v>#N/A</v>
      </c>
      <c r="BG33" s="33" t="e">
        <f>INDEX(Data!$AAL$2:$AAM$15,BE33,BF33)</f>
        <v>#N/A</v>
      </c>
      <c r="BH33" s="33" t="b">
        <f>IF(O33=Data!$ABF$1,Data!$ABD$1,IF(O33=Data!$ABF$2,Data!$ABE$1))</f>
        <v>0</v>
      </c>
      <c r="BI33" s="33" t="e">
        <f>VLOOKUP(H33,Data!$ABL$2:$ABM$8,2,FALSE)</f>
        <v>#N/A</v>
      </c>
      <c r="BJ33" s="172" t="e">
        <f>VLOOKUP(H33,Data!$ABW$2:$ABX$9,2,FALSE)</f>
        <v>#N/A</v>
      </c>
      <c r="BK33" s="172" t="e">
        <f>VLOOKUP(H33,Data!$ABW$2:$ABY$8,3,FALSE)</f>
        <v>#N/A</v>
      </c>
      <c r="BL33" s="172" t="str">
        <f t="shared" si="0"/>
        <v/>
      </c>
      <c r="BM33" s="172" t="str">
        <f t="shared" si="1"/>
        <v/>
      </c>
      <c r="BN33" s="172" t="str">
        <f t="shared" si="4"/>
        <v/>
      </c>
      <c r="BO33" s="33" t="e">
        <f t="shared" si="5"/>
        <v>#DIV/0!</v>
      </c>
      <c r="BP33" s="33" t="e">
        <f t="shared" si="6"/>
        <v>#DIV/0!</v>
      </c>
      <c r="BQ33" s="33" t="e">
        <f t="shared" si="7"/>
        <v>#DIV/0!</v>
      </c>
      <c r="BR33" s="33" t="str">
        <f t="shared" si="8"/>
        <v/>
      </c>
    </row>
    <row r="34" spans="1:70" ht="30" customHeight="1" thickTop="1" thickBot="1">
      <c r="A34" s="52">
        <v>27</v>
      </c>
      <c r="B34" s="13"/>
      <c r="C34" s="13"/>
      <c r="D34" s="19"/>
      <c r="E34" s="15"/>
      <c r="F34" s="14"/>
      <c r="G34" s="14"/>
      <c r="H34" s="14"/>
      <c r="I34" s="13"/>
      <c r="J34" s="14"/>
      <c r="K34" s="14"/>
      <c r="L34" s="563"/>
      <c r="M34" s="564"/>
      <c r="N34" s="15"/>
      <c r="O34" s="15"/>
      <c r="P34" s="15"/>
      <c r="Q34" s="13"/>
      <c r="R34" s="13"/>
      <c r="S34" s="13"/>
      <c r="T34" s="699"/>
      <c r="U34" s="700"/>
      <c r="V34" s="229"/>
      <c r="W34" s="230"/>
      <c r="X34" s="269" t="e">
        <f t="shared" si="2"/>
        <v>#N/A</v>
      </c>
      <c r="Y34" s="269" t="e">
        <f>VLOOKUP(Q34,Data!$QH$2:$QI$4,2,FALSE)</f>
        <v>#N/A</v>
      </c>
      <c r="AA34" s="269" t="e">
        <f t="shared" si="3"/>
        <v>#N/A</v>
      </c>
      <c r="AD34" s="172" t="e">
        <f>IF(#REF!=Data!$KK$2,Data!$KM$1,IF(#REF!=Data!$KK$3,Data!$KN$1,IF(#REF!=Data!$KK$4,Data!$KP$1,IF(#REF!=Data!$KK$5,Data!$KQ$1))))</f>
        <v>#REF!</v>
      </c>
      <c r="AE34" s="33" t="str">
        <f>IF(D34=Data!$W$10,Data!$QJ$1,Data!$QK$1)</f>
        <v>RollerControl</v>
      </c>
      <c r="AH34" s="33" t="b">
        <f>IF(Q34=Data!$PX$2,Data!$PZ$1,IF(Q34=Data!$PX$3,Data!$PY$1,IF(Q34=Data!$PX$4,Data!$QA$1)))</f>
        <v>0</v>
      </c>
      <c r="AJ34" s="33" t="b">
        <f>IF(Q34=Data!$PX$3,Data!$QB$1,IF(Q34=Data!$PX$2,Data!$QC$1,IF(Q34=Data!$PX$4,Data!$QD$1)))</f>
        <v>0</v>
      </c>
      <c r="AL34" s="33" t="str">
        <f>IF(D34=Data!$W$3,Data!$QF$1,IF(D34=Data!$W$4,Data!$QF$1,IF(D34=Data!$W$5,Data!$QF$1,IF(D34=Data!$W$6,Data!$QF$1,IF(D34=Data!$W$7,Data!$QF$1,IF(D34=Data!$W$8,Data!$QF$1,IF(D34=Data!$W$9,Data!$QF$1,IF(D34=Data!$W$10,Data!$QE$1,IF(D34=Data!$W$11,Data!$QF$1,IF(D34=Data!$W$12,Data!$QF$1,IF(D34=Data!$W$13,Data!$QF$1,IF(D34=Data!$W$14,Data!$QF$1,IF(D34=Data!$W$15,Data!$QF$1,IF(D34=Data!$W$16,Data!$QF$1))))))))))))))</f>
        <v>RollerBracketType2</v>
      </c>
      <c r="AV34" s="40" t="e">
        <f>IF(AND(G34&lt;2130, OR(#REF!&lt;2100)),Data!$KS$1,Data!$KT$1)</f>
        <v>#REF!</v>
      </c>
      <c r="AW34" s="172" t="e">
        <f>MATCH(#REF!,Data!$LA$1:$LD$1,0)</f>
        <v>#REF!</v>
      </c>
      <c r="AX34" s="172" t="e">
        <f>MATCH('Panel Glide Blinds'!AV34,Data!$KZ$2:$KZ$3,0)</f>
        <v>#REF!</v>
      </c>
      <c r="AY34" s="172" t="e">
        <f>INDEX(Data!$LA$2:$LD$3,'Panel Glide Blinds'!AX34,'Panel Glide Blinds'!AW34)</f>
        <v>#REF!</v>
      </c>
      <c r="BB34" s="172" t="e">
        <f>IF(#REF!=Data!$QK$2,Data!$QL$1,IF(#REF!=Data!$QK$3,Data!$QM$1,IF(#REF!=Data!$QK$4,Data!$QN$1,IF(#REF!=Data!$QK$5,Data!$QO$1,IF(#REF!=Data!$QK$6,Data!$QP$1,IF(#REF!=Data!$QK$7,Data!$QQ$1,IF(#REF!=Data!$QK$8,Data!$QR$1,IF(#REF!=Data!$QK$9,Data!$QS$1,IF(#REF!=Data!$QK$10,Data!$QT$1,IF(#REF!=Data!$QK$11,Data!$QU$1))))))))))</f>
        <v>#REF!</v>
      </c>
      <c r="BC34" s="33" t="e">
        <f>IF(#REF!=Data!$QK$2,Data!$QL$17,IF(#REF!=Data!$QK$3,Data!$QM$17,IF(#REF!=Data!$QK$4,Data!$QN$17,IF(#REF!=Data!$QK$5,Data!$QO$17,IF(#REF!=Data!$QK$6,Data!$QP$17,IF(#REF!=Data!$QK$7,Data!$QQ$17,IF(#REF!=Data!$QK$8,Data!$QR$17,IF(#REF!=Data!$QK$9,Data!$QS$17,IF(#REF!=Data!$QK$10,Data!$QT$17,IF(#REF!=Data!$QK$11,Data!$QU$17))))))))))</f>
        <v>#REF!</v>
      </c>
      <c r="BD34" s="33" t="e">
        <f>IF(#REF!=Data!$PU$2,Data!$PW$1,IF(#REF!=Data!$PU$3,Data!$PW$1,IF(#REF!=Data!$PU$4,Data!$PV$1,IF(#REF!=Data!$PU$5,Data!$PV$1,))))</f>
        <v>#REF!</v>
      </c>
      <c r="BE34" s="33" t="e">
        <f>MATCH('Panel Glide Blinds'!D34,Data!$AAK$2:$AAK$15)</f>
        <v>#N/A</v>
      </c>
      <c r="BF34" s="33" t="e">
        <f>MATCH(O34,Data!$AAL$1:$AAM$1)</f>
        <v>#N/A</v>
      </c>
      <c r="BG34" s="33" t="e">
        <f>INDEX(Data!$AAL$2:$AAM$15,BE34,BF34)</f>
        <v>#N/A</v>
      </c>
      <c r="BH34" s="33" t="b">
        <f>IF(O34=Data!$ABF$1,Data!$ABD$1,IF(O34=Data!$ABF$2,Data!$ABE$1))</f>
        <v>0</v>
      </c>
      <c r="BI34" s="33" t="e">
        <f>VLOOKUP(H34,Data!$ABL$2:$ABM$8,2,FALSE)</f>
        <v>#N/A</v>
      </c>
      <c r="BJ34" s="172" t="e">
        <f>VLOOKUP(H34,Data!$ABW$2:$ABX$9,2,FALSE)</f>
        <v>#N/A</v>
      </c>
      <c r="BK34" s="172" t="e">
        <f>VLOOKUP(H34,Data!$ABW$2:$ABY$8,3,FALSE)</f>
        <v>#N/A</v>
      </c>
      <c r="BL34" s="172" t="str">
        <f t="shared" si="0"/>
        <v/>
      </c>
      <c r="BM34" s="172" t="str">
        <f t="shared" si="1"/>
        <v/>
      </c>
      <c r="BN34" s="172" t="str">
        <f t="shared" si="4"/>
        <v/>
      </c>
      <c r="BO34" s="33" t="e">
        <f t="shared" si="5"/>
        <v>#DIV/0!</v>
      </c>
      <c r="BP34" s="33" t="e">
        <f t="shared" si="6"/>
        <v>#DIV/0!</v>
      </c>
      <c r="BQ34" s="33" t="e">
        <f t="shared" si="7"/>
        <v>#DIV/0!</v>
      </c>
      <c r="BR34" s="33" t="str">
        <f t="shared" si="8"/>
        <v/>
      </c>
    </row>
    <row r="35" spans="1:70" ht="30" customHeight="1" thickTop="1" thickBot="1">
      <c r="A35" s="52">
        <v>28</v>
      </c>
      <c r="B35" s="13"/>
      <c r="C35" s="13"/>
      <c r="D35" s="19"/>
      <c r="E35" s="15"/>
      <c r="F35" s="14"/>
      <c r="G35" s="14"/>
      <c r="H35" s="14"/>
      <c r="I35" s="13"/>
      <c r="J35" s="14"/>
      <c r="K35" s="14"/>
      <c r="L35" s="563"/>
      <c r="M35" s="564"/>
      <c r="N35" s="15"/>
      <c r="O35" s="15"/>
      <c r="P35" s="15"/>
      <c r="Q35" s="13"/>
      <c r="R35" s="13"/>
      <c r="S35" s="13"/>
      <c r="T35" s="699"/>
      <c r="U35" s="700"/>
      <c r="V35" s="229"/>
      <c r="W35" s="230"/>
      <c r="X35" s="269" t="e">
        <f t="shared" si="2"/>
        <v>#N/A</v>
      </c>
      <c r="Y35" s="269" t="e">
        <f>VLOOKUP(Q35,Data!$QH$2:$QI$4,2,FALSE)</f>
        <v>#N/A</v>
      </c>
      <c r="AA35" s="269" t="e">
        <f t="shared" si="3"/>
        <v>#N/A</v>
      </c>
      <c r="AD35" s="172" t="e">
        <f>IF(#REF!=Data!$KK$2,Data!$KM$1,IF(#REF!=Data!$KK$3,Data!$KN$1,IF(#REF!=Data!$KK$4,Data!$KP$1,IF(#REF!=Data!$KK$5,Data!$KQ$1))))</f>
        <v>#REF!</v>
      </c>
      <c r="AE35" s="33" t="str">
        <f>IF(D35=Data!$W$10,Data!$QJ$1,Data!$QK$1)</f>
        <v>RollerControl</v>
      </c>
      <c r="AH35" s="33" t="b">
        <f>IF(Q35=Data!$PX$2,Data!$PZ$1,IF(Q35=Data!$PX$3,Data!$PY$1,IF(Q35=Data!$PX$4,Data!$QA$1)))</f>
        <v>0</v>
      </c>
      <c r="AJ35" s="33" t="b">
        <f>IF(Q35=Data!$PX$3,Data!$QB$1,IF(Q35=Data!$PX$2,Data!$QC$1,IF(Q35=Data!$PX$4,Data!$QD$1)))</f>
        <v>0</v>
      </c>
      <c r="AL35" s="33" t="str">
        <f>IF(D35=Data!$W$3,Data!$QF$1,IF(D35=Data!$W$4,Data!$QF$1,IF(D35=Data!$W$5,Data!$QF$1,IF(D35=Data!$W$6,Data!$QF$1,IF(D35=Data!$W$7,Data!$QF$1,IF(D35=Data!$W$8,Data!$QF$1,IF(D35=Data!$W$9,Data!$QF$1,IF(D35=Data!$W$10,Data!$QE$1,IF(D35=Data!$W$11,Data!$QF$1,IF(D35=Data!$W$12,Data!$QF$1,IF(D35=Data!$W$13,Data!$QF$1,IF(D35=Data!$W$14,Data!$QF$1,IF(D35=Data!$W$15,Data!$QF$1,IF(D35=Data!$W$16,Data!$QF$1))))))))))))))</f>
        <v>RollerBracketType2</v>
      </c>
      <c r="AV35" s="40" t="e">
        <f>IF(AND(G35&lt;2130, OR(#REF!&lt;2100)),Data!$KS$1,Data!$KT$1)</f>
        <v>#REF!</v>
      </c>
      <c r="AW35" s="172" t="e">
        <f>MATCH(#REF!,Data!$LA$1:$LD$1,0)</f>
        <v>#REF!</v>
      </c>
      <c r="AX35" s="172" t="e">
        <f>MATCH('Panel Glide Blinds'!AV35,Data!$KZ$2:$KZ$3,0)</f>
        <v>#REF!</v>
      </c>
      <c r="AY35" s="172" t="e">
        <f>INDEX(Data!$LA$2:$LD$3,'Panel Glide Blinds'!AX35,'Panel Glide Blinds'!AW35)</f>
        <v>#REF!</v>
      </c>
      <c r="BB35" s="172" t="e">
        <f>IF(#REF!=Data!$QK$2,Data!$QL$1,IF(#REF!=Data!$QK$3,Data!$QM$1,IF(#REF!=Data!$QK$4,Data!$QN$1,IF(#REF!=Data!$QK$5,Data!$QO$1,IF(#REF!=Data!$QK$6,Data!$QP$1,IF(#REF!=Data!$QK$7,Data!$QQ$1,IF(#REF!=Data!$QK$8,Data!$QR$1,IF(#REF!=Data!$QK$9,Data!$QS$1,IF(#REF!=Data!$QK$10,Data!$QT$1,IF(#REF!=Data!$QK$11,Data!$QU$1))))))))))</f>
        <v>#REF!</v>
      </c>
      <c r="BC35" s="33" t="e">
        <f>IF(#REF!=Data!$QK$2,Data!$QL$17,IF(#REF!=Data!$QK$3,Data!$QM$17,IF(#REF!=Data!$QK$4,Data!$QN$17,IF(#REF!=Data!$QK$5,Data!$QO$17,IF(#REF!=Data!$QK$6,Data!$QP$17,IF(#REF!=Data!$QK$7,Data!$QQ$17,IF(#REF!=Data!$QK$8,Data!$QR$17,IF(#REF!=Data!$QK$9,Data!$QS$17,IF(#REF!=Data!$QK$10,Data!$QT$17,IF(#REF!=Data!$QK$11,Data!$QU$17))))))))))</f>
        <v>#REF!</v>
      </c>
      <c r="BD35" s="33" t="e">
        <f>IF(#REF!=Data!$PU$2,Data!$PW$1,IF(#REF!=Data!$PU$3,Data!$PW$1,IF(#REF!=Data!$PU$4,Data!$PV$1,IF(#REF!=Data!$PU$5,Data!$PV$1,))))</f>
        <v>#REF!</v>
      </c>
      <c r="BE35" s="33" t="e">
        <f>MATCH('Panel Glide Blinds'!D35,Data!$AAK$2:$AAK$15)</f>
        <v>#N/A</v>
      </c>
      <c r="BF35" s="33" t="e">
        <f>MATCH(O35,Data!$AAL$1:$AAM$1)</f>
        <v>#N/A</v>
      </c>
      <c r="BG35" s="33" t="e">
        <f>INDEX(Data!$AAL$2:$AAM$15,BE35,BF35)</f>
        <v>#N/A</v>
      </c>
      <c r="BH35" s="33" t="b">
        <f>IF(O35=Data!$ABF$1,Data!$ABD$1,IF(O35=Data!$ABF$2,Data!$ABE$1))</f>
        <v>0</v>
      </c>
      <c r="BI35" s="33" t="e">
        <f>VLOOKUP(H35,Data!$ABL$2:$ABM$8,2,FALSE)</f>
        <v>#N/A</v>
      </c>
      <c r="BJ35" s="172" t="e">
        <f>VLOOKUP(H35,Data!$ABW$2:$ABX$9,2,FALSE)</f>
        <v>#N/A</v>
      </c>
      <c r="BK35" s="172" t="e">
        <f>VLOOKUP(H35,Data!$ABW$2:$ABY$8,3,FALSE)</f>
        <v>#N/A</v>
      </c>
      <c r="BL35" s="172" t="str">
        <f t="shared" si="0"/>
        <v/>
      </c>
      <c r="BM35" s="172" t="str">
        <f t="shared" si="1"/>
        <v/>
      </c>
      <c r="BN35" s="172" t="str">
        <f t="shared" si="4"/>
        <v/>
      </c>
      <c r="BO35" s="33" t="e">
        <f t="shared" si="5"/>
        <v>#DIV/0!</v>
      </c>
      <c r="BP35" s="33" t="e">
        <f t="shared" si="6"/>
        <v>#DIV/0!</v>
      </c>
      <c r="BQ35" s="33" t="e">
        <f t="shared" si="7"/>
        <v>#DIV/0!</v>
      </c>
      <c r="BR35" s="33" t="str">
        <f t="shared" si="8"/>
        <v/>
      </c>
    </row>
    <row r="36" spans="1:70" ht="30" customHeight="1" thickTop="1" thickBot="1">
      <c r="A36" s="52">
        <v>29</v>
      </c>
      <c r="B36" s="13"/>
      <c r="C36" s="13"/>
      <c r="D36" s="19"/>
      <c r="E36" s="15"/>
      <c r="F36" s="14"/>
      <c r="G36" s="14"/>
      <c r="H36" s="14"/>
      <c r="I36" s="13"/>
      <c r="J36" s="14"/>
      <c r="K36" s="14"/>
      <c r="L36" s="563"/>
      <c r="M36" s="564"/>
      <c r="N36" s="15"/>
      <c r="O36" s="15"/>
      <c r="P36" s="15"/>
      <c r="Q36" s="13"/>
      <c r="R36" s="13"/>
      <c r="S36" s="13"/>
      <c r="T36" s="699"/>
      <c r="U36" s="700"/>
      <c r="V36" s="229"/>
      <c r="W36" s="230"/>
      <c r="X36" s="269" t="e">
        <f t="shared" si="2"/>
        <v>#N/A</v>
      </c>
      <c r="Y36" s="269" t="e">
        <f>VLOOKUP(Q36,Data!$QH$2:$QI$4,2,FALSE)</f>
        <v>#N/A</v>
      </c>
      <c r="AA36" s="269" t="e">
        <f t="shared" si="3"/>
        <v>#N/A</v>
      </c>
      <c r="AD36" s="172" t="e">
        <f>IF(#REF!=Data!$KK$2,Data!$KM$1,IF(#REF!=Data!$KK$3,Data!$KN$1,IF(#REF!=Data!$KK$4,Data!$KP$1,IF(#REF!=Data!$KK$5,Data!$KQ$1))))</f>
        <v>#REF!</v>
      </c>
      <c r="AE36" s="33" t="str">
        <f>IF(D36=Data!$W$10,Data!$QJ$1,Data!$QK$1)</f>
        <v>RollerControl</v>
      </c>
      <c r="AH36" s="33" t="b">
        <f>IF(Q36=Data!$PX$2,Data!$PZ$1,IF(Q36=Data!$PX$3,Data!$PY$1,IF(Q36=Data!$PX$4,Data!$QA$1)))</f>
        <v>0</v>
      </c>
      <c r="AJ36" s="33" t="b">
        <f>IF(Q36=Data!$PX$3,Data!$QB$1,IF(Q36=Data!$PX$2,Data!$QC$1,IF(Q36=Data!$PX$4,Data!$QD$1)))</f>
        <v>0</v>
      </c>
      <c r="AL36" s="33" t="str">
        <f>IF(D36=Data!$W$3,Data!$QF$1,IF(D36=Data!$W$4,Data!$QF$1,IF(D36=Data!$W$5,Data!$QF$1,IF(D36=Data!$W$6,Data!$QF$1,IF(D36=Data!$W$7,Data!$QF$1,IF(D36=Data!$W$8,Data!$QF$1,IF(D36=Data!$W$9,Data!$QF$1,IF(D36=Data!$W$10,Data!$QE$1,IF(D36=Data!$W$11,Data!$QF$1,IF(D36=Data!$W$12,Data!$QF$1,IF(D36=Data!$W$13,Data!$QF$1,IF(D36=Data!$W$14,Data!$QF$1,IF(D36=Data!$W$15,Data!$QF$1,IF(D36=Data!$W$16,Data!$QF$1))))))))))))))</f>
        <v>RollerBracketType2</v>
      </c>
      <c r="AV36" s="40" t="e">
        <f>IF(AND(G36&lt;2130, OR(#REF!&lt;2100)),Data!$KS$1,Data!$KT$1)</f>
        <v>#REF!</v>
      </c>
      <c r="AW36" s="172" t="e">
        <f>MATCH(#REF!,Data!$LA$1:$LD$1,0)</f>
        <v>#REF!</v>
      </c>
      <c r="AX36" s="172" t="e">
        <f>MATCH('Panel Glide Blinds'!AV36,Data!$KZ$2:$KZ$3,0)</f>
        <v>#REF!</v>
      </c>
      <c r="AY36" s="172" t="e">
        <f>INDEX(Data!$LA$2:$LD$3,'Panel Glide Blinds'!AX36,'Panel Glide Blinds'!AW36)</f>
        <v>#REF!</v>
      </c>
      <c r="BB36" s="172" t="e">
        <f>IF(#REF!=Data!$QK$2,Data!$QL$1,IF(#REF!=Data!$QK$3,Data!$QM$1,IF(#REF!=Data!$QK$4,Data!$QN$1,IF(#REF!=Data!$QK$5,Data!$QO$1,IF(#REF!=Data!$QK$6,Data!$QP$1,IF(#REF!=Data!$QK$7,Data!$QQ$1,IF(#REF!=Data!$QK$8,Data!$QR$1,IF(#REF!=Data!$QK$9,Data!$QS$1,IF(#REF!=Data!$QK$10,Data!$QT$1,IF(#REF!=Data!$QK$11,Data!$QU$1))))))))))</f>
        <v>#REF!</v>
      </c>
      <c r="BC36" s="33" t="e">
        <f>IF(#REF!=Data!$QK$2,Data!$QL$17,IF(#REF!=Data!$QK$3,Data!$QM$17,IF(#REF!=Data!$QK$4,Data!$QN$17,IF(#REF!=Data!$QK$5,Data!$QO$17,IF(#REF!=Data!$QK$6,Data!$QP$17,IF(#REF!=Data!$QK$7,Data!$QQ$17,IF(#REF!=Data!$QK$8,Data!$QR$17,IF(#REF!=Data!$QK$9,Data!$QS$17,IF(#REF!=Data!$QK$10,Data!$QT$17,IF(#REF!=Data!$QK$11,Data!$QU$17))))))))))</f>
        <v>#REF!</v>
      </c>
      <c r="BD36" s="33" t="e">
        <f>IF(#REF!=Data!$PU$2,Data!$PW$1,IF(#REF!=Data!$PU$3,Data!$PW$1,IF(#REF!=Data!$PU$4,Data!$PV$1,IF(#REF!=Data!$PU$5,Data!$PV$1,))))</f>
        <v>#REF!</v>
      </c>
      <c r="BE36" s="33" t="e">
        <f>MATCH('Panel Glide Blinds'!D36,Data!$AAK$2:$AAK$15)</f>
        <v>#N/A</v>
      </c>
      <c r="BF36" s="33" t="e">
        <f>MATCH(O36,Data!$AAL$1:$AAM$1)</f>
        <v>#N/A</v>
      </c>
      <c r="BG36" s="33" t="e">
        <f>INDEX(Data!$AAL$2:$AAM$15,BE36,BF36)</f>
        <v>#N/A</v>
      </c>
      <c r="BH36" s="33" t="b">
        <f>IF(O36=Data!$ABF$1,Data!$ABD$1,IF(O36=Data!$ABF$2,Data!$ABE$1))</f>
        <v>0</v>
      </c>
      <c r="BI36" s="33" t="e">
        <f>VLOOKUP(H36,Data!$ABL$2:$ABM$8,2,FALSE)</f>
        <v>#N/A</v>
      </c>
      <c r="BJ36" s="172" t="e">
        <f>VLOOKUP(H36,Data!$ABW$2:$ABX$9,2,FALSE)</f>
        <v>#N/A</v>
      </c>
      <c r="BK36" s="172" t="e">
        <f>VLOOKUP(H36,Data!$ABW$2:$ABY$8,3,FALSE)</f>
        <v>#N/A</v>
      </c>
      <c r="BL36" s="172" t="str">
        <f t="shared" si="0"/>
        <v/>
      </c>
      <c r="BM36" s="172" t="str">
        <f t="shared" si="1"/>
        <v/>
      </c>
      <c r="BN36" s="172" t="str">
        <f t="shared" si="4"/>
        <v/>
      </c>
      <c r="BO36" s="33" t="e">
        <f t="shared" si="5"/>
        <v>#DIV/0!</v>
      </c>
      <c r="BP36" s="33" t="e">
        <f t="shared" si="6"/>
        <v>#DIV/0!</v>
      </c>
      <c r="BQ36" s="33" t="e">
        <f t="shared" si="7"/>
        <v>#DIV/0!</v>
      </c>
      <c r="BR36" s="33" t="str">
        <f t="shared" si="8"/>
        <v/>
      </c>
    </row>
    <row r="37" spans="1:70" ht="30" customHeight="1" thickTop="1" thickBot="1">
      <c r="A37" s="52">
        <v>30</v>
      </c>
      <c r="B37" s="13"/>
      <c r="C37" s="13"/>
      <c r="D37" s="19"/>
      <c r="E37" s="15"/>
      <c r="F37" s="14"/>
      <c r="G37" s="14"/>
      <c r="H37" s="14"/>
      <c r="I37" s="13"/>
      <c r="J37" s="14"/>
      <c r="K37" s="14"/>
      <c r="L37" s="563"/>
      <c r="M37" s="564"/>
      <c r="N37" s="15"/>
      <c r="O37" s="15"/>
      <c r="P37" s="15"/>
      <c r="Q37" s="13"/>
      <c r="R37" s="13"/>
      <c r="S37" s="13"/>
      <c r="T37" s="699"/>
      <c r="U37" s="700"/>
      <c r="V37" s="229"/>
      <c r="W37" s="230"/>
      <c r="X37" s="269" t="e">
        <f t="shared" si="2"/>
        <v>#N/A</v>
      </c>
      <c r="Y37" s="269" t="e">
        <f>VLOOKUP(Q37,Data!$QH$2:$QI$4,2,FALSE)</f>
        <v>#N/A</v>
      </c>
      <c r="AA37" s="269" t="e">
        <f t="shared" si="3"/>
        <v>#N/A</v>
      </c>
      <c r="AD37" s="172" t="e">
        <f>IF(#REF!=Data!$KK$2,Data!$KM$1,IF(#REF!=Data!$KK$3,Data!$KN$1,IF(#REF!=Data!$KK$4,Data!$KP$1,IF(#REF!=Data!$KK$5,Data!$KQ$1))))</f>
        <v>#REF!</v>
      </c>
      <c r="AE37" s="33" t="str">
        <f>IF(D37=Data!$W$10,Data!$QJ$1,Data!$QK$1)</f>
        <v>RollerControl</v>
      </c>
      <c r="AH37" s="33" t="b">
        <f>IF(Q37=Data!$PX$2,Data!$PZ$1,IF(Q37=Data!$PX$3,Data!$PY$1,IF(Q37=Data!$PX$4,Data!$QA$1)))</f>
        <v>0</v>
      </c>
      <c r="AJ37" s="33" t="b">
        <f>IF(Q37=Data!$PX$3,Data!$QB$1,IF(Q37=Data!$PX$2,Data!$QC$1,IF(Q37=Data!$PX$4,Data!$QD$1)))</f>
        <v>0</v>
      </c>
      <c r="AL37" s="33" t="str">
        <f>IF(D37=Data!$W$3,Data!$QF$1,IF(D37=Data!$W$4,Data!$QF$1,IF(D37=Data!$W$5,Data!$QF$1,IF(D37=Data!$W$6,Data!$QF$1,IF(D37=Data!$W$7,Data!$QF$1,IF(D37=Data!$W$8,Data!$QF$1,IF(D37=Data!$W$9,Data!$QF$1,IF(D37=Data!$W$10,Data!$QE$1,IF(D37=Data!$W$11,Data!$QF$1,IF(D37=Data!$W$12,Data!$QF$1,IF(D37=Data!$W$13,Data!$QF$1,IF(D37=Data!$W$14,Data!$QF$1,IF(D37=Data!$W$15,Data!$QF$1,IF(D37=Data!$W$16,Data!$QF$1))))))))))))))</f>
        <v>RollerBracketType2</v>
      </c>
      <c r="AV37" s="40" t="e">
        <f>IF(AND(G37&lt;2130, OR(#REF!&lt;2100)),Data!$KS$1,Data!$KT$1)</f>
        <v>#REF!</v>
      </c>
      <c r="AW37" s="172" t="e">
        <f>MATCH(#REF!,Data!$LA$1:$LD$1,0)</f>
        <v>#REF!</v>
      </c>
      <c r="AX37" s="172" t="e">
        <f>MATCH('Panel Glide Blinds'!AV37,Data!$KZ$2:$KZ$3,0)</f>
        <v>#REF!</v>
      </c>
      <c r="AY37" s="172" t="e">
        <f>INDEX(Data!$LA$2:$LD$3,'Panel Glide Blinds'!AX37,'Panel Glide Blinds'!AW37)</f>
        <v>#REF!</v>
      </c>
      <c r="BB37" s="172" t="e">
        <f>IF(#REF!=Data!$QK$2,Data!$QL$1,IF(#REF!=Data!$QK$3,Data!$QM$1,IF(#REF!=Data!$QK$4,Data!$QN$1,IF(#REF!=Data!$QK$5,Data!$QO$1,IF(#REF!=Data!$QK$6,Data!$QP$1,IF(#REF!=Data!$QK$7,Data!$QQ$1,IF(#REF!=Data!$QK$8,Data!$QR$1,IF(#REF!=Data!$QK$9,Data!$QS$1,IF(#REF!=Data!$QK$10,Data!$QT$1,IF(#REF!=Data!$QK$11,Data!$QU$1))))))))))</f>
        <v>#REF!</v>
      </c>
      <c r="BC37" s="33" t="e">
        <f>IF(#REF!=Data!$QK$2,Data!$QL$17,IF(#REF!=Data!$QK$3,Data!$QM$17,IF(#REF!=Data!$QK$4,Data!$QN$17,IF(#REF!=Data!$QK$5,Data!$QO$17,IF(#REF!=Data!$QK$6,Data!$QP$17,IF(#REF!=Data!$QK$7,Data!$QQ$17,IF(#REF!=Data!$QK$8,Data!$QR$17,IF(#REF!=Data!$QK$9,Data!$QS$17,IF(#REF!=Data!$QK$10,Data!$QT$17,IF(#REF!=Data!$QK$11,Data!$QU$17))))))))))</f>
        <v>#REF!</v>
      </c>
      <c r="BD37" s="33" t="e">
        <f>IF(#REF!=Data!$PU$2,Data!$PW$1,IF(#REF!=Data!$PU$3,Data!$PW$1,IF(#REF!=Data!$PU$4,Data!$PV$1,IF(#REF!=Data!$PU$5,Data!$PV$1,))))</f>
        <v>#REF!</v>
      </c>
      <c r="BE37" s="33" t="e">
        <f>MATCH('Panel Glide Blinds'!D37,Data!$AAK$2:$AAK$15)</f>
        <v>#N/A</v>
      </c>
      <c r="BF37" s="33" t="e">
        <f>MATCH(O37,Data!$AAL$1:$AAM$1)</f>
        <v>#N/A</v>
      </c>
      <c r="BG37" s="33" t="e">
        <f>INDEX(Data!$AAL$2:$AAM$15,BE37,BF37)</f>
        <v>#N/A</v>
      </c>
      <c r="BH37" s="33" t="b">
        <f>IF(O37=Data!$ABF$1,Data!$ABD$1,IF(O37=Data!$ABF$2,Data!$ABE$1))</f>
        <v>0</v>
      </c>
      <c r="BI37" s="33" t="e">
        <f>VLOOKUP(H37,Data!$ABL$2:$ABM$8,2,FALSE)</f>
        <v>#N/A</v>
      </c>
      <c r="BJ37" s="172" t="e">
        <f>VLOOKUP(H37,Data!$ABW$2:$ABX$9,2,FALSE)</f>
        <v>#N/A</v>
      </c>
      <c r="BK37" s="172" t="e">
        <f>VLOOKUP(H37,Data!$ABW$2:$ABY$8,3,FALSE)</f>
        <v>#N/A</v>
      </c>
      <c r="BL37" s="172" t="str">
        <f t="shared" si="0"/>
        <v/>
      </c>
      <c r="BM37" s="172" t="str">
        <f t="shared" si="1"/>
        <v/>
      </c>
      <c r="BN37" s="172" t="str">
        <f t="shared" si="4"/>
        <v/>
      </c>
      <c r="BO37" s="33" t="e">
        <f t="shared" si="5"/>
        <v>#DIV/0!</v>
      </c>
      <c r="BP37" s="33" t="e">
        <f t="shared" si="6"/>
        <v>#DIV/0!</v>
      </c>
      <c r="BQ37" s="33" t="e">
        <f t="shared" si="7"/>
        <v>#DIV/0!</v>
      </c>
      <c r="BR37" s="33" t="str">
        <f t="shared" si="8"/>
        <v/>
      </c>
    </row>
    <row r="38" spans="1:70" ht="30" customHeight="1" thickTop="1" thickBot="1">
      <c r="A38" s="52">
        <v>31</v>
      </c>
      <c r="B38" s="13"/>
      <c r="C38" s="13"/>
      <c r="D38" s="19"/>
      <c r="E38" s="15"/>
      <c r="F38" s="14"/>
      <c r="G38" s="14"/>
      <c r="H38" s="14"/>
      <c r="I38" s="13"/>
      <c r="J38" s="14"/>
      <c r="K38" s="14"/>
      <c r="L38" s="563"/>
      <c r="M38" s="564"/>
      <c r="N38" s="15"/>
      <c r="O38" s="15"/>
      <c r="P38" s="15"/>
      <c r="Q38" s="13"/>
      <c r="R38" s="13"/>
      <c r="S38" s="13"/>
      <c r="T38" s="699"/>
      <c r="U38" s="700"/>
      <c r="V38" s="229"/>
      <c r="W38" s="230"/>
      <c r="X38" s="269" t="e">
        <f t="shared" si="2"/>
        <v>#N/A</v>
      </c>
      <c r="Y38" s="269" t="e">
        <f>VLOOKUP(Q38,Data!$QH$2:$QI$4,2,FALSE)</f>
        <v>#N/A</v>
      </c>
      <c r="AA38" s="269" t="e">
        <f t="shared" si="3"/>
        <v>#N/A</v>
      </c>
      <c r="AD38" s="172" t="e">
        <f>IF(#REF!=Data!$KK$2,Data!$KM$1,IF(#REF!=Data!$KK$3,Data!$KN$1,IF(#REF!=Data!$KK$4,Data!$KP$1,IF(#REF!=Data!$KK$5,Data!$KQ$1))))</f>
        <v>#REF!</v>
      </c>
      <c r="AE38" s="33" t="str">
        <f>IF(D38=Data!$W$10,Data!$QJ$1,Data!$QK$1)</f>
        <v>RollerControl</v>
      </c>
      <c r="AH38" s="33" t="b">
        <f>IF(Q38=Data!$PX$2,Data!$PZ$1,IF(Q38=Data!$PX$3,Data!$PY$1,IF(Q38=Data!$PX$4,Data!$QA$1)))</f>
        <v>0</v>
      </c>
      <c r="AJ38" s="33" t="b">
        <f>IF(Q38=Data!$PX$3,Data!$QB$1,IF(Q38=Data!$PX$2,Data!$QC$1,IF(Q38=Data!$PX$4,Data!$QD$1)))</f>
        <v>0</v>
      </c>
      <c r="AL38" s="33" t="str">
        <f>IF(D38=Data!$W$3,Data!$QF$1,IF(D38=Data!$W$4,Data!$QF$1,IF(D38=Data!$W$5,Data!$QF$1,IF(D38=Data!$W$6,Data!$QF$1,IF(D38=Data!$W$7,Data!$QF$1,IF(D38=Data!$W$8,Data!$QF$1,IF(D38=Data!$W$9,Data!$QF$1,IF(D38=Data!$W$10,Data!$QE$1,IF(D38=Data!$W$11,Data!$QF$1,IF(D38=Data!$W$12,Data!$QF$1,IF(D38=Data!$W$13,Data!$QF$1,IF(D38=Data!$W$14,Data!$QF$1,IF(D38=Data!$W$15,Data!$QF$1,IF(D38=Data!$W$16,Data!$QF$1))))))))))))))</f>
        <v>RollerBracketType2</v>
      </c>
      <c r="AV38" s="40" t="e">
        <f>IF(AND(G38&lt;2130, OR(#REF!&lt;2100)),Data!$KS$1,Data!$KT$1)</f>
        <v>#REF!</v>
      </c>
      <c r="AW38" s="172" t="e">
        <f>MATCH(#REF!,Data!$LA$1:$LD$1,0)</f>
        <v>#REF!</v>
      </c>
      <c r="AX38" s="172" t="e">
        <f>MATCH('Panel Glide Blinds'!AV38,Data!$KZ$2:$KZ$3,0)</f>
        <v>#REF!</v>
      </c>
      <c r="AY38" s="172" t="e">
        <f>INDEX(Data!$LA$2:$LD$3,'Panel Glide Blinds'!AX38,'Panel Glide Blinds'!AW38)</f>
        <v>#REF!</v>
      </c>
      <c r="BB38" s="172" t="e">
        <f>IF(#REF!=Data!$QK$2,Data!$QL$1,IF(#REF!=Data!$QK$3,Data!$QM$1,IF(#REF!=Data!$QK$4,Data!$QN$1,IF(#REF!=Data!$QK$5,Data!$QO$1,IF(#REF!=Data!$QK$6,Data!$QP$1,IF(#REF!=Data!$QK$7,Data!$QQ$1,IF(#REF!=Data!$QK$8,Data!$QR$1,IF(#REF!=Data!$QK$9,Data!$QS$1,IF(#REF!=Data!$QK$10,Data!$QT$1,IF(#REF!=Data!$QK$11,Data!$QU$1))))))))))</f>
        <v>#REF!</v>
      </c>
      <c r="BC38" s="33" t="e">
        <f>IF(#REF!=Data!$QK$2,Data!$QL$17,IF(#REF!=Data!$QK$3,Data!$QM$17,IF(#REF!=Data!$QK$4,Data!$QN$17,IF(#REF!=Data!$QK$5,Data!$QO$17,IF(#REF!=Data!$QK$6,Data!$QP$17,IF(#REF!=Data!$QK$7,Data!$QQ$17,IF(#REF!=Data!$QK$8,Data!$QR$17,IF(#REF!=Data!$QK$9,Data!$QS$17,IF(#REF!=Data!$QK$10,Data!$QT$17,IF(#REF!=Data!$QK$11,Data!$QU$17))))))))))</f>
        <v>#REF!</v>
      </c>
      <c r="BD38" s="33" t="e">
        <f>IF(#REF!=Data!$PU$2,Data!$PW$1,IF(#REF!=Data!$PU$3,Data!$PW$1,IF(#REF!=Data!$PU$4,Data!$PV$1,IF(#REF!=Data!$PU$5,Data!$PV$1,))))</f>
        <v>#REF!</v>
      </c>
      <c r="BE38" s="33" t="e">
        <f>MATCH('Panel Glide Blinds'!D38,Data!$AAK$2:$AAK$15)</f>
        <v>#N/A</v>
      </c>
      <c r="BF38" s="33" t="e">
        <f>MATCH(O38,Data!$AAL$1:$AAM$1)</f>
        <v>#N/A</v>
      </c>
      <c r="BG38" s="33" t="e">
        <f>INDEX(Data!$AAL$2:$AAM$15,BE38,BF38)</f>
        <v>#N/A</v>
      </c>
      <c r="BH38" s="33" t="b">
        <f>IF(O38=Data!$ABF$1,Data!$ABD$1,IF(O38=Data!$ABF$2,Data!$ABE$1))</f>
        <v>0</v>
      </c>
      <c r="BI38" s="33" t="e">
        <f>VLOOKUP(H38,Data!$ABL$2:$ABM$8,2,FALSE)</f>
        <v>#N/A</v>
      </c>
      <c r="BJ38" s="172" t="e">
        <f>VLOOKUP(H38,Data!$ABW$2:$ABX$9,2,FALSE)</f>
        <v>#N/A</v>
      </c>
      <c r="BK38" s="172" t="e">
        <f>VLOOKUP(H38,Data!$ABW$2:$ABY$8,3,FALSE)</f>
        <v>#N/A</v>
      </c>
      <c r="BL38" s="172" t="str">
        <f t="shared" si="0"/>
        <v/>
      </c>
      <c r="BM38" s="172" t="str">
        <f t="shared" si="1"/>
        <v/>
      </c>
      <c r="BN38" s="172" t="str">
        <f t="shared" si="4"/>
        <v/>
      </c>
      <c r="BO38" s="33" t="e">
        <f t="shared" si="5"/>
        <v>#DIV/0!</v>
      </c>
      <c r="BP38" s="33" t="e">
        <f t="shared" si="6"/>
        <v>#DIV/0!</v>
      </c>
      <c r="BQ38" s="33" t="e">
        <f t="shared" si="7"/>
        <v>#DIV/0!</v>
      </c>
      <c r="BR38" s="33" t="str">
        <f t="shared" si="8"/>
        <v/>
      </c>
    </row>
    <row r="39" spans="1:70" ht="30" customHeight="1" thickTop="1" thickBot="1">
      <c r="A39" s="52">
        <v>32</v>
      </c>
      <c r="B39" s="13"/>
      <c r="C39" s="13"/>
      <c r="D39" s="19"/>
      <c r="E39" s="15"/>
      <c r="F39" s="14"/>
      <c r="G39" s="14"/>
      <c r="H39" s="14"/>
      <c r="I39" s="13"/>
      <c r="J39" s="14"/>
      <c r="K39" s="14"/>
      <c r="L39" s="563"/>
      <c r="M39" s="564"/>
      <c r="N39" s="15"/>
      <c r="O39" s="15"/>
      <c r="P39" s="15"/>
      <c r="Q39" s="13"/>
      <c r="R39" s="13"/>
      <c r="S39" s="13"/>
      <c r="T39" s="699"/>
      <c r="U39" s="700"/>
      <c r="V39" s="229"/>
      <c r="W39" s="230"/>
      <c r="X39" s="269" t="e">
        <f t="shared" si="2"/>
        <v>#N/A</v>
      </c>
      <c r="Y39" s="269" t="e">
        <f>VLOOKUP(Q39,Data!$QH$2:$QI$4,2,FALSE)</f>
        <v>#N/A</v>
      </c>
      <c r="AA39" s="269" t="e">
        <f t="shared" si="3"/>
        <v>#N/A</v>
      </c>
      <c r="AD39" s="172" t="e">
        <f>IF(#REF!=Data!$KK$2,Data!$KM$1,IF(#REF!=Data!$KK$3,Data!$KN$1,IF(#REF!=Data!$KK$4,Data!$KP$1,IF(#REF!=Data!$KK$5,Data!$KQ$1))))</f>
        <v>#REF!</v>
      </c>
      <c r="AE39" s="33" t="str">
        <f>IF(D39=Data!$W$10,Data!$QJ$1,Data!$QK$1)</f>
        <v>RollerControl</v>
      </c>
      <c r="AH39" s="33" t="b">
        <f>IF(Q39=Data!$PX$2,Data!$PZ$1,IF(Q39=Data!$PX$3,Data!$PY$1,IF(Q39=Data!$PX$4,Data!$QA$1)))</f>
        <v>0</v>
      </c>
      <c r="AJ39" s="33" t="b">
        <f>IF(Q39=Data!$PX$3,Data!$QB$1,IF(Q39=Data!$PX$2,Data!$QC$1,IF(Q39=Data!$PX$4,Data!$QD$1)))</f>
        <v>0</v>
      </c>
      <c r="AL39" s="33" t="str">
        <f>IF(D39=Data!$W$3,Data!$QF$1,IF(D39=Data!$W$4,Data!$QF$1,IF(D39=Data!$W$5,Data!$QF$1,IF(D39=Data!$W$6,Data!$QF$1,IF(D39=Data!$W$7,Data!$QF$1,IF(D39=Data!$W$8,Data!$QF$1,IF(D39=Data!$W$9,Data!$QF$1,IF(D39=Data!$W$10,Data!$QE$1,IF(D39=Data!$W$11,Data!$QF$1,IF(D39=Data!$W$12,Data!$QF$1,IF(D39=Data!$W$13,Data!$QF$1,IF(D39=Data!$W$14,Data!$QF$1,IF(D39=Data!$W$15,Data!$QF$1,IF(D39=Data!$W$16,Data!$QF$1))))))))))))))</f>
        <v>RollerBracketType2</v>
      </c>
      <c r="AV39" s="40" t="e">
        <f>IF(AND(G39&lt;2130, OR(#REF!&lt;2100)),Data!$KS$1,Data!$KT$1)</f>
        <v>#REF!</v>
      </c>
      <c r="AW39" s="172" t="e">
        <f>MATCH(#REF!,Data!$LA$1:$LD$1,0)</f>
        <v>#REF!</v>
      </c>
      <c r="AX39" s="172" t="e">
        <f>MATCH('Panel Glide Blinds'!AV39,Data!$KZ$2:$KZ$3,0)</f>
        <v>#REF!</v>
      </c>
      <c r="AY39" s="172" t="e">
        <f>INDEX(Data!$LA$2:$LD$3,'Panel Glide Blinds'!AX39,'Panel Glide Blinds'!AW39)</f>
        <v>#REF!</v>
      </c>
      <c r="BB39" s="172" t="e">
        <f>IF(#REF!=Data!$QK$2,Data!$QL$1,IF(#REF!=Data!$QK$3,Data!$QM$1,IF(#REF!=Data!$QK$4,Data!$QN$1,IF(#REF!=Data!$QK$5,Data!$QO$1,IF(#REF!=Data!$QK$6,Data!$QP$1,IF(#REF!=Data!$QK$7,Data!$QQ$1,IF(#REF!=Data!$QK$8,Data!$QR$1,IF(#REF!=Data!$QK$9,Data!$QS$1,IF(#REF!=Data!$QK$10,Data!$QT$1,IF(#REF!=Data!$QK$11,Data!$QU$1))))))))))</f>
        <v>#REF!</v>
      </c>
      <c r="BC39" s="33" t="e">
        <f>IF(#REF!=Data!$QK$2,Data!$QL$17,IF(#REF!=Data!$QK$3,Data!$QM$17,IF(#REF!=Data!$QK$4,Data!$QN$17,IF(#REF!=Data!$QK$5,Data!$QO$17,IF(#REF!=Data!$QK$6,Data!$QP$17,IF(#REF!=Data!$QK$7,Data!$QQ$17,IF(#REF!=Data!$QK$8,Data!$QR$17,IF(#REF!=Data!$QK$9,Data!$QS$17,IF(#REF!=Data!$QK$10,Data!$QT$17,IF(#REF!=Data!$QK$11,Data!$QU$17))))))))))</f>
        <v>#REF!</v>
      </c>
      <c r="BD39" s="33" t="e">
        <f>IF(#REF!=Data!$PU$2,Data!$PW$1,IF(#REF!=Data!$PU$3,Data!$PW$1,IF(#REF!=Data!$PU$4,Data!$PV$1,IF(#REF!=Data!$PU$5,Data!$PV$1,))))</f>
        <v>#REF!</v>
      </c>
      <c r="BE39" s="33" t="e">
        <f>MATCH('Panel Glide Blinds'!D39,Data!$AAK$2:$AAK$15)</f>
        <v>#N/A</v>
      </c>
      <c r="BF39" s="33" t="e">
        <f>MATCH(O39,Data!$AAL$1:$AAM$1)</f>
        <v>#N/A</v>
      </c>
      <c r="BG39" s="33" t="e">
        <f>INDEX(Data!$AAL$2:$AAM$15,BE39,BF39)</f>
        <v>#N/A</v>
      </c>
      <c r="BH39" s="33" t="b">
        <f>IF(O39=Data!$ABF$1,Data!$ABD$1,IF(O39=Data!$ABF$2,Data!$ABE$1))</f>
        <v>0</v>
      </c>
      <c r="BI39" s="33" t="e">
        <f>VLOOKUP(H39,Data!$ABL$2:$ABM$8,2,FALSE)</f>
        <v>#N/A</v>
      </c>
      <c r="BJ39" s="172" t="e">
        <f>VLOOKUP(H39,Data!$ABW$2:$ABX$9,2,FALSE)</f>
        <v>#N/A</v>
      </c>
      <c r="BK39" s="172" t="e">
        <f>VLOOKUP(H39,Data!$ABW$2:$ABY$8,3,FALSE)</f>
        <v>#N/A</v>
      </c>
      <c r="BL39" s="172" t="str">
        <f t="shared" si="0"/>
        <v/>
      </c>
      <c r="BM39" s="172" t="str">
        <f t="shared" si="1"/>
        <v/>
      </c>
      <c r="BN39" s="172" t="str">
        <f t="shared" si="4"/>
        <v/>
      </c>
      <c r="BO39" s="33" t="e">
        <f t="shared" si="5"/>
        <v>#DIV/0!</v>
      </c>
      <c r="BP39" s="33" t="e">
        <f t="shared" si="6"/>
        <v>#DIV/0!</v>
      </c>
      <c r="BQ39" s="33" t="e">
        <f t="shared" si="7"/>
        <v>#DIV/0!</v>
      </c>
      <c r="BR39" s="33" t="str">
        <f t="shared" si="8"/>
        <v/>
      </c>
    </row>
    <row r="40" spans="1:70" ht="30" customHeight="1" thickTop="1" thickBot="1">
      <c r="A40" s="52">
        <v>33</v>
      </c>
      <c r="B40" s="13"/>
      <c r="C40" s="13"/>
      <c r="D40" s="19"/>
      <c r="E40" s="15"/>
      <c r="F40" s="14"/>
      <c r="G40" s="14"/>
      <c r="H40" s="14"/>
      <c r="I40" s="13"/>
      <c r="J40" s="14"/>
      <c r="K40" s="14"/>
      <c r="L40" s="563"/>
      <c r="M40" s="564"/>
      <c r="N40" s="15"/>
      <c r="O40" s="15"/>
      <c r="P40" s="15"/>
      <c r="Q40" s="13"/>
      <c r="R40" s="13"/>
      <c r="S40" s="13"/>
      <c r="T40" s="699"/>
      <c r="U40" s="700"/>
      <c r="V40" s="229"/>
      <c r="W40" s="230"/>
      <c r="X40" s="269" t="e">
        <f t="shared" si="2"/>
        <v>#N/A</v>
      </c>
      <c r="Y40" s="269" t="e">
        <f>VLOOKUP(Q40,Data!$QH$2:$QI$4,2,FALSE)</f>
        <v>#N/A</v>
      </c>
      <c r="AA40" s="269" t="e">
        <f t="shared" si="3"/>
        <v>#N/A</v>
      </c>
      <c r="AD40" s="172" t="e">
        <f>IF(#REF!=Data!$KK$2,Data!$KM$1,IF(#REF!=Data!$KK$3,Data!$KN$1,IF(#REF!=Data!$KK$4,Data!$KP$1,IF(#REF!=Data!$KK$5,Data!$KQ$1))))</f>
        <v>#REF!</v>
      </c>
      <c r="AE40" s="33" t="str">
        <f>IF(D40=Data!$W$10,Data!$QJ$1,Data!$QK$1)</f>
        <v>RollerControl</v>
      </c>
      <c r="AH40" s="33" t="b">
        <f>IF(Q40=Data!$PX$2,Data!$PZ$1,IF(Q40=Data!$PX$3,Data!$PY$1,IF(Q40=Data!$PX$4,Data!$QA$1)))</f>
        <v>0</v>
      </c>
      <c r="AJ40" s="33" t="b">
        <f>IF(Q40=Data!$PX$3,Data!$QB$1,IF(Q40=Data!$PX$2,Data!$QC$1,IF(Q40=Data!$PX$4,Data!$QD$1)))</f>
        <v>0</v>
      </c>
      <c r="AL40" s="33" t="str">
        <f>IF(D40=Data!$W$3,Data!$QF$1,IF(D40=Data!$W$4,Data!$QF$1,IF(D40=Data!$W$5,Data!$QF$1,IF(D40=Data!$W$6,Data!$QF$1,IF(D40=Data!$W$7,Data!$QF$1,IF(D40=Data!$W$8,Data!$QF$1,IF(D40=Data!$W$9,Data!$QF$1,IF(D40=Data!$W$10,Data!$QE$1,IF(D40=Data!$W$11,Data!$QF$1,IF(D40=Data!$W$12,Data!$QF$1,IF(D40=Data!$W$13,Data!$QF$1,IF(D40=Data!$W$14,Data!$QF$1,IF(D40=Data!$W$15,Data!$QF$1,IF(D40=Data!$W$16,Data!$QF$1))))))))))))))</f>
        <v>RollerBracketType2</v>
      </c>
      <c r="AV40" s="40" t="e">
        <f>IF(AND(G40&lt;2130, OR(#REF!&lt;2100)),Data!$KS$1,Data!$KT$1)</f>
        <v>#REF!</v>
      </c>
      <c r="AW40" s="172" t="e">
        <f>MATCH(#REF!,Data!$LA$1:$LD$1,0)</f>
        <v>#REF!</v>
      </c>
      <c r="AX40" s="172" t="e">
        <f>MATCH('Panel Glide Blinds'!AV40,Data!$KZ$2:$KZ$3,0)</f>
        <v>#REF!</v>
      </c>
      <c r="AY40" s="172" t="e">
        <f>INDEX(Data!$LA$2:$LD$3,'Panel Glide Blinds'!AX40,'Panel Glide Blinds'!AW40)</f>
        <v>#REF!</v>
      </c>
      <c r="BB40" s="172" t="e">
        <f>IF(#REF!=Data!$QK$2,Data!$QL$1,IF(#REF!=Data!$QK$3,Data!$QM$1,IF(#REF!=Data!$QK$4,Data!$QN$1,IF(#REF!=Data!$QK$5,Data!$QO$1,IF(#REF!=Data!$QK$6,Data!$QP$1,IF(#REF!=Data!$QK$7,Data!$QQ$1,IF(#REF!=Data!$QK$8,Data!$QR$1,IF(#REF!=Data!$QK$9,Data!$QS$1,IF(#REF!=Data!$QK$10,Data!$QT$1,IF(#REF!=Data!$QK$11,Data!$QU$1))))))))))</f>
        <v>#REF!</v>
      </c>
      <c r="BC40" s="33" t="e">
        <f>IF(#REF!=Data!$QK$2,Data!$QL$17,IF(#REF!=Data!$QK$3,Data!$QM$17,IF(#REF!=Data!$QK$4,Data!$QN$17,IF(#REF!=Data!$QK$5,Data!$QO$17,IF(#REF!=Data!$QK$6,Data!$QP$17,IF(#REF!=Data!$QK$7,Data!$QQ$17,IF(#REF!=Data!$QK$8,Data!$QR$17,IF(#REF!=Data!$QK$9,Data!$QS$17,IF(#REF!=Data!$QK$10,Data!$QT$17,IF(#REF!=Data!$QK$11,Data!$QU$17))))))))))</f>
        <v>#REF!</v>
      </c>
      <c r="BD40" s="33" t="e">
        <f>IF(#REF!=Data!$PU$2,Data!$PW$1,IF(#REF!=Data!$PU$3,Data!$PW$1,IF(#REF!=Data!$PU$4,Data!$PV$1,IF(#REF!=Data!$PU$5,Data!$PV$1,))))</f>
        <v>#REF!</v>
      </c>
      <c r="BE40" s="33" t="e">
        <f>MATCH('Panel Glide Blinds'!D40,Data!$AAK$2:$AAK$15)</f>
        <v>#N/A</v>
      </c>
      <c r="BF40" s="33" t="e">
        <f>MATCH(O40,Data!$AAL$1:$AAM$1)</f>
        <v>#N/A</v>
      </c>
      <c r="BG40" s="33" t="e">
        <f>INDEX(Data!$AAL$2:$AAM$15,BE40,BF40)</f>
        <v>#N/A</v>
      </c>
      <c r="BH40" s="33" t="b">
        <f>IF(O40=Data!$ABF$1,Data!$ABD$1,IF(O40=Data!$ABF$2,Data!$ABE$1))</f>
        <v>0</v>
      </c>
      <c r="BI40" s="33" t="e">
        <f>VLOOKUP(H40,Data!$ABL$2:$ABM$8,2,FALSE)</f>
        <v>#N/A</v>
      </c>
      <c r="BJ40" s="172" t="e">
        <f>VLOOKUP(H40,Data!$ABW$2:$ABX$9,2,FALSE)</f>
        <v>#N/A</v>
      </c>
      <c r="BK40" s="172" t="e">
        <f>VLOOKUP(H40,Data!$ABW$2:$ABY$8,3,FALSE)</f>
        <v>#N/A</v>
      </c>
      <c r="BL40" s="172" t="str">
        <f t="shared" ref="BL40:BL57" si="9">IF(F40="","",IF(F40&lt;BJ40,"Yes","No"))</f>
        <v/>
      </c>
      <c r="BM40" s="172" t="str">
        <f t="shared" ref="BM40:BM57" si="10">IF(F40="","",IF(F40&gt;BK40,"Yes","No"))</f>
        <v/>
      </c>
      <c r="BN40" s="172" t="str">
        <f t="shared" si="4"/>
        <v/>
      </c>
      <c r="BO40" s="33" t="e">
        <f t="shared" si="5"/>
        <v>#DIV/0!</v>
      </c>
      <c r="BP40" s="33" t="e">
        <f t="shared" si="6"/>
        <v>#DIV/0!</v>
      </c>
      <c r="BQ40" s="33" t="e">
        <f t="shared" si="7"/>
        <v>#DIV/0!</v>
      </c>
      <c r="BR40" s="33" t="str">
        <f t="shared" si="8"/>
        <v/>
      </c>
    </row>
    <row r="41" spans="1:70" ht="30" customHeight="1" thickTop="1" thickBot="1">
      <c r="A41" s="52">
        <v>34</v>
      </c>
      <c r="B41" s="13"/>
      <c r="C41" s="13"/>
      <c r="D41" s="19"/>
      <c r="E41" s="15"/>
      <c r="F41" s="14"/>
      <c r="G41" s="14"/>
      <c r="H41" s="14"/>
      <c r="I41" s="13"/>
      <c r="J41" s="14"/>
      <c r="K41" s="14"/>
      <c r="L41" s="563"/>
      <c r="M41" s="564"/>
      <c r="N41" s="15"/>
      <c r="O41" s="15"/>
      <c r="P41" s="15"/>
      <c r="Q41" s="13"/>
      <c r="R41" s="13"/>
      <c r="S41" s="13"/>
      <c r="T41" s="699"/>
      <c r="U41" s="700"/>
      <c r="V41" s="229"/>
      <c r="W41" s="230"/>
      <c r="X41" s="269" t="e">
        <f t="shared" si="2"/>
        <v>#N/A</v>
      </c>
      <c r="Y41" s="269" t="e">
        <f>VLOOKUP(Q41,Data!$QH$2:$QI$4,2,FALSE)</f>
        <v>#N/A</v>
      </c>
      <c r="AA41" s="269" t="e">
        <f t="shared" si="3"/>
        <v>#N/A</v>
      </c>
      <c r="AD41" s="172" t="e">
        <f>IF(#REF!=Data!$KK$2,Data!$KM$1,IF(#REF!=Data!$KK$3,Data!$KN$1,IF(#REF!=Data!$KK$4,Data!$KP$1,IF(#REF!=Data!$KK$5,Data!$KQ$1))))</f>
        <v>#REF!</v>
      </c>
      <c r="AE41" s="33" t="str">
        <f>IF(D41=Data!$W$10,Data!$QJ$1,Data!$QK$1)</f>
        <v>RollerControl</v>
      </c>
      <c r="AH41" s="33" t="b">
        <f>IF(Q41=Data!$PX$2,Data!$PZ$1,IF(Q41=Data!$PX$3,Data!$PY$1,IF(Q41=Data!$PX$4,Data!$QA$1)))</f>
        <v>0</v>
      </c>
      <c r="AJ41" s="33" t="b">
        <f>IF(Q41=Data!$PX$3,Data!$QB$1,IF(Q41=Data!$PX$2,Data!$QC$1,IF(Q41=Data!$PX$4,Data!$QD$1)))</f>
        <v>0</v>
      </c>
      <c r="AL41" s="33" t="str">
        <f>IF(D41=Data!$W$3,Data!$QF$1,IF(D41=Data!$W$4,Data!$QF$1,IF(D41=Data!$W$5,Data!$QF$1,IF(D41=Data!$W$6,Data!$QF$1,IF(D41=Data!$W$7,Data!$QF$1,IF(D41=Data!$W$8,Data!$QF$1,IF(D41=Data!$W$9,Data!$QF$1,IF(D41=Data!$W$10,Data!$QE$1,IF(D41=Data!$W$11,Data!$QF$1,IF(D41=Data!$W$12,Data!$QF$1,IF(D41=Data!$W$13,Data!$QF$1,IF(D41=Data!$W$14,Data!$QF$1,IF(D41=Data!$W$15,Data!$QF$1,IF(D41=Data!$W$16,Data!$QF$1))))))))))))))</f>
        <v>RollerBracketType2</v>
      </c>
      <c r="AV41" s="40" t="e">
        <f>IF(AND(G41&lt;2130, OR(#REF!&lt;2100)),Data!$KS$1,Data!$KT$1)</f>
        <v>#REF!</v>
      </c>
      <c r="AW41" s="172" t="e">
        <f>MATCH(#REF!,Data!$LA$1:$LD$1,0)</f>
        <v>#REF!</v>
      </c>
      <c r="AX41" s="172" t="e">
        <f>MATCH('Panel Glide Blinds'!AV41,Data!$KZ$2:$KZ$3,0)</f>
        <v>#REF!</v>
      </c>
      <c r="AY41" s="172" t="e">
        <f>INDEX(Data!$LA$2:$LD$3,'Panel Glide Blinds'!AX41,'Panel Glide Blinds'!AW41)</f>
        <v>#REF!</v>
      </c>
      <c r="BB41" s="172" t="e">
        <f>IF(#REF!=Data!$QK$2,Data!$QL$1,IF(#REF!=Data!$QK$3,Data!$QM$1,IF(#REF!=Data!$QK$4,Data!$QN$1,IF(#REF!=Data!$QK$5,Data!$QO$1,IF(#REF!=Data!$QK$6,Data!$QP$1,IF(#REF!=Data!$QK$7,Data!$QQ$1,IF(#REF!=Data!$QK$8,Data!$QR$1,IF(#REF!=Data!$QK$9,Data!$QS$1,IF(#REF!=Data!$QK$10,Data!$QT$1,IF(#REF!=Data!$QK$11,Data!$QU$1))))))))))</f>
        <v>#REF!</v>
      </c>
      <c r="BC41" s="33" t="e">
        <f>IF(#REF!=Data!$QK$2,Data!$QL$17,IF(#REF!=Data!$QK$3,Data!$QM$17,IF(#REF!=Data!$QK$4,Data!$QN$17,IF(#REF!=Data!$QK$5,Data!$QO$17,IF(#REF!=Data!$QK$6,Data!$QP$17,IF(#REF!=Data!$QK$7,Data!$QQ$17,IF(#REF!=Data!$QK$8,Data!$QR$17,IF(#REF!=Data!$QK$9,Data!$QS$17,IF(#REF!=Data!$QK$10,Data!$QT$17,IF(#REF!=Data!$QK$11,Data!$QU$17))))))))))</f>
        <v>#REF!</v>
      </c>
      <c r="BD41" s="33" t="e">
        <f>IF(#REF!=Data!$PU$2,Data!$PW$1,IF(#REF!=Data!$PU$3,Data!$PW$1,IF(#REF!=Data!$PU$4,Data!$PV$1,IF(#REF!=Data!$PU$5,Data!$PV$1,))))</f>
        <v>#REF!</v>
      </c>
      <c r="BE41" s="33" t="e">
        <f>MATCH('Panel Glide Blinds'!D41,Data!$AAK$2:$AAK$15)</f>
        <v>#N/A</v>
      </c>
      <c r="BF41" s="33" t="e">
        <f>MATCH(O41,Data!$AAL$1:$AAM$1)</f>
        <v>#N/A</v>
      </c>
      <c r="BG41" s="33" t="e">
        <f>INDEX(Data!$AAL$2:$AAM$15,BE41,BF41)</f>
        <v>#N/A</v>
      </c>
      <c r="BH41" s="33" t="b">
        <f>IF(O41=Data!$ABF$1,Data!$ABD$1,IF(O41=Data!$ABF$2,Data!$ABE$1))</f>
        <v>0</v>
      </c>
      <c r="BI41" s="33" t="e">
        <f>VLOOKUP(H41,Data!$ABL$2:$ABM$8,2,FALSE)</f>
        <v>#N/A</v>
      </c>
      <c r="BJ41" s="172" t="e">
        <f>VLOOKUP(H41,Data!$ABW$2:$ABX$9,2,FALSE)</f>
        <v>#N/A</v>
      </c>
      <c r="BK41" s="172" t="e">
        <f>VLOOKUP(H41,Data!$ABW$2:$ABY$8,3,FALSE)</f>
        <v>#N/A</v>
      </c>
      <c r="BL41" s="172" t="str">
        <f t="shared" si="9"/>
        <v/>
      </c>
      <c r="BM41" s="172" t="str">
        <f t="shared" si="10"/>
        <v/>
      </c>
      <c r="BN41" s="172" t="str">
        <f t="shared" si="4"/>
        <v/>
      </c>
      <c r="BO41" s="33" t="e">
        <f t="shared" si="5"/>
        <v>#DIV/0!</v>
      </c>
      <c r="BP41" s="33" t="e">
        <f t="shared" si="6"/>
        <v>#DIV/0!</v>
      </c>
      <c r="BQ41" s="33" t="e">
        <f t="shared" si="7"/>
        <v>#DIV/0!</v>
      </c>
      <c r="BR41" s="33" t="str">
        <f t="shared" si="8"/>
        <v/>
      </c>
    </row>
    <row r="42" spans="1:70" ht="30" customHeight="1" thickTop="1" thickBot="1">
      <c r="A42" s="52">
        <v>35</v>
      </c>
      <c r="B42" s="13"/>
      <c r="C42" s="13"/>
      <c r="D42" s="19"/>
      <c r="E42" s="15"/>
      <c r="F42" s="14"/>
      <c r="G42" s="14"/>
      <c r="H42" s="14"/>
      <c r="I42" s="13"/>
      <c r="J42" s="14"/>
      <c r="K42" s="14"/>
      <c r="L42" s="563"/>
      <c r="M42" s="564"/>
      <c r="N42" s="15"/>
      <c r="O42" s="15"/>
      <c r="P42" s="15"/>
      <c r="Q42" s="13"/>
      <c r="R42" s="13"/>
      <c r="S42" s="13"/>
      <c r="T42" s="699"/>
      <c r="U42" s="700"/>
      <c r="V42" s="229"/>
      <c r="W42" s="230"/>
      <c r="X42" s="269" t="e">
        <f t="shared" si="2"/>
        <v>#N/A</v>
      </c>
      <c r="Y42" s="269" t="e">
        <f>VLOOKUP(Q42,Data!$QH$2:$QI$4,2,FALSE)</f>
        <v>#N/A</v>
      </c>
      <c r="AA42" s="269" t="e">
        <f t="shared" si="3"/>
        <v>#N/A</v>
      </c>
      <c r="AD42" s="172" t="e">
        <f>IF(#REF!=Data!$KK$2,Data!$KM$1,IF(#REF!=Data!$KK$3,Data!$KN$1,IF(#REF!=Data!$KK$4,Data!$KP$1,IF(#REF!=Data!$KK$5,Data!$KQ$1))))</f>
        <v>#REF!</v>
      </c>
      <c r="AE42" s="33" t="str">
        <f>IF(D42=Data!$W$10,Data!$QJ$1,Data!$QK$1)</f>
        <v>RollerControl</v>
      </c>
      <c r="AH42" s="33" t="b">
        <f>IF(Q42=Data!$PX$2,Data!$PZ$1,IF(Q42=Data!$PX$3,Data!$PY$1,IF(Q42=Data!$PX$4,Data!$QA$1)))</f>
        <v>0</v>
      </c>
      <c r="AJ42" s="33" t="b">
        <f>IF(Q42=Data!$PX$3,Data!$QB$1,IF(Q42=Data!$PX$2,Data!$QC$1,IF(Q42=Data!$PX$4,Data!$QD$1)))</f>
        <v>0</v>
      </c>
      <c r="AL42" s="33" t="str">
        <f>IF(D42=Data!$W$3,Data!$QF$1,IF(D42=Data!$W$4,Data!$QF$1,IF(D42=Data!$W$5,Data!$QF$1,IF(D42=Data!$W$6,Data!$QF$1,IF(D42=Data!$W$7,Data!$QF$1,IF(D42=Data!$W$8,Data!$QF$1,IF(D42=Data!$W$9,Data!$QF$1,IF(D42=Data!$W$10,Data!$QE$1,IF(D42=Data!$W$11,Data!$QF$1,IF(D42=Data!$W$12,Data!$QF$1,IF(D42=Data!$W$13,Data!$QF$1,IF(D42=Data!$W$14,Data!$QF$1,IF(D42=Data!$W$15,Data!$QF$1,IF(D42=Data!$W$16,Data!$QF$1))))))))))))))</f>
        <v>RollerBracketType2</v>
      </c>
      <c r="AV42" s="40" t="e">
        <f>IF(AND(G42&lt;2130, OR(#REF!&lt;2100)),Data!$KS$1,Data!$KT$1)</f>
        <v>#REF!</v>
      </c>
      <c r="AW42" s="172" t="e">
        <f>MATCH(#REF!,Data!$LA$1:$LD$1,0)</f>
        <v>#REF!</v>
      </c>
      <c r="AX42" s="172" t="e">
        <f>MATCH('Panel Glide Blinds'!AV42,Data!$KZ$2:$KZ$3,0)</f>
        <v>#REF!</v>
      </c>
      <c r="AY42" s="172" t="e">
        <f>INDEX(Data!$LA$2:$LD$3,'Panel Glide Blinds'!AX42,'Panel Glide Blinds'!AW42)</f>
        <v>#REF!</v>
      </c>
      <c r="BB42" s="172" t="e">
        <f>IF(#REF!=Data!$QK$2,Data!$QL$1,IF(#REF!=Data!$QK$3,Data!$QM$1,IF(#REF!=Data!$QK$4,Data!$QN$1,IF(#REF!=Data!$QK$5,Data!$QO$1,IF(#REF!=Data!$QK$6,Data!$QP$1,IF(#REF!=Data!$QK$7,Data!$QQ$1,IF(#REF!=Data!$QK$8,Data!$QR$1,IF(#REF!=Data!$QK$9,Data!$QS$1,IF(#REF!=Data!$QK$10,Data!$QT$1,IF(#REF!=Data!$QK$11,Data!$QU$1))))))))))</f>
        <v>#REF!</v>
      </c>
      <c r="BC42" s="33" t="e">
        <f>IF(#REF!=Data!$QK$2,Data!$QL$17,IF(#REF!=Data!$QK$3,Data!$QM$17,IF(#REF!=Data!$QK$4,Data!$QN$17,IF(#REF!=Data!$QK$5,Data!$QO$17,IF(#REF!=Data!$QK$6,Data!$QP$17,IF(#REF!=Data!$QK$7,Data!$QQ$17,IF(#REF!=Data!$QK$8,Data!$QR$17,IF(#REF!=Data!$QK$9,Data!$QS$17,IF(#REF!=Data!$QK$10,Data!$QT$17,IF(#REF!=Data!$QK$11,Data!$QU$17))))))))))</f>
        <v>#REF!</v>
      </c>
      <c r="BD42" s="33" t="e">
        <f>IF(#REF!=Data!$PU$2,Data!$PW$1,IF(#REF!=Data!$PU$3,Data!$PW$1,IF(#REF!=Data!$PU$4,Data!$PV$1,IF(#REF!=Data!$PU$5,Data!$PV$1,))))</f>
        <v>#REF!</v>
      </c>
      <c r="BE42" s="33" t="e">
        <f>MATCH('Panel Glide Blinds'!D42,Data!$AAK$2:$AAK$15)</f>
        <v>#N/A</v>
      </c>
      <c r="BF42" s="33" t="e">
        <f>MATCH(O42,Data!$AAL$1:$AAM$1)</f>
        <v>#N/A</v>
      </c>
      <c r="BG42" s="33" t="e">
        <f>INDEX(Data!$AAL$2:$AAM$15,BE42,BF42)</f>
        <v>#N/A</v>
      </c>
      <c r="BH42" s="33" t="b">
        <f>IF(O42=Data!$ABF$1,Data!$ABD$1,IF(O42=Data!$ABF$2,Data!$ABE$1))</f>
        <v>0</v>
      </c>
      <c r="BI42" s="33" t="e">
        <f>VLOOKUP(H42,Data!$ABL$2:$ABM$8,2,FALSE)</f>
        <v>#N/A</v>
      </c>
      <c r="BJ42" s="172" t="e">
        <f>VLOOKUP(H42,Data!$ABW$2:$ABX$9,2,FALSE)</f>
        <v>#N/A</v>
      </c>
      <c r="BK42" s="172" t="e">
        <f>VLOOKUP(H42,Data!$ABW$2:$ABY$8,3,FALSE)</f>
        <v>#N/A</v>
      </c>
      <c r="BL42" s="172" t="str">
        <f t="shared" si="9"/>
        <v/>
      </c>
      <c r="BM42" s="172" t="str">
        <f t="shared" si="10"/>
        <v/>
      </c>
      <c r="BN42" s="172" t="str">
        <f t="shared" si="4"/>
        <v/>
      </c>
      <c r="BO42" s="33" t="e">
        <f t="shared" si="5"/>
        <v>#DIV/0!</v>
      </c>
      <c r="BP42" s="33" t="e">
        <f t="shared" si="6"/>
        <v>#DIV/0!</v>
      </c>
      <c r="BQ42" s="33" t="e">
        <f t="shared" si="7"/>
        <v>#DIV/0!</v>
      </c>
      <c r="BR42" s="33" t="str">
        <f t="shared" si="8"/>
        <v/>
      </c>
    </row>
    <row r="43" spans="1:70" ht="30" customHeight="1" thickTop="1" thickBot="1">
      <c r="A43" s="52">
        <v>36</v>
      </c>
      <c r="B43" s="13"/>
      <c r="C43" s="13"/>
      <c r="D43" s="19"/>
      <c r="E43" s="15"/>
      <c r="F43" s="14"/>
      <c r="G43" s="14"/>
      <c r="H43" s="14"/>
      <c r="I43" s="13"/>
      <c r="J43" s="14"/>
      <c r="K43" s="14"/>
      <c r="L43" s="563"/>
      <c r="M43" s="564"/>
      <c r="N43" s="15"/>
      <c r="O43" s="15"/>
      <c r="P43" s="15"/>
      <c r="Q43" s="13"/>
      <c r="R43" s="13"/>
      <c r="S43" s="13"/>
      <c r="T43" s="699"/>
      <c r="U43" s="700"/>
      <c r="V43" s="229"/>
      <c r="W43" s="230"/>
      <c r="X43" s="269" t="e">
        <f t="shared" si="2"/>
        <v>#N/A</v>
      </c>
      <c r="Y43" s="269" t="e">
        <f>VLOOKUP(Q43,Data!$QH$2:$QI$4,2,FALSE)</f>
        <v>#N/A</v>
      </c>
      <c r="AA43" s="269" t="e">
        <f t="shared" si="3"/>
        <v>#N/A</v>
      </c>
      <c r="AD43" s="172" t="e">
        <f>IF(#REF!=Data!$KK$2,Data!$KM$1,IF(#REF!=Data!$KK$3,Data!$KN$1,IF(#REF!=Data!$KK$4,Data!$KP$1,IF(#REF!=Data!$KK$5,Data!$KQ$1))))</f>
        <v>#REF!</v>
      </c>
      <c r="AE43" s="33" t="str">
        <f>IF(D43=Data!$W$10,Data!$QJ$1,Data!$QK$1)</f>
        <v>RollerControl</v>
      </c>
      <c r="AH43" s="33" t="b">
        <f>IF(Q43=Data!$PX$2,Data!$PZ$1,IF(Q43=Data!$PX$3,Data!$PY$1,IF(Q43=Data!$PX$4,Data!$QA$1)))</f>
        <v>0</v>
      </c>
      <c r="AJ43" s="33" t="b">
        <f>IF(Q43=Data!$PX$3,Data!$QB$1,IF(Q43=Data!$PX$2,Data!$QC$1,IF(Q43=Data!$PX$4,Data!$QD$1)))</f>
        <v>0</v>
      </c>
      <c r="AL43" s="33" t="str">
        <f>IF(D43=Data!$W$3,Data!$QF$1,IF(D43=Data!$W$4,Data!$QF$1,IF(D43=Data!$W$5,Data!$QF$1,IF(D43=Data!$W$6,Data!$QF$1,IF(D43=Data!$W$7,Data!$QF$1,IF(D43=Data!$W$8,Data!$QF$1,IF(D43=Data!$W$9,Data!$QF$1,IF(D43=Data!$W$10,Data!$QE$1,IF(D43=Data!$W$11,Data!$QF$1,IF(D43=Data!$W$12,Data!$QF$1,IF(D43=Data!$W$13,Data!$QF$1,IF(D43=Data!$W$14,Data!$QF$1,IF(D43=Data!$W$15,Data!$QF$1,IF(D43=Data!$W$16,Data!$QF$1))))))))))))))</f>
        <v>RollerBracketType2</v>
      </c>
      <c r="AV43" s="40" t="e">
        <f>IF(AND(G43&lt;2130, OR(#REF!&lt;2100)),Data!$KS$1,Data!$KT$1)</f>
        <v>#REF!</v>
      </c>
      <c r="AW43" s="172" t="e">
        <f>MATCH(#REF!,Data!$LA$1:$LD$1,0)</f>
        <v>#REF!</v>
      </c>
      <c r="AX43" s="172" t="e">
        <f>MATCH('Panel Glide Blinds'!AV43,Data!$KZ$2:$KZ$3,0)</f>
        <v>#REF!</v>
      </c>
      <c r="AY43" s="172" t="e">
        <f>INDEX(Data!$LA$2:$LD$3,'Panel Glide Blinds'!AX43,'Panel Glide Blinds'!AW43)</f>
        <v>#REF!</v>
      </c>
      <c r="BB43" s="172" t="e">
        <f>IF(#REF!=Data!$QK$2,Data!$QL$1,IF(#REF!=Data!$QK$3,Data!$QM$1,IF(#REF!=Data!$QK$4,Data!$QN$1,IF(#REF!=Data!$QK$5,Data!$QO$1,IF(#REF!=Data!$QK$6,Data!$QP$1,IF(#REF!=Data!$QK$7,Data!$QQ$1,IF(#REF!=Data!$QK$8,Data!$QR$1,IF(#REF!=Data!$QK$9,Data!$QS$1,IF(#REF!=Data!$QK$10,Data!$QT$1,IF(#REF!=Data!$QK$11,Data!$QU$1))))))))))</f>
        <v>#REF!</v>
      </c>
      <c r="BC43" s="33" t="e">
        <f>IF(#REF!=Data!$QK$2,Data!$QL$17,IF(#REF!=Data!$QK$3,Data!$QM$17,IF(#REF!=Data!$QK$4,Data!$QN$17,IF(#REF!=Data!$QK$5,Data!$QO$17,IF(#REF!=Data!$QK$6,Data!$QP$17,IF(#REF!=Data!$QK$7,Data!$QQ$17,IF(#REF!=Data!$QK$8,Data!$QR$17,IF(#REF!=Data!$QK$9,Data!$QS$17,IF(#REF!=Data!$QK$10,Data!$QT$17,IF(#REF!=Data!$QK$11,Data!$QU$17))))))))))</f>
        <v>#REF!</v>
      </c>
      <c r="BD43" s="33" t="e">
        <f>IF(#REF!=Data!$PU$2,Data!$PW$1,IF(#REF!=Data!$PU$3,Data!$PW$1,IF(#REF!=Data!$PU$4,Data!$PV$1,IF(#REF!=Data!$PU$5,Data!$PV$1,))))</f>
        <v>#REF!</v>
      </c>
      <c r="BE43" s="33" t="e">
        <f>MATCH('Panel Glide Blinds'!D43,Data!$AAK$2:$AAK$15)</f>
        <v>#N/A</v>
      </c>
      <c r="BF43" s="33" t="e">
        <f>MATCH(O43,Data!$AAL$1:$AAM$1)</f>
        <v>#N/A</v>
      </c>
      <c r="BG43" s="33" t="e">
        <f>INDEX(Data!$AAL$2:$AAM$15,BE43,BF43)</f>
        <v>#N/A</v>
      </c>
      <c r="BH43" s="33" t="b">
        <f>IF(O43=Data!$ABF$1,Data!$ABD$1,IF(O43=Data!$ABF$2,Data!$ABE$1))</f>
        <v>0</v>
      </c>
      <c r="BI43" s="33" t="e">
        <f>VLOOKUP(H43,Data!$ABL$2:$ABM$8,2,FALSE)</f>
        <v>#N/A</v>
      </c>
      <c r="BJ43" s="172" t="e">
        <f>VLOOKUP(H43,Data!$ABW$2:$ABX$9,2,FALSE)</f>
        <v>#N/A</v>
      </c>
      <c r="BK43" s="172" t="e">
        <f>VLOOKUP(H43,Data!$ABW$2:$ABY$8,3,FALSE)</f>
        <v>#N/A</v>
      </c>
      <c r="BL43" s="172" t="str">
        <f t="shared" si="9"/>
        <v/>
      </c>
      <c r="BM43" s="172" t="str">
        <f t="shared" si="10"/>
        <v/>
      </c>
      <c r="BN43" s="172" t="str">
        <f t="shared" si="4"/>
        <v/>
      </c>
      <c r="BO43" s="33" t="e">
        <f t="shared" si="5"/>
        <v>#DIV/0!</v>
      </c>
      <c r="BP43" s="33" t="e">
        <f t="shared" si="6"/>
        <v>#DIV/0!</v>
      </c>
      <c r="BQ43" s="33" t="e">
        <f t="shared" si="7"/>
        <v>#DIV/0!</v>
      </c>
      <c r="BR43" s="33" t="str">
        <f t="shared" si="8"/>
        <v/>
      </c>
    </row>
    <row r="44" spans="1:70" ht="30" customHeight="1" thickTop="1" thickBot="1">
      <c r="A44" s="52">
        <v>37</v>
      </c>
      <c r="B44" s="13"/>
      <c r="C44" s="13"/>
      <c r="D44" s="19"/>
      <c r="E44" s="15"/>
      <c r="F44" s="14"/>
      <c r="G44" s="14"/>
      <c r="H44" s="14"/>
      <c r="I44" s="13"/>
      <c r="J44" s="14"/>
      <c r="K44" s="14"/>
      <c r="L44" s="563"/>
      <c r="M44" s="564"/>
      <c r="N44" s="15"/>
      <c r="O44" s="15"/>
      <c r="P44" s="15"/>
      <c r="Q44" s="13"/>
      <c r="R44" s="13"/>
      <c r="S44" s="13"/>
      <c r="T44" s="699"/>
      <c r="U44" s="700"/>
      <c r="V44" s="229"/>
      <c r="W44" s="230"/>
      <c r="X44" s="269" t="e">
        <f t="shared" si="2"/>
        <v>#N/A</v>
      </c>
      <c r="Y44" s="269" t="e">
        <f>VLOOKUP(Q44,Data!$QH$2:$QI$4,2,FALSE)</f>
        <v>#N/A</v>
      </c>
      <c r="AA44" s="269" t="e">
        <f t="shared" si="3"/>
        <v>#N/A</v>
      </c>
      <c r="AD44" s="172" t="e">
        <f>IF(#REF!=Data!$KK$2,Data!$KM$1,IF(#REF!=Data!$KK$3,Data!$KN$1,IF(#REF!=Data!$KK$4,Data!$KP$1,IF(#REF!=Data!$KK$5,Data!$KQ$1))))</f>
        <v>#REF!</v>
      </c>
      <c r="AE44" s="33" t="str">
        <f>IF(D44=Data!$W$10,Data!$QJ$1,Data!$QK$1)</f>
        <v>RollerControl</v>
      </c>
      <c r="AH44" s="33" t="b">
        <f>IF(Q44=Data!$PX$2,Data!$PZ$1,IF(Q44=Data!$PX$3,Data!$PY$1,IF(Q44=Data!$PX$4,Data!$QA$1)))</f>
        <v>0</v>
      </c>
      <c r="AJ44" s="33" t="b">
        <f>IF(Q44=Data!$PX$3,Data!$QB$1,IF(Q44=Data!$PX$2,Data!$QC$1,IF(Q44=Data!$PX$4,Data!$QD$1)))</f>
        <v>0</v>
      </c>
      <c r="AL44" s="33" t="str">
        <f>IF(D44=Data!$W$3,Data!$QF$1,IF(D44=Data!$W$4,Data!$QF$1,IF(D44=Data!$W$5,Data!$QF$1,IF(D44=Data!$W$6,Data!$QF$1,IF(D44=Data!$W$7,Data!$QF$1,IF(D44=Data!$W$8,Data!$QF$1,IF(D44=Data!$W$9,Data!$QF$1,IF(D44=Data!$W$10,Data!$QE$1,IF(D44=Data!$W$11,Data!$QF$1,IF(D44=Data!$W$12,Data!$QF$1,IF(D44=Data!$W$13,Data!$QF$1,IF(D44=Data!$W$14,Data!$QF$1,IF(D44=Data!$W$15,Data!$QF$1,IF(D44=Data!$W$16,Data!$QF$1))))))))))))))</f>
        <v>RollerBracketType2</v>
      </c>
      <c r="AV44" s="40" t="e">
        <f>IF(AND(G44&lt;2130, OR(#REF!&lt;2100)),Data!$KS$1,Data!$KT$1)</f>
        <v>#REF!</v>
      </c>
      <c r="AW44" s="172" t="e">
        <f>MATCH(#REF!,Data!$LA$1:$LD$1,0)</f>
        <v>#REF!</v>
      </c>
      <c r="AX44" s="172" t="e">
        <f>MATCH('Panel Glide Blinds'!AV44,Data!$KZ$2:$KZ$3,0)</f>
        <v>#REF!</v>
      </c>
      <c r="AY44" s="172" t="e">
        <f>INDEX(Data!$LA$2:$LD$3,'Panel Glide Blinds'!AX44,'Panel Glide Blinds'!AW44)</f>
        <v>#REF!</v>
      </c>
      <c r="BB44" s="172" t="e">
        <f>IF(#REF!=Data!$QK$2,Data!$QL$1,IF(#REF!=Data!$QK$3,Data!$QM$1,IF(#REF!=Data!$QK$4,Data!$QN$1,IF(#REF!=Data!$QK$5,Data!$QO$1,IF(#REF!=Data!$QK$6,Data!$QP$1,IF(#REF!=Data!$QK$7,Data!$QQ$1,IF(#REF!=Data!$QK$8,Data!$QR$1,IF(#REF!=Data!$QK$9,Data!$QS$1,IF(#REF!=Data!$QK$10,Data!$QT$1,IF(#REF!=Data!$QK$11,Data!$QU$1))))))))))</f>
        <v>#REF!</v>
      </c>
      <c r="BC44" s="33" t="e">
        <f>IF(#REF!=Data!$QK$2,Data!$QL$17,IF(#REF!=Data!$QK$3,Data!$QM$17,IF(#REF!=Data!$QK$4,Data!$QN$17,IF(#REF!=Data!$QK$5,Data!$QO$17,IF(#REF!=Data!$QK$6,Data!$QP$17,IF(#REF!=Data!$QK$7,Data!$QQ$17,IF(#REF!=Data!$QK$8,Data!$QR$17,IF(#REF!=Data!$QK$9,Data!$QS$17,IF(#REF!=Data!$QK$10,Data!$QT$17,IF(#REF!=Data!$QK$11,Data!$QU$17))))))))))</f>
        <v>#REF!</v>
      </c>
      <c r="BD44" s="33" t="e">
        <f>IF(#REF!=Data!$PU$2,Data!$PW$1,IF(#REF!=Data!$PU$3,Data!$PW$1,IF(#REF!=Data!$PU$4,Data!$PV$1,IF(#REF!=Data!$PU$5,Data!$PV$1,))))</f>
        <v>#REF!</v>
      </c>
      <c r="BE44" s="33" t="e">
        <f>MATCH('Panel Glide Blinds'!D44,Data!$AAK$2:$AAK$15)</f>
        <v>#N/A</v>
      </c>
      <c r="BF44" s="33" t="e">
        <f>MATCH(O44,Data!$AAL$1:$AAM$1)</f>
        <v>#N/A</v>
      </c>
      <c r="BG44" s="33" t="e">
        <f>INDEX(Data!$AAL$2:$AAM$15,BE44,BF44)</f>
        <v>#N/A</v>
      </c>
      <c r="BH44" s="33" t="b">
        <f>IF(O44=Data!$ABF$1,Data!$ABD$1,IF(O44=Data!$ABF$2,Data!$ABE$1))</f>
        <v>0</v>
      </c>
      <c r="BI44" s="33" t="e">
        <f>VLOOKUP(H44,Data!$ABL$2:$ABM$8,2,FALSE)</f>
        <v>#N/A</v>
      </c>
      <c r="BJ44" s="172" t="e">
        <f>VLOOKUP(H44,Data!$ABW$2:$ABX$9,2,FALSE)</f>
        <v>#N/A</v>
      </c>
      <c r="BK44" s="172" t="e">
        <f>VLOOKUP(H44,Data!$ABW$2:$ABY$8,3,FALSE)</f>
        <v>#N/A</v>
      </c>
      <c r="BL44" s="172" t="str">
        <f t="shared" si="9"/>
        <v/>
      </c>
      <c r="BM44" s="172" t="str">
        <f t="shared" si="10"/>
        <v/>
      </c>
      <c r="BN44" s="172" t="str">
        <f t="shared" si="4"/>
        <v/>
      </c>
      <c r="BO44" s="33" t="e">
        <f t="shared" si="5"/>
        <v>#DIV/0!</v>
      </c>
      <c r="BP44" s="33" t="e">
        <f t="shared" si="6"/>
        <v>#DIV/0!</v>
      </c>
      <c r="BQ44" s="33" t="e">
        <f t="shared" si="7"/>
        <v>#DIV/0!</v>
      </c>
      <c r="BR44" s="33" t="str">
        <f t="shared" si="8"/>
        <v/>
      </c>
    </row>
    <row r="45" spans="1:70" ht="30" customHeight="1" thickTop="1" thickBot="1">
      <c r="A45" s="52">
        <v>38</v>
      </c>
      <c r="B45" s="13"/>
      <c r="C45" s="13"/>
      <c r="D45" s="19"/>
      <c r="E45" s="15"/>
      <c r="F45" s="14"/>
      <c r="G45" s="14"/>
      <c r="H45" s="14"/>
      <c r="I45" s="13"/>
      <c r="J45" s="14"/>
      <c r="K45" s="14"/>
      <c r="L45" s="563"/>
      <c r="M45" s="564"/>
      <c r="N45" s="15"/>
      <c r="O45" s="15"/>
      <c r="P45" s="15"/>
      <c r="Q45" s="13"/>
      <c r="R45" s="13"/>
      <c r="S45" s="13"/>
      <c r="T45" s="699"/>
      <c r="U45" s="700"/>
      <c r="V45" s="229"/>
      <c r="W45" s="230"/>
      <c r="X45" s="269" t="e">
        <f t="shared" si="2"/>
        <v>#N/A</v>
      </c>
      <c r="Y45" s="269" t="e">
        <f>VLOOKUP(Q45,Data!$QH$2:$QI$4,2,FALSE)</f>
        <v>#N/A</v>
      </c>
      <c r="AA45" s="269" t="e">
        <f t="shared" si="3"/>
        <v>#N/A</v>
      </c>
      <c r="AD45" s="172" t="e">
        <f>IF(#REF!=Data!$KK$2,Data!$KM$1,IF(#REF!=Data!$KK$3,Data!$KN$1,IF(#REF!=Data!$KK$4,Data!$KP$1,IF(#REF!=Data!$KK$5,Data!$KQ$1))))</f>
        <v>#REF!</v>
      </c>
      <c r="AE45" s="33" t="str">
        <f>IF(D45=Data!$W$10,Data!$QJ$1,Data!$QK$1)</f>
        <v>RollerControl</v>
      </c>
      <c r="AH45" s="33" t="b">
        <f>IF(Q45=Data!$PX$2,Data!$PZ$1,IF(Q45=Data!$PX$3,Data!$PY$1,IF(Q45=Data!$PX$4,Data!$QA$1)))</f>
        <v>0</v>
      </c>
      <c r="AJ45" s="33" t="b">
        <f>IF(Q45=Data!$PX$3,Data!$QB$1,IF(Q45=Data!$PX$2,Data!$QC$1,IF(Q45=Data!$PX$4,Data!$QD$1)))</f>
        <v>0</v>
      </c>
      <c r="AL45" s="33" t="str">
        <f>IF(D45=Data!$W$3,Data!$QF$1,IF(D45=Data!$W$4,Data!$QF$1,IF(D45=Data!$W$5,Data!$QF$1,IF(D45=Data!$W$6,Data!$QF$1,IF(D45=Data!$W$7,Data!$QF$1,IF(D45=Data!$W$8,Data!$QF$1,IF(D45=Data!$W$9,Data!$QF$1,IF(D45=Data!$W$10,Data!$QE$1,IF(D45=Data!$W$11,Data!$QF$1,IF(D45=Data!$W$12,Data!$QF$1,IF(D45=Data!$W$13,Data!$QF$1,IF(D45=Data!$W$14,Data!$QF$1,IF(D45=Data!$W$15,Data!$QF$1,IF(D45=Data!$W$16,Data!$QF$1))))))))))))))</f>
        <v>RollerBracketType2</v>
      </c>
      <c r="AV45" s="40" t="e">
        <f>IF(AND(G45&lt;2130, OR(#REF!&lt;2100)),Data!$KS$1,Data!$KT$1)</f>
        <v>#REF!</v>
      </c>
      <c r="AW45" s="172" t="e">
        <f>MATCH(#REF!,Data!$LA$1:$LD$1,0)</f>
        <v>#REF!</v>
      </c>
      <c r="AX45" s="172" t="e">
        <f>MATCH('Panel Glide Blinds'!AV45,Data!$KZ$2:$KZ$3,0)</f>
        <v>#REF!</v>
      </c>
      <c r="AY45" s="172" t="e">
        <f>INDEX(Data!$LA$2:$LD$3,'Panel Glide Blinds'!AX45,'Panel Glide Blinds'!AW45)</f>
        <v>#REF!</v>
      </c>
      <c r="BB45" s="172" t="e">
        <f>IF(#REF!=Data!$QK$2,Data!$QL$1,IF(#REF!=Data!$QK$3,Data!$QM$1,IF(#REF!=Data!$QK$4,Data!$QN$1,IF(#REF!=Data!$QK$5,Data!$QO$1,IF(#REF!=Data!$QK$6,Data!$QP$1,IF(#REF!=Data!$QK$7,Data!$QQ$1,IF(#REF!=Data!$QK$8,Data!$QR$1,IF(#REF!=Data!$QK$9,Data!$QS$1,IF(#REF!=Data!$QK$10,Data!$QT$1,IF(#REF!=Data!$QK$11,Data!$QU$1))))))))))</f>
        <v>#REF!</v>
      </c>
      <c r="BC45" s="33" t="e">
        <f>IF(#REF!=Data!$QK$2,Data!$QL$17,IF(#REF!=Data!$QK$3,Data!$QM$17,IF(#REF!=Data!$QK$4,Data!$QN$17,IF(#REF!=Data!$QK$5,Data!$QO$17,IF(#REF!=Data!$QK$6,Data!$QP$17,IF(#REF!=Data!$QK$7,Data!$QQ$17,IF(#REF!=Data!$QK$8,Data!$QR$17,IF(#REF!=Data!$QK$9,Data!$QS$17,IF(#REF!=Data!$QK$10,Data!$QT$17,IF(#REF!=Data!$QK$11,Data!$QU$17))))))))))</f>
        <v>#REF!</v>
      </c>
      <c r="BD45" s="33" t="e">
        <f>IF(#REF!=Data!$PU$2,Data!$PW$1,IF(#REF!=Data!$PU$3,Data!$PW$1,IF(#REF!=Data!$PU$4,Data!$PV$1,IF(#REF!=Data!$PU$5,Data!$PV$1,))))</f>
        <v>#REF!</v>
      </c>
      <c r="BE45" s="33" t="e">
        <f>MATCH('Panel Glide Blinds'!D45,Data!$AAK$2:$AAK$15)</f>
        <v>#N/A</v>
      </c>
      <c r="BF45" s="33" t="e">
        <f>MATCH(O45,Data!$AAL$1:$AAM$1)</f>
        <v>#N/A</v>
      </c>
      <c r="BG45" s="33" t="e">
        <f>INDEX(Data!$AAL$2:$AAM$15,BE45,BF45)</f>
        <v>#N/A</v>
      </c>
      <c r="BH45" s="33" t="b">
        <f>IF(O45=Data!$ABF$1,Data!$ABD$1,IF(O45=Data!$ABF$2,Data!$ABE$1))</f>
        <v>0</v>
      </c>
      <c r="BI45" s="33" t="e">
        <f>VLOOKUP(H45,Data!$ABL$2:$ABM$8,2,FALSE)</f>
        <v>#N/A</v>
      </c>
      <c r="BJ45" s="172" t="e">
        <f>VLOOKUP(H45,Data!$ABW$2:$ABX$9,2,FALSE)</f>
        <v>#N/A</v>
      </c>
      <c r="BK45" s="172" t="e">
        <f>VLOOKUP(H45,Data!$ABW$2:$ABY$8,3,FALSE)</f>
        <v>#N/A</v>
      </c>
      <c r="BL45" s="172" t="str">
        <f t="shared" si="9"/>
        <v/>
      </c>
      <c r="BM45" s="172" t="str">
        <f t="shared" si="10"/>
        <v/>
      </c>
      <c r="BN45" s="172" t="str">
        <f t="shared" si="4"/>
        <v/>
      </c>
      <c r="BO45" s="33" t="e">
        <f t="shared" si="5"/>
        <v>#DIV/0!</v>
      </c>
      <c r="BP45" s="33" t="e">
        <f t="shared" si="6"/>
        <v>#DIV/0!</v>
      </c>
      <c r="BQ45" s="33" t="e">
        <f t="shared" si="7"/>
        <v>#DIV/0!</v>
      </c>
      <c r="BR45" s="33" t="str">
        <f t="shared" si="8"/>
        <v/>
      </c>
    </row>
    <row r="46" spans="1:70" ht="30" customHeight="1" thickTop="1" thickBot="1">
      <c r="A46" s="52">
        <v>39</v>
      </c>
      <c r="B46" s="13"/>
      <c r="C46" s="13"/>
      <c r="D46" s="19"/>
      <c r="E46" s="15"/>
      <c r="F46" s="14"/>
      <c r="G46" s="14"/>
      <c r="H46" s="14"/>
      <c r="I46" s="13"/>
      <c r="J46" s="14"/>
      <c r="K46" s="14"/>
      <c r="L46" s="563"/>
      <c r="M46" s="564"/>
      <c r="N46" s="15"/>
      <c r="O46" s="15"/>
      <c r="P46" s="15"/>
      <c r="Q46" s="13"/>
      <c r="R46" s="13"/>
      <c r="S46" s="13"/>
      <c r="T46" s="699"/>
      <c r="U46" s="700"/>
      <c r="V46" s="229"/>
      <c r="W46" s="230"/>
      <c r="X46" s="269" t="e">
        <f t="shared" si="2"/>
        <v>#N/A</v>
      </c>
      <c r="Y46" s="269" t="e">
        <f>VLOOKUP(Q46,Data!$QH$2:$QI$4,2,FALSE)</f>
        <v>#N/A</v>
      </c>
      <c r="AA46" s="269" t="e">
        <f t="shared" si="3"/>
        <v>#N/A</v>
      </c>
      <c r="AD46" s="172" t="e">
        <f>IF(#REF!=Data!$KK$2,Data!$KM$1,IF(#REF!=Data!$KK$3,Data!$KN$1,IF(#REF!=Data!$KK$4,Data!$KP$1,IF(#REF!=Data!$KK$5,Data!$KQ$1))))</f>
        <v>#REF!</v>
      </c>
      <c r="AE46" s="33" t="str">
        <f>IF(D46=Data!$W$10,Data!$QJ$1,Data!$QK$1)</f>
        <v>RollerControl</v>
      </c>
      <c r="AH46" s="33" t="b">
        <f>IF(Q46=Data!$PX$2,Data!$PZ$1,IF(Q46=Data!$PX$3,Data!$PY$1,IF(Q46=Data!$PX$4,Data!$QA$1)))</f>
        <v>0</v>
      </c>
      <c r="AJ46" s="33" t="b">
        <f>IF(Q46=Data!$PX$3,Data!$QB$1,IF(Q46=Data!$PX$2,Data!$QC$1,IF(Q46=Data!$PX$4,Data!$QD$1)))</f>
        <v>0</v>
      </c>
      <c r="AL46" s="33" t="str">
        <f>IF(D46=Data!$W$3,Data!$QF$1,IF(D46=Data!$W$4,Data!$QF$1,IF(D46=Data!$W$5,Data!$QF$1,IF(D46=Data!$W$6,Data!$QF$1,IF(D46=Data!$W$7,Data!$QF$1,IF(D46=Data!$W$8,Data!$QF$1,IF(D46=Data!$W$9,Data!$QF$1,IF(D46=Data!$W$10,Data!$QE$1,IF(D46=Data!$W$11,Data!$QF$1,IF(D46=Data!$W$12,Data!$QF$1,IF(D46=Data!$W$13,Data!$QF$1,IF(D46=Data!$W$14,Data!$QF$1,IF(D46=Data!$W$15,Data!$QF$1,IF(D46=Data!$W$16,Data!$QF$1))))))))))))))</f>
        <v>RollerBracketType2</v>
      </c>
      <c r="AV46" s="40" t="e">
        <f>IF(AND(G46&lt;2130, OR(#REF!&lt;2100)),Data!$KS$1,Data!$KT$1)</f>
        <v>#REF!</v>
      </c>
      <c r="AW46" s="172" t="e">
        <f>MATCH(#REF!,Data!$LA$1:$LD$1,0)</f>
        <v>#REF!</v>
      </c>
      <c r="AX46" s="172" t="e">
        <f>MATCH('Panel Glide Blinds'!AV46,Data!$KZ$2:$KZ$3,0)</f>
        <v>#REF!</v>
      </c>
      <c r="AY46" s="172" t="e">
        <f>INDEX(Data!$LA$2:$LD$3,'Panel Glide Blinds'!AX46,'Panel Glide Blinds'!AW46)</f>
        <v>#REF!</v>
      </c>
      <c r="BB46" s="172" t="e">
        <f>IF(#REF!=Data!$QK$2,Data!$QL$1,IF(#REF!=Data!$QK$3,Data!$QM$1,IF(#REF!=Data!$QK$4,Data!$QN$1,IF(#REF!=Data!$QK$5,Data!$QO$1,IF(#REF!=Data!$QK$6,Data!$QP$1,IF(#REF!=Data!$QK$7,Data!$QQ$1,IF(#REF!=Data!$QK$8,Data!$QR$1,IF(#REF!=Data!$QK$9,Data!$QS$1,IF(#REF!=Data!$QK$10,Data!$QT$1,IF(#REF!=Data!$QK$11,Data!$QU$1))))))))))</f>
        <v>#REF!</v>
      </c>
      <c r="BC46" s="33" t="e">
        <f>IF(#REF!=Data!$QK$2,Data!$QL$17,IF(#REF!=Data!$QK$3,Data!$QM$17,IF(#REF!=Data!$QK$4,Data!$QN$17,IF(#REF!=Data!$QK$5,Data!$QO$17,IF(#REF!=Data!$QK$6,Data!$QP$17,IF(#REF!=Data!$QK$7,Data!$QQ$17,IF(#REF!=Data!$QK$8,Data!$QR$17,IF(#REF!=Data!$QK$9,Data!$QS$17,IF(#REF!=Data!$QK$10,Data!$QT$17,IF(#REF!=Data!$QK$11,Data!$QU$17))))))))))</f>
        <v>#REF!</v>
      </c>
      <c r="BD46" s="33" t="e">
        <f>IF(#REF!=Data!$PU$2,Data!$PW$1,IF(#REF!=Data!$PU$3,Data!$PW$1,IF(#REF!=Data!$PU$4,Data!$PV$1,IF(#REF!=Data!$PU$5,Data!$PV$1,))))</f>
        <v>#REF!</v>
      </c>
      <c r="BE46" s="33" t="e">
        <f>MATCH('Panel Glide Blinds'!D46,Data!$AAK$2:$AAK$15)</f>
        <v>#N/A</v>
      </c>
      <c r="BF46" s="33" t="e">
        <f>MATCH(O46,Data!$AAL$1:$AAM$1)</f>
        <v>#N/A</v>
      </c>
      <c r="BG46" s="33" t="e">
        <f>INDEX(Data!$AAL$2:$AAM$15,BE46,BF46)</f>
        <v>#N/A</v>
      </c>
      <c r="BH46" s="33" t="b">
        <f>IF(O46=Data!$ABF$1,Data!$ABD$1,IF(O46=Data!$ABF$2,Data!$ABE$1))</f>
        <v>0</v>
      </c>
      <c r="BI46" s="33" t="e">
        <f>VLOOKUP(H46,Data!$ABL$2:$ABM$8,2,FALSE)</f>
        <v>#N/A</v>
      </c>
      <c r="BJ46" s="172" t="e">
        <f>VLOOKUP(H46,Data!$ABW$2:$ABX$9,2,FALSE)</f>
        <v>#N/A</v>
      </c>
      <c r="BK46" s="172" t="e">
        <f>VLOOKUP(H46,Data!$ABW$2:$ABY$8,3,FALSE)</f>
        <v>#N/A</v>
      </c>
      <c r="BL46" s="172" t="str">
        <f t="shared" si="9"/>
        <v/>
      </c>
      <c r="BM46" s="172" t="str">
        <f t="shared" si="10"/>
        <v/>
      </c>
      <c r="BN46" s="172" t="str">
        <f t="shared" si="4"/>
        <v/>
      </c>
      <c r="BO46" s="33" t="e">
        <f t="shared" si="5"/>
        <v>#DIV/0!</v>
      </c>
      <c r="BP46" s="33" t="e">
        <f t="shared" si="6"/>
        <v>#DIV/0!</v>
      </c>
      <c r="BQ46" s="33" t="e">
        <f t="shared" si="7"/>
        <v>#DIV/0!</v>
      </c>
      <c r="BR46" s="33" t="str">
        <f t="shared" si="8"/>
        <v/>
      </c>
    </row>
    <row r="47" spans="1:70" ht="30" customHeight="1" thickTop="1" thickBot="1">
      <c r="A47" s="52">
        <v>40</v>
      </c>
      <c r="B47" s="13"/>
      <c r="C47" s="13"/>
      <c r="D47" s="19"/>
      <c r="E47" s="15"/>
      <c r="F47" s="14"/>
      <c r="G47" s="14"/>
      <c r="H47" s="14"/>
      <c r="I47" s="13"/>
      <c r="J47" s="14"/>
      <c r="K47" s="14"/>
      <c r="L47" s="563"/>
      <c r="M47" s="564"/>
      <c r="N47" s="15"/>
      <c r="O47" s="15"/>
      <c r="P47" s="15"/>
      <c r="Q47" s="13"/>
      <c r="R47" s="13"/>
      <c r="S47" s="13"/>
      <c r="T47" s="699"/>
      <c r="U47" s="700"/>
      <c r="V47" s="229"/>
      <c r="W47" s="230"/>
      <c r="X47" s="269" t="e">
        <f t="shared" si="2"/>
        <v>#N/A</v>
      </c>
      <c r="Y47" s="269" t="e">
        <f>VLOOKUP(Q47,Data!$QH$2:$QI$4,2,FALSE)</f>
        <v>#N/A</v>
      </c>
      <c r="AA47" s="269" t="e">
        <f t="shared" si="3"/>
        <v>#N/A</v>
      </c>
      <c r="AD47" s="172" t="e">
        <f>IF(#REF!=Data!$KK$2,Data!$KM$1,IF(#REF!=Data!$KK$3,Data!$KN$1,IF(#REF!=Data!$KK$4,Data!$KP$1,IF(#REF!=Data!$KK$5,Data!$KQ$1))))</f>
        <v>#REF!</v>
      </c>
      <c r="AE47" s="33" t="str">
        <f>IF(D47=Data!$W$10,Data!$QJ$1,Data!$QK$1)</f>
        <v>RollerControl</v>
      </c>
      <c r="AH47" s="33" t="b">
        <f>IF(Q47=Data!$PX$2,Data!$PZ$1,IF(Q47=Data!$PX$3,Data!$PY$1,IF(Q47=Data!$PX$4,Data!$QA$1)))</f>
        <v>0</v>
      </c>
      <c r="AJ47" s="33" t="b">
        <f>IF(Q47=Data!$PX$3,Data!$QB$1,IF(Q47=Data!$PX$2,Data!$QC$1,IF(Q47=Data!$PX$4,Data!$QD$1)))</f>
        <v>0</v>
      </c>
      <c r="AL47" s="33" t="str">
        <f>IF(D47=Data!$W$3,Data!$QF$1,IF(D47=Data!$W$4,Data!$QF$1,IF(D47=Data!$W$5,Data!$QF$1,IF(D47=Data!$W$6,Data!$QF$1,IF(D47=Data!$W$7,Data!$QF$1,IF(D47=Data!$W$8,Data!$QF$1,IF(D47=Data!$W$9,Data!$QF$1,IF(D47=Data!$W$10,Data!$QE$1,IF(D47=Data!$W$11,Data!$QF$1,IF(D47=Data!$W$12,Data!$QF$1,IF(D47=Data!$W$13,Data!$QF$1,IF(D47=Data!$W$14,Data!$QF$1,IF(D47=Data!$W$15,Data!$QF$1,IF(D47=Data!$W$16,Data!$QF$1))))))))))))))</f>
        <v>RollerBracketType2</v>
      </c>
      <c r="AV47" s="40" t="e">
        <f>IF(AND(G47&lt;2130, OR(#REF!&lt;2100)),Data!$KS$1,Data!$KT$1)</f>
        <v>#REF!</v>
      </c>
      <c r="AW47" s="172" t="e">
        <f>MATCH(#REF!,Data!$LA$1:$LD$1,0)</f>
        <v>#REF!</v>
      </c>
      <c r="AX47" s="172" t="e">
        <f>MATCH('Panel Glide Blinds'!AV47,Data!$KZ$2:$KZ$3,0)</f>
        <v>#REF!</v>
      </c>
      <c r="AY47" s="172" t="e">
        <f>INDEX(Data!$LA$2:$LD$3,'Panel Glide Blinds'!AX47,'Panel Glide Blinds'!AW47)</f>
        <v>#REF!</v>
      </c>
      <c r="BB47" s="172" t="e">
        <f>IF(#REF!=Data!$QK$2,Data!$QL$1,IF(#REF!=Data!$QK$3,Data!$QM$1,IF(#REF!=Data!$QK$4,Data!$QN$1,IF(#REF!=Data!$QK$5,Data!$QO$1,IF(#REF!=Data!$QK$6,Data!$QP$1,IF(#REF!=Data!$QK$7,Data!$QQ$1,IF(#REF!=Data!$QK$8,Data!$QR$1,IF(#REF!=Data!$QK$9,Data!$QS$1,IF(#REF!=Data!$QK$10,Data!$QT$1,IF(#REF!=Data!$QK$11,Data!$QU$1))))))))))</f>
        <v>#REF!</v>
      </c>
      <c r="BC47" s="33" t="e">
        <f>IF(#REF!=Data!$QK$2,Data!$QL$17,IF(#REF!=Data!$QK$3,Data!$QM$17,IF(#REF!=Data!$QK$4,Data!$QN$17,IF(#REF!=Data!$QK$5,Data!$QO$17,IF(#REF!=Data!$QK$6,Data!$QP$17,IF(#REF!=Data!$QK$7,Data!$QQ$17,IF(#REF!=Data!$QK$8,Data!$QR$17,IF(#REF!=Data!$QK$9,Data!$QS$17,IF(#REF!=Data!$QK$10,Data!$QT$17,IF(#REF!=Data!$QK$11,Data!$QU$17))))))))))</f>
        <v>#REF!</v>
      </c>
      <c r="BD47" s="33" t="e">
        <f>IF(#REF!=Data!$PU$2,Data!$PW$1,IF(#REF!=Data!$PU$3,Data!$PW$1,IF(#REF!=Data!$PU$4,Data!$PV$1,IF(#REF!=Data!$PU$5,Data!$PV$1,))))</f>
        <v>#REF!</v>
      </c>
      <c r="BE47" s="33" t="e">
        <f>MATCH('Panel Glide Blinds'!D47,Data!$AAK$2:$AAK$15)</f>
        <v>#N/A</v>
      </c>
      <c r="BF47" s="33" t="e">
        <f>MATCH(O47,Data!$AAL$1:$AAM$1)</f>
        <v>#N/A</v>
      </c>
      <c r="BG47" s="33" t="e">
        <f>INDEX(Data!$AAL$2:$AAM$15,BE47,BF47)</f>
        <v>#N/A</v>
      </c>
      <c r="BH47" s="33" t="b">
        <f>IF(O47=Data!$ABF$1,Data!$ABD$1,IF(O47=Data!$ABF$2,Data!$ABE$1))</f>
        <v>0</v>
      </c>
      <c r="BI47" s="33" t="e">
        <f>VLOOKUP(H47,Data!$ABL$2:$ABM$8,2,FALSE)</f>
        <v>#N/A</v>
      </c>
      <c r="BJ47" s="172" t="e">
        <f>VLOOKUP(H47,Data!$ABW$2:$ABX$9,2,FALSE)</f>
        <v>#N/A</v>
      </c>
      <c r="BK47" s="172" t="e">
        <f>VLOOKUP(H47,Data!$ABW$2:$ABY$8,3,FALSE)</f>
        <v>#N/A</v>
      </c>
      <c r="BL47" s="172" t="str">
        <f t="shared" si="9"/>
        <v/>
      </c>
      <c r="BM47" s="172" t="str">
        <f t="shared" si="10"/>
        <v/>
      </c>
      <c r="BN47" s="172" t="str">
        <f t="shared" si="4"/>
        <v/>
      </c>
      <c r="BO47" s="33" t="e">
        <f t="shared" si="5"/>
        <v>#DIV/0!</v>
      </c>
      <c r="BP47" s="33" t="e">
        <f t="shared" si="6"/>
        <v>#DIV/0!</v>
      </c>
      <c r="BQ47" s="33" t="e">
        <f t="shared" si="7"/>
        <v>#DIV/0!</v>
      </c>
      <c r="BR47" s="33" t="str">
        <f t="shared" si="8"/>
        <v/>
      </c>
    </row>
    <row r="48" spans="1:70" ht="30" customHeight="1" thickTop="1" thickBot="1">
      <c r="A48" s="52">
        <v>41</v>
      </c>
      <c r="B48" s="13"/>
      <c r="C48" s="13"/>
      <c r="D48" s="19"/>
      <c r="E48" s="15"/>
      <c r="F48" s="14"/>
      <c r="G48" s="14"/>
      <c r="H48" s="14"/>
      <c r="I48" s="13"/>
      <c r="J48" s="14"/>
      <c r="K48" s="14"/>
      <c r="L48" s="563"/>
      <c r="M48" s="564"/>
      <c r="N48" s="15"/>
      <c r="O48" s="15"/>
      <c r="P48" s="15"/>
      <c r="Q48" s="13"/>
      <c r="R48" s="13"/>
      <c r="S48" s="13"/>
      <c r="T48" s="699"/>
      <c r="U48" s="700"/>
      <c r="V48" s="229"/>
      <c r="W48" s="230"/>
      <c r="X48" s="269" t="e">
        <f t="shared" si="2"/>
        <v>#N/A</v>
      </c>
      <c r="Y48" s="269" t="e">
        <f>VLOOKUP(Q48,Data!$QH$2:$QI$4,2,FALSE)</f>
        <v>#N/A</v>
      </c>
      <c r="AA48" s="269" t="e">
        <f t="shared" si="3"/>
        <v>#N/A</v>
      </c>
      <c r="AD48" s="172" t="e">
        <f>IF(#REF!=Data!$KK$2,Data!$KM$1,IF(#REF!=Data!$KK$3,Data!$KN$1,IF(#REF!=Data!$KK$4,Data!$KP$1,IF(#REF!=Data!$KK$5,Data!$KQ$1))))</f>
        <v>#REF!</v>
      </c>
      <c r="AE48" s="33" t="str">
        <f>IF(D48=Data!$W$10,Data!$QJ$1,Data!$QK$1)</f>
        <v>RollerControl</v>
      </c>
      <c r="AH48" s="33" t="b">
        <f>IF(Q48=Data!$PX$2,Data!$PZ$1,IF(Q48=Data!$PX$3,Data!$PY$1,IF(Q48=Data!$PX$4,Data!$QA$1)))</f>
        <v>0</v>
      </c>
      <c r="AJ48" s="33" t="b">
        <f>IF(Q48=Data!$PX$3,Data!$QB$1,IF(Q48=Data!$PX$2,Data!$QC$1,IF(Q48=Data!$PX$4,Data!$QD$1)))</f>
        <v>0</v>
      </c>
      <c r="AL48" s="33" t="str">
        <f>IF(D48=Data!$W$3,Data!$QF$1,IF(D48=Data!$W$4,Data!$QF$1,IF(D48=Data!$W$5,Data!$QF$1,IF(D48=Data!$W$6,Data!$QF$1,IF(D48=Data!$W$7,Data!$QF$1,IF(D48=Data!$W$8,Data!$QF$1,IF(D48=Data!$W$9,Data!$QF$1,IF(D48=Data!$W$10,Data!$QE$1,IF(D48=Data!$W$11,Data!$QF$1,IF(D48=Data!$W$12,Data!$QF$1,IF(D48=Data!$W$13,Data!$QF$1,IF(D48=Data!$W$14,Data!$QF$1,IF(D48=Data!$W$15,Data!$QF$1,IF(D48=Data!$W$16,Data!$QF$1))))))))))))))</f>
        <v>RollerBracketType2</v>
      </c>
      <c r="AV48" s="40" t="e">
        <f>IF(AND(G48&lt;2130, OR(#REF!&lt;2100)),Data!$KS$1,Data!$KT$1)</f>
        <v>#REF!</v>
      </c>
      <c r="AW48" s="172" t="e">
        <f>MATCH(#REF!,Data!$LA$1:$LD$1,0)</f>
        <v>#REF!</v>
      </c>
      <c r="AX48" s="172" t="e">
        <f>MATCH('Panel Glide Blinds'!AV48,Data!$KZ$2:$KZ$3,0)</f>
        <v>#REF!</v>
      </c>
      <c r="AY48" s="172" t="e">
        <f>INDEX(Data!$LA$2:$LD$3,'Panel Glide Blinds'!AX48,'Panel Glide Blinds'!AW48)</f>
        <v>#REF!</v>
      </c>
      <c r="BB48" s="172" t="e">
        <f>IF(#REF!=Data!$QK$2,Data!$QL$1,IF(#REF!=Data!$QK$3,Data!$QM$1,IF(#REF!=Data!$QK$4,Data!$QN$1,IF(#REF!=Data!$QK$5,Data!$QO$1,IF(#REF!=Data!$QK$6,Data!$QP$1,IF(#REF!=Data!$QK$7,Data!$QQ$1,IF(#REF!=Data!$QK$8,Data!$QR$1,IF(#REF!=Data!$QK$9,Data!$QS$1,IF(#REF!=Data!$QK$10,Data!$QT$1,IF(#REF!=Data!$QK$11,Data!$QU$1))))))))))</f>
        <v>#REF!</v>
      </c>
      <c r="BC48" s="33" t="e">
        <f>IF(#REF!=Data!$QK$2,Data!$QL$17,IF(#REF!=Data!$QK$3,Data!$QM$17,IF(#REF!=Data!$QK$4,Data!$QN$17,IF(#REF!=Data!$QK$5,Data!$QO$17,IF(#REF!=Data!$QK$6,Data!$QP$17,IF(#REF!=Data!$QK$7,Data!$QQ$17,IF(#REF!=Data!$QK$8,Data!$QR$17,IF(#REF!=Data!$QK$9,Data!$QS$17,IF(#REF!=Data!$QK$10,Data!$QT$17,IF(#REF!=Data!$QK$11,Data!$QU$17))))))))))</f>
        <v>#REF!</v>
      </c>
      <c r="BD48" s="33" t="e">
        <f>IF(#REF!=Data!$PU$2,Data!$PW$1,IF(#REF!=Data!$PU$3,Data!$PW$1,IF(#REF!=Data!$PU$4,Data!$PV$1,IF(#REF!=Data!$PU$5,Data!$PV$1,))))</f>
        <v>#REF!</v>
      </c>
      <c r="BE48" s="33" t="e">
        <f>MATCH('Panel Glide Blinds'!D48,Data!$AAK$2:$AAK$15)</f>
        <v>#N/A</v>
      </c>
      <c r="BF48" s="33" t="e">
        <f>MATCH(O48,Data!$AAL$1:$AAM$1)</f>
        <v>#N/A</v>
      </c>
      <c r="BG48" s="33" t="e">
        <f>INDEX(Data!$AAL$2:$AAM$15,BE48,BF48)</f>
        <v>#N/A</v>
      </c>
      <c r="BH48" s="33" t="b">
        <f>IF(O48=Data!$ABF$1,Data!$ABD$1,IF(O48=Data!$ABF$2,Data!$ABE$1))</f>
        <v>0</v>
      </c>
      <c r="BI48" s="33" t="e">
        <f>VLOOKUP(H48,Data!$ABL$2:$ABM$8,2,FALSE)</f>
        <v>#N/A</v>
      </c>
      <c r="BJ48" s="172" t="e">
        <f>VLOOKUP(H48,Data!$ABW$2:$ABX$9,2,FALSE)</f>
        <v>#N/A</v>
      </c>
      <c r="BK48" s="172" t="e">
        <f>VLOOKUP(H48,Data!$ABW$2:$ABY$8,3,FALSE)</f>
        <v>#N/A</v>
      </c>
      <c r="BL48" s="172" t="str">
        <f t="shared" si="9"/>
        <v/>
      </c>
      <c r="BM48" s="172" t="str">
        <f t="shared" si="10"/>
        <v/>
      </c>
      <c r="BN48" s="172" t="str">
        <f t="shared" si="4"/>
        <v/>
      </c>
      <c r="BO48" s="33" t="e">
        <f t="shared" si="5"/>
        <v>#DIV/0!</v>
      </c>
      <c r="BP48" s="33" t="e">
        <f t="shared" si="6"/>
        <v>#DIV/0!</v>
      </c>
      <c r="BQ48" s="33" t="e">
        <f t="shared" si="7"/>
        <v>#DIV/0!</v>
      </c>
      <c r="BR48" s="33" t="str">
        <f t="shared" si="8"/>
        <v/>
      </c>
    </row>
    <row r="49" spans="1:70" ht="30" customHeight="1" thickTop="1" thickBot="1">
      <c r="A49" s="52">
        <v>42</v>
      </c>
      <c r="B49" s="13"/>
      <c r="C49" s="13"/>
      <c r="D49" s="19"/>
      <c r="E49" s="15"/>
      <c r="F49" s="14"/>
      <c r="G49" s="14"/>
      <c r="H49" s="14"/>
      <c r="I49" s="13"/>
      <c r="J49" s="14"/>
      <c r="K49" s="14"/>
      <c r="L49" s="563"/>
      <c r="M49" s="564"/>
      <c r="N49" s="15"/>
      <c r="O49" s="15"/>
      <c r="P49" s="15"/>
      <c r="Q49" s="13"/>
      <c r="R49" s="13"/>
      <c r="S49" s="13"/>
      <c r="T49" s="699"/>
      <c r="U49" s="700"/>
      <c r="V49" s="229"/>
      <c r="W49" s="230"/>
      <c r="X49" s="269" t="e">
        <f t="shared" si="2"/>
        <v>#N/A</v>
      </c>
      <c r="Y49" s="269" t="e">
        <f>VLOOKUP(Q49,Data!$QH$2:$QI$4,2,FALSE)</f>
        <v>#N/A</v>
      </c>
      <c r="AA49" s="269" t="e">
        <f t="shared" si="3"/>
        <v>#N/A</v>
      </c>
      <c r="AD49" s="172" t="e">
        <f>IF(#REF!=Data!$KK$2,Data!$KM$1,IF(#REF!=Data!$KK$3,Data!$KN$1,IF(#REF!=Data!$KK$4,Data!$KP$1,IF(#REF!=Data!$KK$5,Data!$KQ$1))))</f>
        <v>#REF!</v>
      </c>
      <c r="AE49" s="33" t="str">
        <f>IF(D49=Data!$W$10,Data!$QJ$1,Data!$QK$1)</f>
        <v>RollerControl</v>
      </c>
      <c r="AH49" s="33" t="b">
        <f>IF(Q49=Data!$PX$2,Data!$PZ$1,IF(Q49=Data!$PX$3,Data!$PY$1,IF(Q49=Data!$PX$4,Data!$QA$1)))</f>
        <v>0</v>
      </c>
      <c r="AJ49" s="33" t="b">
        <f>IF(Q49=Data!$PX$3,Data!$QB$1,IF(Q49=Data!$PX$2,Data!$QC$1,IF(Q49=Data!$PX$4,Data!$QD$1)))</f>
        <v>0</v>
      </c>
      <c r="AL49" s="33" t="str">
        <f>IF(D49=Data!$W$3,Data!$QF$1,IF(D49=Data!$W$4,Data!$QF$1,IF(D49=Data!$W$5,Data!$QF$1,IF(D49=Data!$W$6,Data!$QF$1,IF(D49=Data!$W$7,Data!$QF$1,IF(D49=Data!$W$8,Data!$QF$1,IF(D49=Data!$W$9,Data!$QF$1,IF(D49=Data!$W$10,Data!$QE$1,IF(D49=Data!$W$11,Data!$QF$1,IF(D49=Data!$W$12,Data!$QF$1,IF(D49=Data!$W$13,Data!$QF$1,IF(D49=Data!$W$14,Data!$QF$1,IF(D49=Data!$W$15,Data!$QF$1,IF(D49=Data!$W$16,Data!$QF$1))))))))))))))</f>
        <v>RollerBracketType2</v>
      </c>
      <c r="AV49" s="40" t="e">
        <f>IF(AND(G49&lt;2130, OR(#REF!&lt;2100)),Data!$KS$1,Data!$KT$1)</f>
        <v>#REF!</v>
      </c>
      <c r="AW49" s="172" t="e">
        <f>MATCH(#REF!,Data!$LA$1:$LD$1,0)</f>
        <v>#REF!</v>
      </c>
      <c r="AX49" s="172" t="e">
        <f>MATCH('Panel Glide Blinds'!AV49,Data!$KZ$2:$KZ$3,0)</f>
        <v>#REF!</v>
      </c>
      <c r="AY49" s="172" t="e">
        <f>INDEX(Data!$LA$2:$LD$3,'Panel Glide Blinds'!AX49,'Panel Glide Blinds'!AW49)</f>
        <v>#REF!</v>
      </c>
      <c r="BB49" s="172" t="e">
        <f>IF(#REF!=Data!$QK$2,Data!$QL$1,IF(#REF!=Data!$QK$3,Data!$QM$1,IF(#REF!=Data!$QK$4,Data!$QN$1,IF(#REF!=Data!$QK$5,Data!$QO$1,IF(#REF!=Data!$QK$6,Data!$QP$1,IF(#REF!=Data!$QK$7,Data!$QQ$1,IF(#REF!=Data!$QK$8,Data!$QR$1,IF(#REF!=Data!$QK$9,Data!$QS$1,IF(#REF!=Data!$QK$10,Data!$QT$1,IF(#REF!=Data!$QK$11,Data!$QU$1))))))))))</f>
        <v>#REF!</v>
      </c>
      <c r="BC49" s="33" t="e">
        <f>IF(#REF!=Data!$QK$2,Data!$QL$17,IF(#REF!=Data!$QK$3,Data!$QM$17,IF(#REF!=Data!$QK$4,Data!$QN$17,IF(#REF!=Data!$QK$5,Data!$QO$17,IF(#REF!=Data!$QK$6,Data!$QP$17,IF(#REF!=Data!$QK$7,Data!$QQ$17,IF(#REF!=Data!$QK$8,Data!$QR$17,IF(#REF!=Data!$QK$9,Data!$QS$17,IF(#REF!=Data!$QK$10,Data!$QT$17,IF(#REF!=Data!$QK$11,Data!$QU$17))))))))))</f>
        <v>#REF!</v>
      </c>
      <c r="BD49" s="33" t="e">
        <f>IF(#REF!=Data!$PU$2,Data!$PW$1,IF(#REF!=Data!$PU$3,Data!$PW$1,IF(#REF!=Data!$PU$4,Data!$PV$1,IF(#REF!=Data!$PU$5,Data!$PV$1,))))</f>
        <v>#REF!</v>
      </c>
      <c r="BE49" s="33" t="e">
        <f>MATCH('Panel Glide Blinds'!D49,Data!$AAK$2:$AAK$15)</f>
        <v>#N/A</v>
      </c>
      <c r="BF49" s="33" t="e">
        <f>MATCH(O49,Data!$AAL$1:$AAM$1)</f>
        <v>#N/A</v>
      </c>
      <c r="BG49" s="33" t="e">
        <f>INDEX(Data!$AAL$2:$AAM$15,BE49,BF49)</f>
        <v>#N/A</v>
      </c>
      <c r="BH49" s="33" t="b">
        <f>IF(O49=Data!$ABF$1,Data!$ABD$1,IF(O49=Data!$ABF$2,Data!$ABE$1))</f>
        <v>0</v>
      </c>
      <c r="BI49" s="33" t="e">
        <f>VLOOKUP(H49,Data!$ABL$2:$ABM$8,2,FALSE)</f>
        <v>#N/A</v>
      </c>
      <c r="BJ49" s="172" t="e">
        <f>VLOOKUP(H49,Data!$ABW$2:$ABX$9,2,FALSE)</f>
        <v>#N/A</v>
      </c>
      <c r="BK49" s="172" t="e">
        <f>VLOOKUP(H49,Data!$ABW$2:$ABY$8,3,FALSE)</f>
        <v>#N/A</v>
      </c>
      <c r="BL49" s="172" t="str">
        <f t="shared" si="9"/>
        <v/>
      </c>
      <c r="BM49" s="172" t="str">
        <f t="shared" si="10"/>
        <v/>
      </c>
      <c r="BN49" s="172" t="str">
        <f t="shared" si="4"/>
        <v/>
      </c>
      <c r="BO49" s="33" t="e">
        <f t="shared" si="5"/>
        <v>#DIV/0!</v>
      </c>
      <c r="BP49" s="33" t="e">
        <f t="shared" si="6"/>
        <v>#DIV/0!</v>
      </c>
      <c r="BQ49" s="33" t="e">
        <f t="shared" si="7"/>
        <v>#DIV/0!</v>
      </c>
      <c r="BR49" s="33" t="str">
        <f t="shared" si="8"/>
        <v/>
      </c>
    </row>
    <row r="50" spans="1:70" ht="30" customHeight="1" thickTop="1" thickBot="1">
      <c r="A50" s="52">
        <v>43</v>
      </c>
      <c r="B50" s="13"/>
      <c r="C50" s="13"/>
      <c r="D50" s="19"/>
      <c r="E50" s="15"/>
      <c r="F50" s="14"/>
      <c r="G50" s="14"/>
      <c r="H50" s="14"/>
      <c r="I50" s="13"/>
      <c r="J50" s="14"/>
      <c r="K50" s="14"/>
      <c r="L50" s="563"/>
      <c r="M50" s="564"/>
      <c r="N50" s="15"/>
      <c r="O50" s="15"/>
      <c r="P50" s="15"/>
      <c r="Q50" s="13"/>
      <c r="R50" s="13"/>
      <c r="S50" s="13"/>
      <c r="T50" s="699"/>
      <c r="U50" s="700"/>
      <c r="V50" s="229"/>
      <c r="W50" s="230"/>
      <c r="X50" s="269" t="e">
        <f t="shared" si="2"/>
        <v>#N/A</v>
      </c>
      <c r="Y50" s="269" t="e">
        <f>VLOOKUP(Q50,Data!$QH$2:$QI$4,2,FALSE)</f>
        <v>#N/A</v>
      </c>
      <c r="AA50" s="269" t="e">
        <f t="shared" si="3"/>
        <v>#N/A</v>
      </c>
      <c r="AD50" s="172" t="e">
        <f>IF(#REF!=Data!$KK$2,Data!$KM$1,IF(#REF!=Data!$KK$3,Data!$KN$1,IF(#REF!=Data!$KK$4,Data!$KP$1,IF(#REF!=Data!$KK$5,Data!$KQ$1))))</f>
        <v>#REF!</v>
      </c>
      <c r="AE50" s="33" t="str">
        <f>IF(D50=Data!$W$10,Data!$QJ$1,Data!$QK$1)</f>
        <v>RollerControl</v>
      </c>
      <c r="AH50" s="33" t="b">
        <f>IF(Q50=Data!$PX$2,Data!$PZ$1,IF(Q50=Data!$PX$3,Data!$PY$1,IF(Q50=Data!$PX$4,Data!$QA$1)))</f>
        <v>0</v>
      </c>
      <c r="AJ50" s="33" t="b">
        <f>IF(Q50=Data!$PX$3,Data!$QB$1,IF(Q50=Data!$PX$2,Data!$QC$1,IF(Q50=Data!$PX$4,Data!$QD$1)))</f>
        <v>0</v>
      </c>
      <c r="AL50" s="33" t="str">
        <f>IF(D50=Data!$W$3,Data!$QF$1,IF(D50=Data!$W$4,Data!$QF$1,IF(D50=Data!$W$5,Data!$QF$1,IF(D50=Data!$W$6,Data!$QF$1,IF(D50=Data!$W$7,Data!$QF$1,IF(D50=Data!$W$8,Data!$QF$1,IF(D50=Data!$W$9,Data!$QF$1,IF(D50=Data!$W$10,Data!$QE$1,IF(D50=Data!$W$11,Data!$QF$1,IF(D50=Data!$W$12,Data!$QF$1,IF(D50=Data!$W$13,Data!$QF$1,IF(D50=Data!$W$14,Data!$QF$1,IF(D50=Data!$W$15,Data!$QF$1,IF(D50=Data!$W$16,Data!$QF$1))))))))))))))</f>
        <v>RollerBracketType2</v>
      </c>
      <c r="AV50" s="40" t="e">
        <f>IF(AND(G50&lt;2130, OR(#REF!&lt;2100)),Data!$KS$1,Data!$KT$1)</f>
        <v>#REF!</v>
      </c>
      <c r="AW50" s="172" t="e">
        <f>MATCH(#REF!,Data!$LA$1:$LD$1,0)</f>
        <v>#REF!</v>
      </c>
      <c r="AX50" s="172" t="e">
        <f>MATCH('Panel Glide Blinds'!AV50,Data!$KZ$2:$KZ$3,0)</f>
        <v>#REF!</v>
      </c>
      <c r="AY50" s="172" t="e">
        <f>INDEX(Data!$LA$2:$LD$3,'Panel Glide Blinds'!AX50,'Panel Glide Blinds'!AW50)</f>
        <v>#REF!</v>
      </c>
      <c r="BB50" s="172" t="e">
        <f>IF(#REF!=Data!$QK$2,Data!$QL$1,IF(#REF!=Data!$QK$3,Data!$QM$1,IF(#REF!=Data!$QK$4,Data!$QN$1,IF(#REF!=Data!$QK$5,Data!$QO$1,IF(#REF!=Data!$QK$6,Data!$QP$1,IF(#REF!=Data!$QK$7,Data!$QQ$1,IF(#REF!=Data!$QK$8,Data!$QR$1,IF(#REF!=Data!$QK$9,Data!$QS$1,IF(#REF!=Data!$QK$10,Data!$QT$1,IF(#REF!=Data!$QK$11,Data!$QU$1))))))))))</f>
        <v>#REF!</v>
      </c>
      <c r="BC50" s="33" t="e">
        <f>IF(#REF!=Data!$QK$2,Data!$QL$17,IF(#REF!=Data!$QK$3,Data!$QM$17,IF(#REF!=Data!$QK$4,Data!$QN$17,IF(#REF!=Data!$QK$5,Data!$QO$17,IF(#REF!=Data!$QK$6,Data!$QP$17,IF(#REF!=Data!$QK$7,Data!$QQ$17,IF(#REF!=Data!$QK$8,Data!$QR$17,IF(#REF!=Data!$QK$9,Data!$QS$17,IF(#REF!=Data!$QK$10,Data!$QT$17,IF(#REF!=Data!$QK$11,Data!$QU$17))))))))))</f>
        <v>#REF!</v>
      </c>
      <c r="BD50" s="33" t="e">
        <f>IF(#REF!=Data!$PU$2,Data!$PW$1,IF(#REF!=Data!$PU$3,Data!$PW$1,IF(#REF!=Data!$PU$4,Data!$PV$1,IF(#REF!=Data!$PU$5,Data!$PV$1,))))</f>
        <v>#REF!</v>
      </c>
      <c r="BE50" s="33" t="e">
        <f>MATCH('Panel Glide Blinds'!D50,Data!$AAK$2:$AAK$15)</f>
        <v>#N/A</v>
      </c>
      <c r="BF50" s="33" t="e">
        <f>MATCH(O50,Data!$AAL$1:$AAM$1)</f>
        <v>#N/A</v>
      </c>
      <c r="BG50" s="33" t="e">
        <f>INDEX(Data!$AAL$2:$AAM$15,BE50,BF50)</f>
        <v>#N/A</v>
      </c>
      <c r="BH50" s="33" t="b">
        <f>IF(O50=Data!$ABF$1,Data!$ABD$1,IF(O50=Data!$ABF$2,Data!$ABE$1))</f>
        <v>0</v>
      </c>
      <c r="BI50" s="33" t="e">
        <f>VLOOKUP(H50,Data!$ABL$2:$ABM$8,2,FALSE)</f>
        <v>#N/A</v>
      </c>
      <c r="BJ50" s="172" t="e">
        <f>VLOOKUP(H50,Data!$ABW$2:$ABX$9,2,FALSE)</f>
        <v>#N/A</v>
      </c>
      <c r="BK50" s="172" t="e">
        <f>VLOOKUP(H50,Data!$ABW$2:$ABY$8,3,FALSE)</f>
        <v>#N/A</v>
      </c>
      <c r="BL50" s="172" t="str">
        <f t="shared" si="9"/>
        <v/>
      </c>
      <c r="BM50" s="172" t="str">
        <f t="shared" si="10"/>
        <v/>
      </c>
      <c r="BN50" s="172" t="str">
        <f t="shared" si="4"/>
        <v/>
      </c>
      <c r="BO50" s="33" t="e">
        <f t="shared" si="5"/>
        <v>#DIV/0!</v>
      </c>
      <c r="BP50" s="33" t="e">
        <f t="shared" si="6"/>
        <v>#DIV/0!</v>
      </c>
      <c r="BQ50" s="33" t="e">
        <f t="shared" si="7"/>
        <v>#DIV/0!</v>
      </c>
      <c r="BR50" s="33" t="str">
        <f t="shared" si="8"/>
        <v/>
      </c>
    </row>
    <row r="51" spans="1:70" ht="30" customHeight="1" thickTop="1" thickBot="1">
      <c r="A51" s="52">
        <v>44</v>
      </c>
      <c r="B51" s="13"/>
      <c r="C51" s="13"/>
      <c r="D51" s="19"/>
      <c r="E51" s="15"/>
      <c r="F51" s="14"/>
      <c r="G51" s="14"/>
      <c r="H51" s="14"/>
      <c r="I51" s="13"/>
      <c r="J51" s="14"/>
      <c r="K51" s="14"/>
      <c r="L51" s="563"/>
      <c r="M51" s="564"/>
      <c r="N51" s="15"/>
      <c r="O51" s="15"/>
      <c r="P51" s="15"/>
      <c r="Q51" s="13"/>
      <c r="R51" s="13"/>
      <c r="S51" s="13"/>
      <c r="T51" s="699"/>
      <c r="U51" s="700"/>
      <c r="V51" s="229"/>
      <c r="W51" s="230"/>
      <c r="X51" s="269" t="e">
        <f t="shared" si="2"/>
        <v>#N/A</v>
      </c>
      <c r="Y51" s="269" t="e">
        <f>VLOOKUP(Q51,Data!$QH$2:$QI$4,2,FALSE)</f>
        <v>#N/A</v>
      </c>
      <c r="AA51" s="269" t="e">
        <f t="shared" si="3"/>
        <v>#N/A</v>
      </c>
      <c r="AD51" s="172" t="e">
        <f>IF(#REF!=Data!$KK$2,Data!$KM$1,IF(#REF!=Data!$KK$3,Data!$KN$1,IF(#REF!=Data!$KK$4,Data!$KP$1,IF(#REF!=Data!$KK$5,Data!$KQ$1))))</f>
        <v>#REF!</v>
      </c>
      <c r="AE51" s="33" t="str">
        <f>IF(D51=Data!$W$10,Data!$QJ$1,Data!$QK$1)</f>
        <v>RollerControl</v>
      </c>
      <c r="AH51" s="33" t="b">
        <f>IF(Q51=Data!$PX$2,Data!$PZ$1,IF(Q51=Data!$PX$3,Data!$PY$1,IF(Q51=Data!$PX$4,Data!$QA$1)))</f>
        <v>0</v>
      </c>
      <c r="AJ51" s="33" t="b">
        <f>IF(Q51=Data!$PX$3,Data!$QB$1,IF(Q51=Data!$PX$2,Data!$QC$1,IF(Q51=Data!$PX$4,Data!$QD$1)))</f>
        <v>0</v>
      </c>
      <c r="AL51" s="33" t="str">
        <f>IF(D51=Data!$W$3,Data!$QF$1,IF(D51=Data!$W$4,Data!$QF$1,IF(D51=Data!$W$5,Data!$QF$1,IF(D51=Data!$W$6,Data!$QF$1,IF(D51=Data!$W$7,Data!$QF$1,IF(D51=Data!$W$8,Data!$QF$1,IF(D51=Data!$W$9,Data!$QF$1,IF(D51=Data!$W$10,Data!$QE$1,IF(D51=Data!$W$11,Data!$QF$1,IF(D51=Data!$W$12,Data!$QF$1,IF(D51=Data!$W$13,Data!$QF$1,IF(D51=Data!$W$14,Data!$QF$1,IF(D51=Data!$W$15,Data!$QF$1,IF(D51=Data!$W$16,Data!$QF$1))))))))))))))</f>
        <v>RollerBracketType2</v>
      </c>
      <c r="AV51" s="40" t="e">
        <f>IF(AND(G51&lt;2130, OR(#REF!&lt;2100)),Data!$KS$1,Data!$KT$1)</f>
        <v>#REF!</v>
      </c>
      <c r="AW51" s="172" t="e">
        <f>MATCH(#REF!,Data!$LA$1:$LD$1,0)</f>
        <v>#REF!</v>
      </c>
      <c r="AX51" s="172" t="e">
        <f>MATCH('Panel Glide Blinds'!AV51,Data!$KZ$2:$KZ$3,0)</f>
        <v>#REF!</v>
      </c>
      <c r="AY51" s="172" t="e">
        <f>INDEX(Data!$LA$2:$LD$3,'Panel Glide Blinds'!AX51,'Panel Glide Blinds'!AW51)</f>
        <v>#REF!</v>
      </c>
      <c r="BB51" s="172" t="e">
        <f>IF(#REF!=Data!$QK$2,Data!$QL$1,IF(#REF!=Data!$QK$3,Data!$QM$1,IF(#REF!=Data!$QK$4,Data!$QN$1,IF(#REF!=Data!$QK$5,Data!$QO$1,IF(#REF!=Data!$QK$6,Data!$QP$1,IF(#REF!=Data!$QK$7,Data!$QQ$1,IF(#REF!=Data!$QK$8,Data!$QR$1,IF(#REF!=Data!$QK$9,Data!$QS$1,IF(#REF!=Data!$QK$10,Data!$QT$1,IF(#REF!=Data!$QK$11,Data!$QU$1))))))))))</f>
        <v>#REF!</v>
      </c>
      <c r="BC51" s="33" t="e">
        <f>IF(#REF!=Data!$QK$2,Data!$QL$17,IF(#REF!=Data!$QK$3,Data!$QM$17,IF(#REF!=Data!$QK$4,Data!$QN$17,IF(#REF!=Data!$QK$5,Data!$QO$17,IF(#REF!=Data!$QK$6,Data!$QP$17,IF(#REF!=Data!$QK$7,Data!$QQ$17,IF(#REF!=Data!$QK$8,Data!$QR$17,IF(#REF!=Data!$QK$9,Data!$QS$17,IF(#REF!=Data!$QK$10,Data!$QT$17,IF(#REF!=Data!$QK$11,Data!$QU$17))))))))))</f>
        <v>#REF!</v>
      </c>
      <c r="BD51" s="33" t="e">
        <f>IF(#REF!=Data!$PU$2,Data!$PW$1,IF(#REF!=Data!$PU$3,Data!$PW$1,IF(#REF!=Data!$PU$4,Data!$PV$1,IF(#REF!=Data!$PU$5,Data!$PV$1,))))</f>
        <v>#REF!</v>
      </c>
      <c r="BE51" s="33" t="e">
        <f>MATCH('Panel Glide Blinds'!D51,Data!$AAK$2:$AAK$15)</f>
        <v>#N/A</v>
      </c>
      <c r="BF51" s="33" t="e">
        <f>MATCH(O51,Data!$AAL$1:$AAM$1)</f>
        <v>#N/A</v>
      </c>
      <c r="BG51" s="33" t="e">
        <f>INDEX(Data!$AAL$2:$AAM$15,BE51,BF51)</f>
        <v>#N/A</v>
      </c>
      <c r="BH51" s="33" t="b">
        <f>IF(O51=Data!$ABF$1,Data!$ABD$1,IF(O51=Data!$ABF$2,Data!$ABE$1))</f>
        <v>0</v>
      </c>
      <c r="BI51" s="33" t="e">
        <f>VLOOKUP(H51,Data!$ABL$2:$ABM$8,2,FALSE)</f>
        <v>#N/A</v>
      </c>
      <c r="BJ51" s="172" t="e">
        <f>VLOOKUP(H51,Data!$ABW$2:$ABX$9,2,FALSE)</f>
        <v>#N/A</v>
      </c>
      <c r="BK51" s="172" t="e">
        <f>VLOOKUP(H51,Data!$ABW$2:$ABY$8,3,FALSE)</f>
        <v>#N/A</v>
      </c>
      <c r="BL51" s="172" t="str">
        <f t="shared" si="9"/>
        <v/>
      </c>
      <c r="BM51" s="172" t="str">
        <f t="shared" si="10"/>
        <v/>
      </c>
      <c r="BN51" s="172" t="str">
        <f t="shared" si="4"/>
        <v/>
      </c>
      <c r="BO51" s="33" t="e">
        <f t="shared" si="5"/>
        <v>#DIV/0!</v>
      </c>
      <c r="BP51" s="33" t="e">
        <f t="shared" si="6"/>
        <v>#DIV/0!</v>
      </c>
      <c r="BQ51" s="33" t="e">
        <f t="shared" si="7"/>
        <v>#DIV/0!</v>
      </c>
      <c r="BR51" s="33" t="str">
        <f t="shared" si="8"/>
        <v/>
      </c>
    </row>
    <row r="52" spans="1:70" ht="30" customHeight="1" thickTop="1" thickBot="1">
      <c r="A52" s="52">
        <v>45</v>
      </c>
      <c r="B52" s="13"/>
      <c r="C52" s="13"/>
      <c r="D52" s="19"/>
      <c r="E52" s="15"/>
      <c r="F52" s="14"/>
      <c r="G52" s="14"/>
      <c r="H52" s="14"/>
      <c r="I52" s="13"/>
      <c r="J52" s="14"/>
      <c r="K52" s="14"/>
      <c r="L52" s="563"/>
      <c r="M52" s="564"/>
      <c r="N52" s="15"/>
      <c r="O52" s="15"/>
      <c r="P52" s="15"/>
      <c r="Q52" s="13"/>
      <c r="R52" s="13"/>
      <c r="S52" s="13"/>
      <c r="T52" s="699"/>
      <c r="U52" s="700"/>
      <c r="V52" s="229"/>
      <c r="W52" s="230"/>
      <c r="X52" s="269" t="e">
        <f t="shared" si="2"/>
        <v>#N/A</v>
      </c>
      <c r="Y52" s="269" t="e">
        <f>VLOOKUP(Q52,Data!$QH$2:$QI$4,2,FALSE)</f>
        <v>#N/A</v>
      </c>
      <c r="AA52" s="269" t="e">
        <f t="shared" si="3"/>
        <v>#N/A</v>
      </c>
      <c r="AD52" s="172" t="e">
        <f>IF(#REF!=Data!$KK$2,Data!$KM$1,IF(#REF!=Data!$KK$3,Data!$KN$1,IF(#REF!=Data!$KK$4,Data!$KP$1,IF(#REF!=Data!$KK$5,Data!$KQ$1))))</f>
        <v>#REF!</v>
      </c>
      <c r="AE52" s="33" t="str">
        <f>IF(D52=Data!$W$10,Data!$QJ$1,Data!$QK$1)</f>
        <v>RollerControl</v>
      </c>
      <c r="AH52" s="33" t="b">
        <f>IF(Q52=Data!$PX$2,Data!$PZ$1,IF(Q52=Data!$PX$3,Data!$PY$1,IF(Q52=Data!$PX$4,Data!$QA$1)))</f>
        <v>0</v>
      </c>
      <c r="AJ52" s="33" t="b">
        <f>IF(Q52=Data!$PX$3,Data!$QB$1,IF(Q52=Data!$PX$2,Data!$QC$1,IF(Q52=Data!$PX$4,Data!$QD$1)))</f>
        <v>0</v>
      </c>
      <c r="AL52" s="33" t="str">
        <f>IF(D52=Data!$W$3,Data!$QF$1,IF(D52=Data!$W$4,Data!$QF$1,IF(D52=Data!$W$5,Data!$QF$1,IF(D52=Data!$W$6,Data!$QF$1,IF(D52=Data!$W$7,Data!$QF$1,IF(D52=Data!$W$8,Data!$QF$1,IF(D52=Data!$W$9,Data!$QF$1,IF(D52=Data!$W$10,Data!$QE$1,IF(D52=Data!$W$11,Data!$QF$1,IF(D52=Data!$W$12,Data!$QF$1,IF(D52=Data!$W$13,Data!$QF$1,IF(D52=Data!$W$14,Data!$QF$1,IF(D52=Data!$W$15,Data!$QF$1,IF(D52=Data!$W$16,Data!$QF$1))))))))))))))</f>
        <v>RollerBracketType2</v>
      </c>
      <c r="AV52" s="40" t="e">
        <f>IF(AND(G52&lt;2130, OR(#REF!&lt;2100)),Data!$KS$1,Data!$KT$1)</f>
        <v>#REF!</v>
      </c>
      <c r="AW52" s="172" t="e">
        <f>MATCH(#REF!,Data!$LA$1:$LD$1,0)</f>
        <v>#REF!</v>
      </c>
      <c r="AX52" s="172" t="e">
        <f>MATCH('Panel Glide Blinds'!AV52,Data!$KZ$2:$KZ$3,0)</f>
        <v>#REF!</v>
      </c>
      <c r="AY52" s="172" t="e">
        <f>INDEX(Data!$LA$2:$LD$3,'Panel Glide Blinds'!AX52,'Panel Glide Blinds'!AW52)</f>
        <v>#REF!</v>
      </c>
      <c r="BB52" s="172" t="e">
        <f>IF(#REF!=Data!$QK$2,Data!$QL$1,IF(#REF!=Data!$QK$3,Data!$QM$1,IF(#REF!=Data!$QK$4,Data!$QN$1,IF(#REF!=Data!$QK$5,Data!$QO$1,IF(#REF!=Data!$QK$6,Data!$QP$1,IF(#REF!=Data!$QK$7,Data!$QQ$1,IF(#REF!=Data!$QK$8,Data!$QR$1,IF(#REF!=Data!$QK$9,Data!$QS$1,IF(#REF!=Data!$QK$10,Data!$QT$1,IF(#REF!=Data!$QK$11,Data!$QU$1))))))))))</f>
        <v>#REF!</v>
      </c>
      <c r="BC52" s="33" t="e">
        <f>IF(#REF!=Data!$QK$2,Data!$QL$17,IF(#REF!=Data!$QK$3,Data!$QM$17,IF(#REF!=Data!$QK$4,Data!$QN$17,IF(#REF!=Data!$QK$5,Data!$QO$17,IF(#REF!=Data!$QK$6,Data!$QP$17,IF(#REF!=Data!$QK$7,Data!$QQ$17,IF(#REF!=Data!$QK$8,Data!$QR$17,IF(#REF!=Data!$QK$9,Data!$QS$17,IF(#REF!=Data!$QK$10,Data!$QT$17,IF(#REF!=Data!$QK$11,Data!$QU$17))))))))))</f>
        <v>#REF!</v>
      </c>
      <c r="BD52" s="33" t="e">
        <f>IF(#REF!=Data!$PU$2,Data!$PW$1,IF(#REF!=Data!$PU$3,Data!$PW$1,IF(#REF!=Data!$PU$4,Data!$PV$1,IF(#REF!=Data!$PU$5,Data!$PV$1,))))</f>
        <v>#REF!</v>
      </c>
      <c r="BE52" s="33" t="e">
        <f>MATCH('Panel Glide Blinds'!D52,Data!$AAK$2:$AAK$15)</f>
        <v>#N/A</v>
      </c>
      <c r="BF52" s="33" t="e">
        <f>MATCH(O52,Data!$AAL$1:$AAM$1)</f>
        <v>#N/A</v>
      </c>
      <c r="BG52" s="33" t="e">
        <f>INDEX(Data!$AAL$2:$AAM$15,BE52,BF52)</f>
        <v>#N/A</v>
      </c>
      <c r="BH52" s="33" t="b">
        <f>IF(O52=Data!$ABF$1,Data!$ABD$1,IF(O52=Data!$ABF$2,Data!$ABE$1))</f>
        <v>0</v>
      </c>
      <c r="BI52" s="33" t="e">
        <f>VLOOKUP(H52,Data!$ABL$2:$ABM$8,2,FALSE)</f>
        <v>#N/A</v>
      </c>
      <c r="BJ52" s="172" t="e">
        <f>VLOOKUP(H52,Data!$ABW$2:$ABX$9,2,FALSE)</f>
        <v>#N/A</v>
      </c>
      <c r="BK52" s="172" t="e">
        <f>VLOOKUP(H52,Data!$ABW$2:$ABY$8,3,FALSE)</f>
        <v>#N/A</v>
      </c>
      <c r="BL52" s="172" t="str">
        <f t="shared" si="9"/>
        <v/>
      </c>
      <c r="BM52" s="172" t="str">
        <f t="shared" si="10"/>
        <v/>
      </c>
      <c r="BN52" s="172" t="str">
        <f t="shared" si="4"/>
        <v/>
      </c>
      <c r="BO52" s="33" t="e">
        <f t="shared" si="5"/>
        <v>#DIV/0!</v>
      </c>
      <c r="BP52" s="33" t="e">
        <f t="shared" si="6"/>
        <v>#DIV/0!</v>
      </c>
      <c r="BQ52" s="33" t="e">
        <f t="shared" si="7"/>
        <v>#DIV/0!</v>
      </c>
      <c r="BR52" s="33" t="str">
        <f t="shared" si="8"/>
        <v/>
      </c>
    </row>
    <row r="53" spans="1:70" ht="30" customHeight="1" thickTop="1" thickBot="1">
      <c r="A53" s="52">
        <v>46</v>
      </c>
      <c r="B53" s="13"/>
      <c r="C53" s="13"/>
      <c r="D53" s="19"/>
      <c r="E53" s="15"/>
      <c r="F53" s="14"/>
      <c r="G53" s="14"/>
      <c r="H53" s="14"/>
      <c r="I53" s="13"/>
      <c r="J53" s="14"/>
      <c r="K53" s="14"/>
      <c r="L53" s="563"/>
      <c r="M53" s="564"/>
      <c r="N53" s="15"/>
      <c r="O53" s="15"/>
      <c r="P53" s="15"/>
      <c r="Q53" s="13"/>
      <c r="R53" s="13"/>
      <c r="S53" s="13"/>
      <c r="T53" s="699"/>
      <c r="U53" s="700"/>
      <c r="V53" s="229"/>
      <c r="W53" s="230"/>
      <c r="X53" s="269" t="e">
        <f t="shared" si="2"/>
        <v>#N/A</v>
      </c>
      <c r="Y53" s="269" t="e">
        <f>VLOOKUP(Q53,Data!$QH$2:$QI$4,2,FALSE)</f>
        <v>#N/A</v>
      </c>
      <c r="AA53" s="269" t="e">
        <f t="shared" si="3"/>
        <v>#N/A</v>
      </c>
      <c r="AD53" s="172" t="e">
        <f>IF(#REF!=Data!$KK$2,Data!$KM$1,IF(#REF!=Data!$KK$3,Data!$KN$1,IF(#REF!=Data!$KK$4,Data!$KP$1,IF(#REF!=Data!$KK$5,Data!$KQ$1))))</f>
        <v>#REF!</v>
      </c>
      <c r="AE53" s="33" t="str">
        <f>IF(D53=Data!$W$10,Data!$QJ$1,Data!$QK$1)</f>
        <v>RollerControl</v>
      </c>
      <c r="AH53" s="33" t="b">
        <f>IF(Q53=Data!$PX$2,Data!$PZ$1,IF(Q53=Data!$PX$3,Data!$PY$1,IF(Q53=Data!$PX$4,Data!$QA$1)))</f>
        <v>0</v>
      </c>
      <c r="AJ53" s="33" t="b">
        <f>IF(Q53=Data!$PX$3,Data!$QB$1,IF(Q53=Data!$PX$2,Data!$QC$1,IF(Q53=Data!$PX$4,Data!$QD$1)))</f>
        <v>0</v>
      </c>
      <c r="AL53" s="33" t="str">
        <f>IF(D53=Data!$W$3,Data!$QF$1,IF(D53=Data!$W$4,Data!$QF$1,IF(D53=Data!$W$5,Data!$QF$1,IF(D53=Data!$W$6,Data!$QF$1,IF(D53=Data!$W$7,Data!$QF$1,IF(D53=Data!$W$8,Data!$QF$1,IF(D53=Data!$W$9,Data!$QF$1,IF(D53=Data!$W$10,Data!$QE$1,IF(D53=Data!$W$11,Data!$QF$1,IF(D53=Data!$W$12,Data!$QF$1,IF(D53=Data!$W$13,Data!$QF$1,IF(D53=Data!$W$14,Data!$QF$1,IF(D53=Data!$W$15,Data!$QF$1,IF(D53=Data!$W$16,Data!$QF$1))))))))))))))</f>
        <v>RollerBracketType2</v>
      </c>
      <c r="AV53" s="40" t="e">
        <f>IF(AND(G53&lt;2130, OR(#REF!&lt;2100)),Data!$KS$1,Data!$KT$1)</f>
        <v>#REF!</v>
      </c>
      <c r="AW53" s="172" t="e">
        <f>MATCH(#REF!,Data!$LA$1:$LD$1,0)</f>
        <v>#REF!</v>
      </c>
      <c r="AX53" s="172" t="e">
        <f>MATCH('Panel Glide Blinds'!AV53,Data!$KZ$2:$KZ$3,0)</f>
        <v>#REF!</v>
      </c>
      <c r="AY53" s="172" t="e">
        <f>INDEX(Data!$LA$2:$LD$3,'Panel Glide Blinds'!AX53,'Panel Glide Blinds'!AW53)</f>
        <v>#REF!</v>
      </c>
      <c r="BB53" s="172" t="e">
        <f>IF(#REF!=Data!$QK$2,Data!$QL$1,IF(#REF!=Data!$QK$3,Data!$QM$1,IF(#REF!=Data!$QK$4,Data!$QN$1,IF(#REF!=Data!$QK$5,Data!$QO$1,IF(#REF!=Data!$QK$6,Data!$QP$1,IF(#REF!=Data!$QK$7,Data!$QQ$1,IF(#REF!=Data!$QK$8,Data!$QR$1,IF(#REF!=Data!$QK$9,Data!$QS$1,IF(#REF!=Data!$QK$10,Data!$QT$1,IF(#REF!=Data!$QK$11,Data!$QU$1))))))))))</f>
        <v>#REF!</v>
      </c>
      <c r="BC53" s="33" t="e">
        <f>IF(#REF!=Data!$QK$2,Data!$QL$17,IF(#REF!=Data!$QK$3,Data!$QM$17,IF(#REF!=Data!$QK$4,Data!$QN$17,IF(#REF!=Data!$QK$5,Data!$QO$17,IF(#REF!=Data!$QK$6,Data!$QP$17,IF(#REF!=Data!$QK$7,Data!$QQ$17,IF(#REF!=Data!$QK$8,Data!$QR$17,IF(#REF!=Data!$QK$9,Data!$QS$17,IF(#REF!=Data!$QK$10,Data!$QT$17,IF(#REF!=Data!$QK$11,Data!$QU$17))))))))))</f>
        <v>#REF!</v>
      </c>
      <c r="BD53" s="33" t="e">
        <f>IF(#REF!=Data!$PU$2,Data!$PW$1,IF(#REF!=Data!$PU$3,Data!$PW$1,IF(#REF!=Data!$PU$4,Data!$PV$1,IF(#REF!=Data!$PU$5,Data!$PV$1,))))</f>
        <v>#REF!</v>
      </c>
      <c r="BE53" s="33" t="e">
        <f>MATCH('Panel Glide Blinds'!D53,Data!$AAK$2:$AAK$15)</f>
        <v>#N/A</v>
      </c>
      <c r="BF53" s="33" t="e">
        <f>MATCH(O53,Data!$AAL$1:$AAM$1)</f>
        <v>#N/A</v>
      </c>
      <c r="BG53" s="33" t="e">
        <f>INDEX(Data!$AAL$2:$AAM$15,BE53,BF53)</f>
        <v>#N/A</v>
      </c>
      <c r="BH53" s="33" t="b">
        <f>IF(O53=Data!$ABF$1,Data!$ABD$1,IF(O53=Data!$ABF$2,Data!$ABE$1))</f>
        <v>0</v>
      </c>
      <c r="BI53" s="33" t="e">
        <f>VLOOKUP(H53,Data!$ABL$2:$ABM$8,2,FALSE)</f>
        <v>#N/A</v>
      </c>
      <c r="BJ53" s="172" t="e">
        <f>VLOOKUP(H53,Data!$ABW$2:$ABX$9,2,FALSE)</f>
        <v>#N/A</v>
      </c>
      <c r="BK53" s="172" t="e">
        <f>VLOOKUP(H53,Data!$ABW$2:$ABY$8,3,FALSE)</f>
        <v>#N/A</v>
      </c>
      <c r="BL53" s="172" t="str">
        <f t="shared" si="9"/>
        <v/>
      </c>
      <c r="BM53" s="172" t="str">
        <f t="shared" si="10"/>
        <v/>
      </c>
      <c r="BN53" s="172" t="str">
        <f t="shared" si="4"/>
        <v/>
      </c>
      <c r="BO53" s="33" t="e">
        <f t="shared" si="5"/>
        <v>#DIV/0!</v>
      </c>
      <c r="BP53" s="33" t="e">
        <f t="shared" si="6"/>
        <v>#DIV/0!</v>
      </c>
      <c r="BQ53" s="33" t="e">
        <f t="shared" si="7"/>
        <v>#DIV/0!</v>
      </c>
      <c r="BR53" s="33" t="str">
        <f t="shared" si="8"/>
        <v/>
      </c>
    </row>
    <row r="54" spans="1:70" ht="30" customHeight="1" thickTop="1" thickBot="1">
      <c r="A54" s="52">
        <v>47</v>
      </c>
      <c r="B54" s="13"/>
      <c r="C54" s="13"/>
      <c r="D54" s="19"/>
      <c r="E54" s="15"/>
      <c r="F54" s="14"/>
      <c r="G54" s="14"/>
      <c r="H54" s="14"/>
      <c r="I54" s="13"/>
      <c r="J54" s="14"/>
      <c r="K54" s="14"/>
      <c r="L54" s="563"/>
      <c r="M54" s="564"/>
      <c r="N54" s="15"/>
      <c r="O54" s="15"/>
      <c r="P54" s="15"/>
      <c r="Q54" s="13"/>
      <c r="R54" s="13"/>
      <c r="S54" s="13"/>
      <c r="T54" s="699"/>
      <c r="U54" s="700"/>
      <c r="V54" s="229"/>
      <c r="W54" s="230"/>
      <c r="X54" s="269" t="e">
        <f t="shared" si="2"/>
        <v>#N/A</v>
      </c>
      <c r="Y54" s="269" t="e">
        <f>VLOOKUP(Q54,Data!$QH$2:$QI$4,2,FALSE)</f>
        <v>#N/A</v>
      </c>
      <c r="AA54" s="269" t="e">
        <f t="shared" si="3"/>
        <v>#N/A</v>
      </c>
      <c r="AD54" s="172" t="e">
        <f>IF(#REF!=Data!$KK$2,Data!$KM$1,IF(#REF!=Data!$KK$3,Data!$KN$1,IF(#REF!=Data!$KK$4,Data!$KP$1,IF(#REF!=Data!$KK$5,Data!$KQ$1))))</f>
        <v>#REF!</v>
      </c>
      <c r="AE54" s="33" t="str">
        <f>IF(D54=Data!$W$10,Data!$QJ$1,Data!$QK$1)</f>
        <v>RollerControl</v>
      </c>
      <c r="AH54" s="33" t="b">
        <f>IF(Q54=Data!$PX$2,Data!$PZ$1,IF(Q54=Data!$PX$3,Data!$PY$1,IF(Q54=Data!$PX$4,Data!$QA$1)))</f>
        <v>0</v>
      </c>
      <c r="AJ54" s="33" t="b">
        <f>IF(Q54=Data!$PX$3,Data!$QB$1,IF(Q54=Data!$PX$2,Data!$QC$1,IF(Q54=Data!$PX$4,Data!$QD$1)))</f>
        <v>0</v>
      </c>
      <c r="AL54" s="33" t="str">
        <f>IF(D54=Data!$W$3,Data!$QF$1,IF(D54=Data!$W$4,Data!$QF$1,IF(D54=Data!$W$5,Data!$QF$1,IF(D54=Data!$W$6,Data!$QF$1,IF(D54=Data!$W$7,Data!$QF$1,IF(D54=Data!$W$8,Data!$QF$1,IF(D54=Data!$W$9,Data!$QF$1,IF(D54=Data!$W$10,Data!$QE$1,IF(D54=Data!$W$11,Data!$QF$1,IF(D54=Data!$W$12,Data!$QF$1,IF(D54=Data!$W$13,Data!$QF$1,IF(D54=Data!$W$14,Data!$QF$1,IF(D54=Data!$W$15,Data!$QF$1,IF(D54=Data!$W$16,Data!$QF$1))))))))))))))</f>
        <v>RollerBracketType2</v>
      </c>
      <c r="AV54" s="40" t="e">
        <f>IF(AND(G54&lt;2130, OR(#REF!&lt;2100)),Data!$KS$1,Data!$KT$1)</f>
        <v>#REF!</v>
      </c>
      <c r="AW54" s="172" t="e">
        <f>MATCH(#REF!,Data!$LA$1:$LD$1,0)</f>
        <v>#REF!</v>
      </c>
      <c r="AX54" s="172" t="e">
        <f>MATCH('Panel Glide Blinds'!AV54,Data!$KZ$2:$KZ$3,0)</f>
        <v>#REF!</v>
      </c>
      <c r="AY54" s="172" t="e">
        <f>INDEX(Data!$LA$2:$LD$3,'Panel Glide Blinds'!AX54,'Panel Glide Blinds'!AW54)</f>
        <v>#REF!</v>
      </c>
      <c r="BB54" s="172" t="e">
        <f>IF(#REF!=Data!$QK$2,Data!$QL$1,IF(#REF!=Data!$QK$3,Data!$QM$1,IF(#REF!=Data!$QK$4,Data!$QN$1,IF(#REF!=Data!$QK$5,Data!$QO$1,IF(#REF!=Data!$QK$6,Data!$QP$1,IF(#REF!=Data!$QK$7,Data!$QQ$1,IF(#REF!=Data!$QK$8,Data!$QR$1,IF(#REF!=Data!$QK$9,Data!$QS$1,IF(#REF!=Data!$QK$10,Data!$QT$1,IF(#REF!=Data!$QK$11,Data!$QU$1))))))))))</f>
        <v>#REF!</v>
      </c>
      <c r="BC54" s="33" t="e">
        <f>IF(#REF!=Data!$QK$2,Data!$QL$17,IF(#REF!=Data!$QK$3,Data!$QM$17,IF(#REF!=Data!$QK$4,Data!$QN$17,IF(#REF!=Data!$QK$5,Data!$QO$17,IF(#REF!=Data!$QK$6,Data!$QP$17,IF(#REF!=Data!$QK$7,Data!$QQ$17,IF(#REF!=Data!$QK$8,Data!$QR$17,IF(#REF!=Data!$QK$9,Data!$QS$17,IF(#REF!=Data!$QK$10,Data!$QT$17,IF(#REF!=Data!$QK$11,Data!$QU$17))))))))))</f>
        <v>#REF!</v>
      </c>
      <c r="BD54" s="33" t="e">
        <f>IF(#REF!=Data!$PU$2,Data!$PW$1,IF(#REF!=Data!$PU$3,Data!$PW$1,IF(#REF!=Data!$PU$4,Data!$PV$1,IF(#REF!=Data!$PU$5,Data!$PV$1,))))</f>
        <v>#REF!</v>
      </c>
      <c r="BE54" s="33" t="e">
        <f>MATCH('Panel Glide Blinds'!D54,Data!$AAK$2:$AAK$15)</f>
        <v>#N/A</v>
      </c>
      <c r="BF54" s="33" t="e">
        <f>MATCH(O54,Data!$AAL$1:$AAM$1)</f>
        <v>#N/A</v>
      </c>
      <c r="BG54" s="33" t="e">
        <f>INDEX(Data!$AAL$2:$AAM$15,BE54,BF54)</f>
        <v>#N/A</v>
      </c>
      <c r="BH54" s="33" t="b">
        <f>IF(O54=Data!$ABF$1,Data!$ABD$1,IF(O54=Data!$ABF$2,Data!$ABE$1))</f>
        <v>0</v>
      </c>
      <c r="BI54" s="33" t="e">
        <f>VLOOKUP(H54,Data!$ABL$2:$ABM$8,2,FALSE)</f>
        <v>#N/A</v>
      </c>
      <c r="BJ54" s="172" t="e">
        <f>VLOOKUP(H54,Data!$ABW$2:$ABX$9,2,FALSE)</f>
        <v>#N/A</v>
      </c>
      <c r="BK54" s="172" t="e">
        <f>VLOOKUP(H54,Data!$ABW$2:$ABY$8,3,FALSE)</f>
        <v>#N/A</v>
      </c>
      <c r="BL54" s="172" t="str">
        <f t="shared" si="9"/>
        <v/>
      </c>
      <c r="BM54" s="172" t="str">
        <f t="shared" si="10"/>
        <v/>
      </c>
      <c r="BN54" s="172" t="str">
        <f t="shared" si="4"/>
        <v/>
      </c>
      <c r="BO54" s="33" t="e">
        <f t="shared" si="5"/>
        <v>#DIV/0!</v>
      </c>
      <c r="BP54" s="33" t="e">
        <f t="shared" si="6"/>
        <v>#DIV/0!</v>
      </c>
      <c r="BQ54" s="33" t="e">
        <f t="shared" si="7"/>
        <v>#DIV/0!</v>
      </c>
      <c r="BR54" s="33" t="str">
        <f t="shared" si="8"/>
        <v/>
      </c>
    </row>
    <row r="55" spans="1:70" ht="30" customHeight="1" thickTop="1" thickBot="1">
      <c r="A55" s="52">
        <v>48</v>
      </c>
      <c r="B55" s="13"/>
      <c r="C55" s="13"/>
      <c r="D55" s="19"/>
      <c r="E55" s="15"/>
      <c r="F55" s="14"/>
      <c r="G55" s="14"/>
      <c r="H55" s="14"/>
      <c r="I55" s="13"/>
      <c r="J55" s="14"/>
      <c r="K55" s="14"/>
      <c r="L55" s="563"/>
      <c r="M55" s="564"/>
      <c r="N55" s="15"/>
      <c r="O55" s="15"/>
      <c r="P55" s="15"/>
      <c r="Q55" s="13"/>
      <c r="R55" s="13"/>
      <c r="S55" s="13"/>
      <c r="T55" s="699"/>
      <c r="U55" s="700"/>
      <c r="V55" s="229"/>
      <c r="W55" s="230"/>
      <c r="X55" s="269" t="e">
        <f t="shared" si="2"/>
        <v>#N/A</v>
      </c>
      <c r="Y55" s="269" t="e">
        <f>VLOOKUP(Q55,Data!$QH$2:$QI$4,2,FALSE)</f>
        <v>#N/A</v>
      </c>
      <c r="AA55" s="269" t="e">
        <f t="shared" si="3"/>
        <v>#N/A</v>
      </c>
      <c r="AD55" s="172" t="e">
        <f>IF(#REF!=Data!$KK$2,Data!$KM$1,IF(#REF!=Data!$KK$3,Data!$KN$1,IF(#REF!=Data!$KK$4,Data!$KP$1,IF(#REF!=Data!$KK$5,Data!$KQ$1))))</f>
        <v>#REF!</v>
      </c>
      <c r="AE55" s="33" t="str">
        <f>IF(D55=Data!$W$10,Data!$QJ$1,Data!$QK$1)</f>
        <v>RollerControl</v>
      </c>
      <c r="AH55" s="33" t="b">
        <f>IF(Q55=Data!$PX$2,Data!$PZ$1,IF(Q55=Data!$PX$3,Data!$PY$1,IF(Q55=Data!$PX$4,Data!$QA$1)))</f>
        <v>0</v>
      </c>
      <c r="AJ55" s="33" t="b">
        <f>IF(Q55=Data!$PX$3,Data!$QB$1,IF(Q55=Data!$PX$2,Data!$QC$1,IF(Q55=Data!$PX$4,Data!$QD$1)))</f>
        <v>0</v>
      </c>
      <c r="AL55" s="33" t="str">
        <f>IF(D55=Data!$W$3,Data!$QF$1,IF(D55=Data!$W$4,Data!$QF$1,IF(D55=Data!$W$5,Data!$QF$1,IF(D55=Data!$W$6,Data!$QF$1,IF(D55=Data!$W$7,Data!$QF$1,IF(D55=Data!$W$8,Data!$QF$1,IF(D55=Data!$W$9,Data!$QF$1,IF(D55=Data!$W$10,Data!$QE$1,IF(D55=Data!$W$11,Data!$QF$1,IF(D55=Data!$W$12,Data!$QF$1,IF(D55=Data!$W$13,Data!$QF$1,IF(D55=Data!$W$14,Data!$QF$1,IF(D55=Data!$W$15,Data!$QF$1,IF(D55=Data!$W$16,Data!$QF$1))))))))))))))</f>
        <v>RollerBracketType2</v>
      </c>
      <c r="AV55" s="40" t="e">
        <f>IF(AND(G55&lt;2130, OR(#REF!&lt;2100)),Data!$KS$1,Data!$KT$1)</f>
        <v>#REF!</v>
      </c>
      <c r="AW55" s="172" t="e">
        <f>MATCH(#REF!,Data!$LA$1:$LD$1,0)</f>
        <v>#REF!</v>
      </c>
      <c r="AX55" s="172" t="e">
        <f>MATCH('Panel Glide Blinds'!AV55,Data!$KZ$2:$KZ$3,0)</f>
        <v>#REF!</v>
      </c>
      <c r="AY55" s="172" t="e">
        <f>INDEX(Data!$LA$2:$LD$3,'Panel Glide Blinds'!AX55,'Panel Glide Blinds'!AW55)</f>
        <v>#REF!</v>
      </c>
      <c r="BB55" s="172" t="e">
        <f>IF(#REF!=Data!$QK$2,Data!$QL$1,IF(#REF!=Data!$QK$3,Data!$QM$1,IF(#REF!=Data!$QK$4,Data!$QN$1,IF(#REF!=Data!$QK$5,Data!$QO$1,IF(#REF!=Data!$QK$6,Data!$QP$1,IF(#REF!=Data!$QK$7,Data!$QQ$1,IF(#REF!=Data!$QK$8,Data!$QR$1,IF(#REF!=Data!$QK$9,Data!$QS$1,IF(#REF!=Data!$QK$10,Data!$QT$1,IF(#REF!=Data!$QK$11,Data!$QU$1))))))))))</f>
        <v>#REF!</v>
      </c>
      <c r="BC55" s="33" t="e">
        <f>IF(#REF!=Data!$QK$2,Data!$QL$17,IF(#REF!=Data!$QK$3,Data!$QM$17,IF(#REF!=Data!$QK$4,Data!$QN$17,IF(#REF!=Data!$QK$5,Data!$QO$17,IF(#REF!=Data!$QK$6,Data!$QP$17,IF(#REF!=Data!$QK$7,Data!$QQ$17,IF(#REF!=Data!$QK$8,Data!$QR$17,IF(#REF!=Data!$QK$9,Data!$QS$17,IF(#REF!=Data!$QK$10,Data!$QT$17,IF(#REF!=Data!$QK$11,Data!$QU$17))))))))))</f>
        <v>#REF!</v>
      </c>
      <c r="BD55" s="33" t="e">
        <f>IF(#REF!=Data!$PU$2,Data!$PW$1,IF(#REF!=Data!$PU$3,Data!$PW$1,IF(#REF!=Data!$PU$4,Data!$PV$1,IF(#REF!=Data!$PU$5,Data!$PV$1,))))</f>
        <v>#REF!</v>
      </c>
      <c r="BE55" s="33" t="e">
        <f>MATCH('Panel Glide Blinds'!D55,Data!$AAK$2:$AAK$15)</f>
        <v>#N/A</v>
      </c>
      <c r="BF55" s="33" t="e">
        <f>MATCH(O55,Data!$AAL$1:$AAM$1)</f>
        <v>#N/A</v>
      </c>
      <c r="BG55" s="33" t="e">
        <f>INDEX(Data!$AAL$2:$AAM$15,BE55,BF55)</f>
        <v>#N/A</v>
      </c>
      <c r="BH55" s="33" t="b">
        <f>IF(O55=Data!$ABF$1,Data!$ABD$1,IF(O55=Data!$ABF$2,Data!$ABE$1))</f>
        <v>0</v>
      </c>
      <c r="BI55" s="33" t="e">
        <f>VLOOKUP(H55,Data!$ABL$2:$ABM$8,2,FALSE)</f>
        <v>#N/A</v>
      </c>
      <c r="BJ55" s="172" t="e">
        <f>VLOOKUP(H55,Data!$ABW$2:$ABX$9,2,FALSE)</f>
        <v>#N/A</v>
      </c>
      <c r="BK55" s="172" t="e">
        <f>VLOOKUP(H55,Data!$ABW$2:$ABY$8,3,FALSE)</f>
        <v>#N/A</v>
      </c>
      <c r="BL55" s="172" t="str">
        <f t="shared" si="9"/>
        <v/>
      </c>
      <c r="BM55" s="172" t="str">
        <f t="shared" si="10"/>
        <v/>
      </c>
      <c r="BN55" s="172" t="str">
        <f t="shared" si="4"/>
        <v/>
      </c>
      <c r="BO55" s="33" t="e">
        <f t="shared" si="5"/>
        <v>#DIV/0!</v>
      </c>
      <c r="BP55" s="33" t="e">
        <f t="shared" si="6"/>
        <v>#DIV/0!</v>
      </c>
      <c r="BQ55" s="33" t="e">
        <f t="shared" si="7"/>
        <v>#DIV/0!</v>
      </c>
      <c r="BR55" s="33" t="str">
        <f t="shared" si="8"/>
        <v/>
      </c>
    </row>
    <row r="56" spans="1:70" ht="30" customHeight="1" thickTop="1" thickBot="1">
      <c r="A56" s="52">
        <v>49</v>
      </c>
      <c r="B56" s="13"/>
      <c r="C56" s="13"/>
      <c r="D56" s="19"/>
      <c r="E56" s="15"/>
      <c r="F56" s="14"/>
      <c r="G56" s="14"/>
      <c r="H56" s="14"/>
      <c r="I56" s="13"/>
      <c r="J56" s="14"/>
      <c r="K56" s="14"/>
      <c r="L56" s="563"/>
      <c r="M56" s="564"/>
      <c r="N56" s="15"/>
      <c r="O56" s="15"/>
      <c r="P56" s="15"/>
      <c r="Q56" s="13"/>
      <c r="R56" s="13"/>
      <c r="S56" s="13"/>
      <c r="T56" s="699"/>
      <c r="U56" s="700"/>
      <c r="V56" s="229"/>
      <c r="W56" s="230"/>
      <c r="X56" s="269" t="e">
        <f t="shared" si="2"/>
        <v>#N/A</v>
      </c>
      <c r="Y56" s="269" t="e">
        <f>VLOOKUP(Q56,Data!$QH$2:$QI$4,2,FALSE)</f>
        <v>#N/A</v>
      </c>
      <c r="AA56" s="269" t="e">
        <f t="shared" si="3"/>
        <v>#N/A</v>
      </c>
      <c r="AD56" s="172" t="e">
        <f>IF(#REF!=Data!$KK$2,Data!$KM$1,IF(#REF!=Data!$KK$3,Data!$KN$1,IF(#REF!=Data!$KK$4,Data!$KP$1,IF(#REF!=Data!$KK$5,Data!$KQ$1))))</f>
        <v>#REF!</v>
      </c>
      <c r="AE56" s="33" t="str">
        <f>IF(D56=Data!$W$10,Data!$QJ$1,Data!$QK$1)</f>
        <v>RollerControl</v>
      </c>
      <c r="AH56" s="33" t="b">
        <f>IF(Q56=Data!$PX$2,Data!$PZ$1,IF(Q56=Data!$PX$3,Data!$PY$1,IF(Q56=Data!$PX$4,Data!$QA$1)))</f>
        <v>0</v>
      </c>
      <c r="AJ56" s="33" t="b">
        <f>IF(Q56=Data!$PX$3,Data!$QB$1,IF(Q56=Data!$PX$2,Data!$QC$1,IF(Q56=Data!$PX$4,Data!$QD$1)))</f>
        <v>0</v>
      </c>
      <c r="AL56" s="33" t="str">
        <f>IF(D56=Data!$W$3,Data!$QF$1,IF(D56=Data!$W$4,Data!$QF$1,IF(D56=Data!$W$5,Data!$QF$1,IF(D56=Data!$W$6,Data!$QF$1,IF(D56=Data!$W$7,Data!$QF$1,IF(D56=Data!$W$8,Data!$QF$1,IF(D56=Data!$W$9,Data!$QF$1,IF(D56=Data!$W$10,Data!$QE$1,IF(D56=Data!$W$11,Data!$QF$1,IF(D56=Data!$W$12,Data!$QF$1,IF(D56=Data!$W$13,Data!$QF$1,IF(D56=Data!$W$14,Data!$QF$1,IF(D56=Data!$W$15,Data!$QF$1,IF(D56=Data!$W$16,Data!$QF$1))))))))))))))</f>
        <v>RollerBracketType2</v>
      </c>
      <c r="AV56" s="40" t="e">
        <f>IF(AND(G56&lt;2130, OR(#REF!&lt;2100)),Data!$KS$1,Data!$KT$1)</f>
        <v>#REF!</v>
      </c>
      <c r="AW56" s="172" t="e">
        <f>MATCH(#REF!,Data!$LA$1:$LD$1,0)</f>
        <v>#REF!</v>
      </c>
      <c r="AX56" s="172" t="e">
        <f>MATCH('Panel Glide Blinds'!AV56,Data!$KZ$2:$KZ$3,0)</f>
        <v>#REF!</v>
      </c>
      <c r="AY56" s="172" t="e">
        <f>INDEX(Data!$LA$2:$LD$3,'Panel Glide Blinds'!AX56,'Panel Glide Blinds'!AW56)</f>
        <v>#REF!</v>
      </c>
      <c r="BB56" s="172" t="e">
        <f>IF(#REF!=Data!$QK$2,Data!$QL$1,IF(#REF!=Data!$QK$3,Data!$QM$1,IF(#REF!=Data!$QK$4,Data!$QN$1,IF(#REF!=Data!$QK$5,Data!$QO$1,IF(#REF!=Data!$QK$6,Data!$QP$1,IF(#REF!=Data!$QK$7,Data!$QQ$1,IF(#REF!=Data!$QK$8,Data!$QR$1,IF(#REF!=Data!$QK$9,Data!$QS$1,IF(#REF!=Data!$QK$10,Data!$QT$1,IF(#REF!=Data!$QK$11,Data!$QU$1))))))))))</f>
        <v>#REF!</v>
      </c>
      <c r="BC56" s="33" t="e">
        <f>IF(#REF!=Data!$QK$2,Data!$QL$17,IF(#REF!=Data!$QK$3,Data!$QM$17,IF(#REF!=Data!$QK$4,Data!$QN$17,IF(#REF!=Data!$QK$5,Data!$QO$17,IF(#REF!=Data!$QK$6,Data!$QP$17,IF(#REF!=Data!$QK$7,Data!$QQ$17,IF(#REF!=Data!$QK$8,Data!$QR$17,IF(#REF!=Data!$QK$9,Data!$QS$17,IF(#REF!=Data!$QK$10,Data!$QT$17,IF(#REF!=Data!$QK$11,Data!$QU$17))))))))))</f>
        <v>#REF!</v>
      </c>
      <c r="BD56" s="33" t="e">
        <f>IF(#REF!=Data!$PU$2,Data!$PW$1,IF(#REF!=Data!$PU$3,Data!$PW$1,IF(#REF!=Data!$PU$4,Data!$PV$1,IF(#REF!=Data!$PU$5,Data!$PV$1,))))</f>
        <v>#REF!</v>
      </c>
      <c r="BE56" s="33" t="e">
        <f>MATCH('Panel Glide Blinds'!D56,Data!$AAK$2:$AAK$15)</f>
        <v>#N/A</v>
      </c>
      <c r="BF56" s="33" t="e">
        <f>MATCH(O56,Data!$AAL$1:$AAM$1)</f>
        <v>#N/A</v>
      </c>
      <c r="BG56" s="33" t="e">
        <f>INDEX(Data!$AAL$2:$AAM$15,BE56,BF56)</f>
        <v>#N/A</v>
      </c>
      <c r="BH56" s="33" t="b">
        <f>IF(O56=Data!$ABF$1,Data!$ABD$1,IF(O56=Data!$ABF$2,Data!$ABE$1))</f>
        <v>0</v>
      </c>
      <c r="BI56" s="33" t="e">
        <f>VLOOKUP(H56,Data!$ABL$2:$ABM$8,2,FALSE)</f>
        <v>#N/A</v>
      </c>
      <c r="BJ56" s="172" t="e">
        <f>VLOOKUP(H56,Data!$ABW$2:$ABX$9,2,FALSE)</f>
        <v>#N/A</v>
      </c>
      <c r="BK56" s="172" t="e">
        <f>VLOOKUP(H56,Data!$ABW$2:$ABY$8,3,FALSE)</f>
        <v>#N/A</v>
      </c>
      <c r="BL56" s="172" t="str">
        <f t="shared" si="9"/>
        <v/>
      </c>
      <c r="BM56" s="172" t="str">
        <f t="shared" si="10"/>
        <v/>
      </c>
      <c r="BN56" s="172" t="str">
        <f t="shared" si="4"/>
        <v/>
      </c>
      <c r="BO56" s="33" t="e">
        <f t="shared" si="5"/>
        <v>#DIV/0!</v>
      </c>
      <c r="BP56" s="33" t="e">
        <f t="shared" si="6"/>
        <v>#DIV/0!</v>
      </c>
      <c r="BQ56" s="33" t="e">
        <f t="shared" si="7"/>
        <v>#DIV/0!</v>
      </c>
      <c r="BR56" s="33" t="str">
        <f t="shared" si="8"/>
        <v/>
      </c>
    </row>
    <row r="57" spans="1:70" ht="30" customHeight="1" thickTop="1" thickBot="1">
      <c r="A57" s="53">
        <v>50</v>
      </c>
      <c r="B57" s="21"/>
      <c r="C57" s="21"/>
      <c r="D57" s="45"/>
      <c r="E57" s="44"/>
      <c r="F57" s="22"/>
      <c r="G57" s="22"/>
      <c r="H57" s="22"/>
      <c r="I57" s="21"/>
      <c r="J57" s="22"/>
      <c r="K57" s="46"/>
      <c r="L57" s="582"/>
      <c r="M57" s="583"/>
      <c r="N57" s="47"/>
      <c r="O57" s="47"/>
      <c r="P57" s="44"/>
      <c r="Q57" s="45"/>
      <c r="R57" s="21"/>
      <c r="S57" s="21"/>
      <c r="T57" s="692"/>
      <c r="U57" s="693"/>
      <c r="V57" s="229"/>
      <c r="W57" s="230"/>
      <c r="X57" s="269" t="e">
        <f t="shared" si="2"/>
        <v>#N/A</v>
      </c>
      <c r="Y57" s="269" t="e">
        <f>VLOOKUP(Q57,Data!$QH$2:$QI$4,2,FALSE)</f>
        <v>#N/A</v>
      </c>
      <c r="AA57" s="269" t="e">
        <f t="shared" si="3"/>
        <v>#N/A</v>
      </c>
      <c r="AD57" s="172" t="e">
        <f>IF(#REF!=Data!$KK$2,Data!$KM$1,IF(#REF!=Data!$KK$3,Data!$KN$1,IF(#REF!=Data!$KK$4,Data!$KP$1,IF(#REF!=Data!$KK$5,Data!$KQ$1))))</f>
        <v>#REF!</v>
      </c>
      <c r="AE57" s="33" t="str">
        <f>IF(D57=Data!$W$10,Data!$QJ$1,Data!$QK$1)</f>
        <v>RollerControl</v>
      </c>
      <c r="AH57" s="33" t="b">
        <f>IF(Q57=Data!$PX$2,Data!$PZ$1,IF(Q57=Data!$PX$3,Data!$PY$1,IF(Q57=Data!$PX$4,Data!$QA$1)))</f>
        <v>0</v>
      </c>
      <c r="AJ57" s="33" t="b">
        <f>IF(Q57=Data!$PX$3,Data!$QB$1,IF(Q57=Data!$PX$2,Data!$QC$1,IF(Q57=Data!$PX$4,Data!$QD$1)))</f>
        <v>0</v>
      </c>
      <c r="AL57" s="33" t="str">
        <f>IF(D57=Data!$W$3,Data!$QF$1,IF(D57=Data!$W$4,Data!$QF$1,IF(D57=Data!$W$5,Data!$QF$1,IF(D57=Data!$W$6,Data!$QF$1,IF(D57=Data!$W$7,Data!$QF$1,IF(D57=Data!$W$8,Data!$QF$1,IF(D57=Data!$W$9,Data!$QF$1,IF(D57=Data!$W$10,Data!$QE$1,IF(D57=Data!$W$11,Data!$QF$1,IF(D57=Data!$W$12,Data!$QF$1,IF(D57=Data!$W$13,Data!$QF$1,IF(D57=Data!$W$14,Data!$QF$1,IF(D57=Data!$W$15,Data!$QF$1,IF(D57=Data!$W$16,Data!$QF$1))))))))))))))</f>
        <v>RollerBracketType2</v>
      </c>
      <c r="AV57" s="40" t="e">
        <f>IF(AND(G57&lt;2130, OR(#REF!&lt;2100)),Data!$KS$1,Data!$KT$1)</f>
        <v>#REF!</v>
      </c>
      <c r="AW57" s="172" t="e">
        <f>MATCH(#REF!,Data!$LA$1:$LD$1,0)</f>
        <v>#REF!</v>
      </c>
      <c r="AX57" s="172" t="e">
        <f>MATCH('Panel Glide Blinds'!AV57,Data!$KZ$2:$KZ$3,0)</f>
        <v>#REF!</v>
      </c>
      <c r="AY57" s="172" t="e">
        <f>INDEX(Data!$LA$2:$LD$3,'Panel Glide Blinds'!AX57,'Panel Glide Blinds'!AW57)</f>
        <v>#REF!</v>
      </c>
      <c r="BB57" s="172" t="e">
        <f>IF(#REF!=Data!$QK$2,Data!$QL$1,IF(#REF!=Data!$QK$3,Data!$QM$1,IF(#REF!=Data!$QK$4,Data!$QN$1,IF(#REF!=Data!$QK$5,Data!$QO$1,IF(#REF!=Data!$QK$6,Data!$QP$1,IF(#REF!=Data!$QK$7,Data!$QQ$1,IF(#REF!=Data!$QK$8,Data!$QR$1,IF(#REF!=Data!$QK$9,Data!$QS$1,IF(#REF!=Data!$QK$10,Data!$QT$1,IF(#REF!=Data!$QK$11,Data!$QU$1))))))))))</f>
        <v>#REF!</v>
      </c>
      <c r="BC57" s="33" t="e">
        <f>IF(#REF!=Data!$QK$2,Data!$QL$17,IF(#REF!=Data!$QK$3,Data!$QM$17,IF(#REF!=Data!$QK$4,Data!$QN$17,IF(#REF!=Data!$QK$5,Data!$QO$17,IF(#REF!=Data!$QK$6,Data!$QP$17,IF(#REF!=Data!$QK$7,Data!$QQ$17,IF(#REF!=Data!$QK$8,Data!$QR$17,IF(#REF!=Data!$QK$9,Data!$QS$17,IF(#REF!=Data!$QK$10,Data!$QT$17,IF(#REF!=Data!$QK$11,Data!$QU$17))))))))))</f>
        <v>#REF!</v>
      </c>
      <c r="BD57" s="33" t="e">
        <f>IF(#REF!=Data!$PU$2,Data!$PW$1,IF(#REF!=Data!$PU$3,Data!$PW$1,IF(#REF!=Data!$PU$4,Data!$PV$1,IF(#REF!=Data!$PU$5,Data!$PV$1,))))</f>
        <v>#REF!</v>
      </c>
      <c r="BE57" s="33" t="e">
        <f>MATCH('Panel Glide Blinds'!D57,Data!$AAK$2:$AAK$15)</f>
        <v>#N/A</v>
      </c>
      <c r="BF57" s="33" t="e">
        <f>MATCH(O57,Data!$AAL$1:$AAM$1)</f>
        <v>#N/A</v>
      </c>
      <c r="BG57" s="33" t="e">
        <f>INDEX(Data!$AAL$2:$AAM$15,BE57,BF57)</f>
        <v>#N/A</v>
      </c>
      <c r="BH57" s="33" t="b">
        <f>IF(O57=Data!$ABF$1,Data!$ABD$1,IF(O57=Data!$ABF$2,Data!$ABE$1))</f>
        <v>0</v>
      </c>
      <c r="BI57" s="33" t="e">
        <f>VLOOKUP(H57,Data!$ABL$2:$ABM$8,2,FALSE)</f>
        <v>#N/A</v>
      </c>
      <c r="BJ57" s="172" t="e">
        <f>VLOOKUP(H57,Data!$ABW$2:$ABX$9,2,FALSE)</f>
        <v>#N/A</v>
      </c>
      <c r="BK57" s="172" t="e">
        <f>VLOOKUP(H57,Data!$ABW$2:$ABY$8,3,FALSE)</f>
        <v>#N/A</v>
      </c>
      <c r="BL57" s="172" t="str">
        <f t="shared" si="9"/>
        <v/>
      </c>
      <c r="BM57" s="172" t="str">
        <f t="shared" si="10"/>
        <v/>
      </c>
      <c r="BN57" s="172" t="str">
        <f t="shared" si="4"/>
        <v/>
      </c>
      <c r="BO57" s="33" t="e">
        <f t="shared" si="5"/>
        <v>#DIV/0!</v>
      </c>
      <c r="BP57" s="33" t="e">
        <f t="shared" si="6"/>
        <v>#DIV/0!</v>
      </c>
      <c r="BQ57" s="33" t="e">
        <f t="shared" si="7"/>
        <v>#DIV/0!</v>
      </c>
      <c r="BR57" s="33" t="str">
        <f t="shared" si="8"/>
        <v/>
      </c>
    </row>
    <row r="58" spans="1:70" ht="15.75" thickTop="1">
      <c r="A58" s="77"/>
    </row>
  </sheetData>
  <sheetProtection password="A0FF" sheet="1" objects="1" scenarios="1"/>
  <mergeCells count="120">
    <mergeCell ref="M1:T1"/>
    <mergeCell ref="M2:T2"/>
    <mergeCell ref="M3:T3"/>
    <mergeCell ref="M4:T4"/>
    <mergeCell ref="A4:C4"/>
    <mergeCell ref="D4:E4"/>
    <mergeCell ref="F4:G4"/>
    <mergeCell ref="F2:I2"/>
    <mergeCell ref="H4:I4"/>
    <mergeCell ref="K1:L1"/>
    <mergeCell ref="K2:L2"/>
    <mergeCell ref="K3:L3"/>
    <mergeCell ref="K4:L4"/>
    <mergeCell ref="L16:M16"/>
    <mergeCell ref="L11:M11"/>
    <mergeCell ref="L12:M12"/>
    <mergeCell ref="L13:M13"/>
    <mergeCell ref="L20:M20"/>
    <mergeCell ref="A6:I6"/>
    <mergeCell ref="K6:L6"/>
    <mergeCell ref="L14:M14"/>
    <mergeCell ref="L15:M15"/>
    <mergeCell ref="L8:M8"/>
    <mergeCell ref="L9:M9"/>
    <mergeCell ref="M6:T6"/>
    <mergeCell ref="L10:M10"/>
    <mergeCell ref="L7:M7"/>
    <mergeCell ref="T12:U12"/>
    <mergeCell ref="T13:U13"/>
    <mergeCell ref="T14:U14"/>
    <mergeCell ref="T15:U15"/>
    <mergeCell ref="T16:U16"/>
    <mergeCell ref="T7:U7"/>
    <mergeCell ref="T8:U8"/>
    <mergeCell ref="T9:U9"/>
    <mergeCell ref="T10:U10"/>
    <mergeCell ref="T11:U11"/>
    <mergeCell ref="L26:M26"/>
    <mergeCell ref="L27:M27"/>
    <mergeCell ref="L28:M28"/>
    <mergeCell ref="L23:M23"/>
    <mergeCell ref="L24:M24"/>
    <mergeCell ref="L25:M25"/>
    <mergeCell ref="L21:M21"/>
    <mergeCell ref="L22:M22"/>
    <mergeCell ref="L17:M17"/>
    <mergeCell ref="L18:M18"/>
    <mergeCell ref="L19:M19"/>
    <mergeCell ref="L35:M35"/>
    <mergeCell ref="L36:M36"/>
    <mergeCell ref="L37:M37"/>
    <mergeCell ref="L32:M32"/>
    <mergeCell ref="L33:M33"/>
    <mergeCell ref="L34:M34"/>
    <mergeCell ref="L29:M29"/>
    <mergeCell ref="L30:M30"/>
    <mergeCell ref="L31:M31"/>
    <mergeCell ref="L44:M44"/>
    <mergeCell ref="L45:M45"/>
    <mergeCell ref="L46:M46"/>
    <mergeCell ref="L41:M41"/>
    <mergeCell ref="L42:M42"/>
    <mergeCell ref="L43:M43"/>
    <mergeCell ref="L38:M38"/>
    <mergeCell ref="L39:M39"/>
    <mergeCell ref="L40:M40"/>
    <mergeCell ref="L56:M56"/>
    <mergeCell ref="L57:M57"/>
    <mergeCell ref="L53:M53"/>
    <mergeCell ref="L54:M54"/>
    <mergeCell ref="L55:M55"/>
    <mergeCell ref="L50:M50"/>
    <mergeCell ref="L51:M51"/>
    <mergeCell ref="L52:M52"/>
    <mergeCell ref="L47:M47"/>
    <mergeCell ref="L48:M48"/>
    <mergeCell ref="L49:M49"/>
    <mergeCell ref="T22:U22"/>
    <mergeCell ref="T23:U23"/>
    <mergeCell ref="T24:U24"/>
    <mergeCell ref="T25:U25"/>
    <mergeCell ref="T26:U26"/>
    <mergeCell ref="T17:U17"/>
    <mergeCell ref="T18:U18"/>
    <mergeCell ref="T20:U20"/>
    <mergeCell ref="T19:U19"/>
    <mergeCell ref="T21:U21"/>
    <mergeCell ref="T33:U33"/>
    <mergeCell ref="T34:U34"/>
    <mergeCell ref="T35:U35"/>
    <mergeCell ref="T36:U36"/>
    <mergeCell ref="T27:U27"/>
    <mergeCell ref="T28:U28"/>
    <mergeCell ref="T29:U29"/>
    <mergeCell ref="T30:U30"/>
    <mergeCell ref="T31:U31"/>
    <mergeCell ref="T57:U57"/>
    <mergeCell ref="K5:L5"/>
    <mergeCell ref="M5:T5"/>
    <mergeCell ref="T52:U52"/>
    <mergeCell ref="T53:U53"/>
    <mergeCell ref="T54:U54"/>
    <mergeCell ref="T55:U55"/>
    <mergeCell ref="T56:U56"/>
    <mergeCell ref="T47:U47"/>
    <mergeCell ref="T48:U48"/>
    <mergeCell ref="T49:U49"/>
    <mergeCell ref="T50:U50"/>
    <mergeCell ref="T51:U51"/>
    <mergeCell ref="T42:U42"/>
    <mergeCell ref="T43:U43"/>
    <mergeCell ref="T44:U44"/>
    <mergeCell ref="T45:U45"/>
    <mergeCell ref="T46:U46"/>
    <mergeCell ref="T38:U38"/>
    <mergeCell ref="T37:U37"/>
    <mergeCell ref="T39:U39"/>
    <mergeCell ref="T40:U40"/>
    <mergeCell ref="T41:U41"/>
    <mergeCell ref="T32:U32"/>
  </mergeCells>
  <conditionalFormatting sqref="C8:C57">
    <cfRule type="cellIs" dxfId="78" priority="11" stopIfTrue="1" operator="greaterThan">
      <formula>1</formula>
    </cfRule>
  </conditionalFormatting>
  <conditionalFormatting sqref="R8:R57">
    <cfRule type="expression" dxfId="77" priority="10">
      <formula>AA8="Enter"</formula>
    </cfRule>
  </conditionalFormatting>
  <conditionalFormatting sqref="S8:T57">
    <cfRule type="expression" dxfId="76" priority="8">
      <formula>X8="Enter"</formula>
    </cfRule>
  </conditionalFormatting>
  <conditionalFormatting sqref="M6">
    <cfRule type="notContainsBlanks" dxfId="75" priority="7">
      <formula>LEN(TRIM(M6))&gt;0</formula>
    </cfRule>
  </conditionalFormatting>
  <conditionalFormatting sqref="F8:F57">
    <cfRule type="expression" dxfId="74" priority="4">
      <formula>BN8="Check Size"</formula>
    </cfRule>
  </conditionalFormatting>
  <conditionalFormatting sqref="H8:H57">
    <cfRule type="expression" dxfId="73" priority="3">
      <formula>BN8="Check Size"</formula>
    </cfRule>
  </conditionalFormatting>
  <conditionalFormatting sqref="F8:F57">
    <cfRule type="expression" dxfId="72" priority="2">
      <formula>BR8="Check Size"</formula>
    </cfRule>
  </conditionalFormatting>
  <conditionalFormatting sqref="H8:H57">
    <cfRule type="expression" dxfId="71" priority="1">
      <formula>BR8="Check Size"</formula>
    </cfRule>
  </conditionalFormatting>
  <dataValidations count="17">
    <dataValidation type="list" allowBlank="1" showInputMessage="1" showErrorMessage="1" errorTitle="Invalid Entry" error="Invalid Entry" sqref="S8:S57" xr:uid="{00000000-0002-0000-0700-000000000000}">
      <formula1>INDIRECT(SUBSTITUTE(AJ8," ","_"))</formula1>
    </dataValidation>
    <dataValidation type="list" allowBlank="1" showInputMessage="1" showErrorMessage="1" errorTitle="Invalid Entry" error="Invalid Entry" sqref="R8:R57" xr:uid="{00000000-0002-0000-0700-000001000000}">
      <formula1>INDIRECT(SUBSTITUTE(AH8," ","_"))</formula1>
    </dataValidation>
    <dataValidation type="list" allowBlank="1" showInputMessage="1" showErrorMessage="1" errorTitle="Invalid Entry" error="Invalid Entry" sqref="E8:E57" xr:uid="{00000000-0002-0000-0700-000002000000}">
      <formula1>INDIRECT(SUBSTITUTE(SUBSTITUTE(SUBSTITUTE(D8," ","_"),"(",""),")",""))</formula1>
    </dataValidation>
    <dataValidation type="list" allowBlank="1" showInputMessage="1" showErrorMessage="1" errorTitle="Invalid Entry" error="Invalid Entry" sqref="P8:P57" xr:uid="{00000000-0002-0000-0700-000003000000}">
      <formula1>INDIRECT(SUBSTITUTE(BH8," ","_"))</formula1>
    </dataValidation>
    <dataValidation type="list" allowBlank="1" showInputMessage="1" showErrorMessage="1" errorTitle="Invalid Entry" error="Invalid Entry _x000a_" sqref="I8:I57" xr:uid="{00000000-0002-0000-0700-000004000000}">
      <formula1>INDIRECT(SUBSTITUTE(SUBSTITUTE(SUBSTITUTE(BI8," ","_"),"(",""),")",""))</formula1>
    </dataValidation>
    <dataValidation allowBlank="1" sqref="V1:W57 T8:T57 U8" xr:uid="{00000000-0002-0000-0700-000005000000}"/>
    <dataValidation operator="equal" allowBlank="1" showDropDown="1" showInputMessage="1" showErrorMessage="1" errorTitle="Invalid Entry" error="Invalid Entry" sqref="AV8:AV57" xr:uid="{00000000-0002-0000-0700-000006000000}"/>
    <dataValidation type="list" allowBlank="1" showInputMessage="1" showErrorMessage="1" errorTitle="Invalid Entry" error="Invalid Entry" sqref="Q8:Q57" xr:uid="{00000000-0002-0000-0700-000007000000}">
      <formula1>RollerUniversalPelmet</formula1>
    </dataValidation>
    <dataValidation type="list" allowBlank="1" showInputMessage="1" showErrorMessage="1" errorTitle="Invalid Entry" error="Invalid Entry" sqref="N8:N57" xr:uid="{00000000-0002-0000-0700-000008000000}">
      <formula1>"Clear Anodised, Black, White, White Birch"</formula1>
    </dataValidation>
    <dataValidation type="whole" errorStyle="warning" allowBlank="1" showInputMessage="1" showErrorMessage="1" errorTitle="Be Aware" error="Minimum Height is 500mm._x000a_Maximum Height is 3000mm._x000a__x000a_Additional sizes outside these Maximum's may be able to be manufactured." sqref="G8:G57" xr:uid="{00000000-0002-0000-0700-000009000000}">
      <formula1>500</formula1>
      <formula2>3000</formula2>
    </dataValidation>
    <dataValidation type="list" allowBlank="1" showInputMessage="1" showErrorMessage="1" errorTitle="Invalid Entry" error="Invalid Entry" sqref="D8:D57" xr:uid="{00000000-0002-0000-0700-00000A000000}">
      <formula1>Panel_Glide_Blind_Product</formula1>
    </dataValidation>
    <dataValidation type="list" allowBlank="1" showInputMessage="1" showErrorMessage="1" errorTitle="Invalid Entry" error="Invalid Entry" sqref="J8:J57" xr:uid="{00000000-0002-0000-0700-00000B000000}">
      <formula1>WindowType</formula1>
    </dataValidation>
    <dataValidation type="list" allowBlank="1" showInputMessage="1" showErrorMessage="1" errorTitle="Invalid Entry" error="Invalid Entry" sqref="L8:M57" xr:uid="{00000000-0002-0000-0700-00000C000000}">
      <formula1>"NAM, ACT"</formula1>
    </dataValidation>
    <dataValidation type="list" allowBlank="1" showInputMessage="1" showErrorMessage="1" errorTitle="Invalid Entry" error="Invalid Entry" sqref="K8:K57" xr:uid="{00000000-0002-0000-0700-00000D000000}">
      <formula1>"Face Fit, Recess Fit"</formula1>
    </dataValidation>
    <dataValidation type="list" allowBlank="1" showInputMessage="1" showErrorMessage="1" errorTitle="Invalid Entry" error="Invalid Entry" sqref="O8:O57" xr:uid="{00000000-0002-0000-0700-00000E000000}">
      <formula1>"Bottom Rail, Sewn In Pocket"</formula1>
    </dataValidation>
    <dataValidation type="list" allowBlank="1" showInputMessage="1" showErrorMessage="1" errorTitle="Be Aware" error="Minimum Number of Panels is 2._x000a_Maximum Number of Panels is 9. _x000a_" sqref="H8:H57" xr:uid="{00000000-0002-0000-0700-00000F000000}">
      <formula1>Panel_Quantity</formula1>
    </dataValidation>
    <dataValidation type="whole" errorStyle="warning" allowBlank="1" showInputMessage="1" showErrorMessage="1" errorTitle="Be Aware" error="Minimum &amp; Maximum Widths; _x000a__x000a_For 3 Track options; _x000a_Minimum Width is 1200mm. _x000a_Maximum Width is 3000mm. _x000a__x000a_For 6 Track options; _x000a_Minimum Width is 1600mm. _x000a_Maximum Width is 5500mm. " sqref="F8:F57" xr:uid="{00000000-0002-0000-0700-000010000000}">
      <formula1>1200</formula1>
      <formula2>5500</formula2>
    </dataValidation>
  </dataValidations>
  <printOptions horizontalCentered="1"/>
  <pageMargins left="0.23622047244094491" right="0.23622047244094491" top="0.23622047244094491" bottom="0.23622047244094491" header="0.19685039370078741" footer="0.19685039370078741"/>
  <pageSetup paperSize="9" scale="47"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pageSetUpPr fitToPage="1"/>
  </sheetPr>
  <dimension ref="A1:GM58"/>
  <sheetViews>
    <sheetView zoomScale="85" zoomScaleNormal="85" zoomScaleSheetLayoutView="85" workbookViewId="0">
      <selection activeCell="B8" sqref="B8"/>
    </sheetView>
  </sheetViews>
  <sheetFormatPr defaultRowHeight="15"/>
  <cols>
    <col min="1" max="1" width="7.140625" style="54" customWidth="1"/>
    <col min="2" max="2" width="13.7109375" style="54" customWidth="1"/>
    <col min="3" max="3" width="8.42578125" style="54" customWidth="1"/>
    <col min="4" max="4" width="21.5703125" style="54" customWidth="1"/>
    <col min="5" max="5" width="29.28515625" style="54" customWidth="1"/>
    <col min="6" max="6" width="23" style="54" customWidth="1"/>
    <col min="7" max="7" width="13" style="54" customWidth="1"/>
    <col min="8" max="8" width="12.42578125" style="54" customWidth="1"/>
    <col min="9" max="9" width="15.85546875" style="54" customWidth="1"/>
    <col min="10" max="10" width="11.42578125" style="54" customWidth="1"/>
    <col min="11" max="11" width="12.85546875" style="54" customWidth="1"/>
    <col min="12" max="13" width="13.7109375" style="54" customWidth="1"/>
    <col min="14" max="14" width="16.5703125" style="54" customWidth="1"/>
    <col min="15" max="15" width="15.28515625" style="54" customWidth="1"/>
    <col min="16" max="16" width="15.140625" style="54" customWidth="1"/>
    <col min="17" max="18" width="19" style="54" customWidth="1"/>
    <col min="19" max="19" width="13" style="54" customWidth="1"/>
    <col min="20" max="20" width="40.42578125" style="54" customWidth="1"/>
    <col min="21" max="21" width="15.42578125" style="54" customWidth="1"/>
    <col min="22" max="22" width="44.5703125" style="65" customWidth="1"/>
    <col min="23" max="23" width="22.5703125" style="33" hidden="1" customWidth="1"/>
    <col min="24" max="25" width="9.140625" style="33" hidden="1" customWidth="1"/>
    <col min="26" max="26" width="14.7109375" style="172" hidden="1" customWidth="1"/>
    <col min="27" max="27" width="37.42578125" style="172" hidden="1" customWidth="1"/>
    <col min="28" max="29" width="23.28515625" style="172" hidden="1" customWidth="1"/>
    <col min="30" max="30" width="25.140625" style="33" hidden="1" customWidth="1"/>
    <col min="31" max="32" width="9.140625" style="33" hidden="1" customWidth="1"/>
    <col min="33" max="33" width="21.85546875" style="33" hidden="1" customWidth="1"/>
    <col min="34" max="34" width="9.140625" style="33" hidden="1" customWidth="1"/>
    <col min="35" max="35" width="24" style="33" hidden="1" customWidth="1"/>
    <col min="36" max="46" width="9.140625" style="33" hidden="1" customWidth="1"/>
    <col min="47" max="47" width="13.85546875" style="33" hidden="1" customWidth="1"/>
    <col min="48" max="48" width="45" style="172" hidden="1" customWidth="1"/>
    <col min="49" max="49" width="53" style="33" hidden="1" customWidth="1"/>
    <col min="50" max="50" width="28.85546875" style="33" hidden="1" customWidth="1"/>
    <col min="51" max="51" width="35.140625" style="33" hidden="1" customWidth="1"/>
    <col min="52" max="52" width="24.42578125" style="33" hidden="1" customWidth="1"/>
    <col min="53" max="53" width="15.140625" style="33" hidden="1" customWidth="1"/>
    <col min="54" max="56" width="9.140625" style="33" hidden="1" customWidth="1"/>
    <col min="57" max="57" width="43.42578125" style="33" hidden="1" customWidth="1"/>
    <col min="58" max="58" width="51.7109375" style="33" hidden="1" customWidth="1"/>
    <col min="59" max="59" width="57.140625" style="33" hidden="1" customWidth="1"/>
    <col min="60" max="60" width="61.42578125" style="33" hidden="1" customWidth="1"/>
    <col min="61" max="61" width="10.85546875" style="33" hidden="1" customWidth="1"/>
    <col min="62" max="62" width="12.7109375" style="33" hidden="1" customWidth="1"/>
    <col min="63" max="63" width="11.28515625" style="33" hidden="1" customWidth="1"/>
    <col min="64" max="64" width="16.85546875" style="33" hidden="1" customWidth="1"/>
    <col min="65" max="65" width="18.5703125" style="33" hidden="1" customWidth="1"/>
    <col min="66" max="66" width="25" style="33" hidden="1" customWidth="1"/>
    <col min="67" max="67" width="39.5703125" style="33" hidden="1" customWidth="1"/>
    <col min="68" max="68" width="22.7109375" style="33" hidden="1" customWidth="1"/>
    <col min="69" max="69" width="29.42578125" style="33" hidden="1" customWidth="1"/>
    <col min="70" max="70" width="32.28515625" style="33" hidden="1" customWidth="1"/>
    <col min="71" max="72" width="19.28515625" style="33" hidden="1" customWidth="1"/>
    <col min="73" max="73" width="28.28515625" style="33" hidden="1" customWidth="1"/>
    <col min="74" max="75" width="18.85546875" style="33" hidden="1" customWidth="1"/>
    <col min="76" max="76" width="19.42578125" style="33" hidden="1" customWidth="1"/>
    <col min="77" max="77" width="19.28515625" style="33" hidden="1" customWidth="1"/>
    <col min="78" max="78" width="30.28515625" style="33" hidden="1" customWidth="1"/>
    <col min="79" max="79" width="16.28515625" style="33" hidden="1" customWidth="1"/>
    <col min="80" max="80" width="17.28515625" style="33" hidden="1" customWidth="1"/>
    <col min="81" max="81" width="18.42578125" style="33" hidden="1" customWidth="1"/>
    <col min="82" max="82" width="16.28515625" style="33" hidden="1" customWidth="1"/>
    <col min="83" max="83" width="18.28515625" style="33" hidden="1" customWidth="1"/>
    <col min="84" max="84" width="16.42578125" style="33" hidden="1" customWidth="1"/>
    <col min="85" max="85" width="19.140625" style="33" hidden="1" customWidth="1"/>
    <col min="86" max="86" width="20.140625" style="33" hidden="1" customWidth="1"/>
    <col min="87" max="87" width="18" style="33" hidden="1" customWidth="1"/>
    <col min="88" max="88" width="26.7109375" style="33" hidden="1" customWidth="1"/>
    <col min="89" max="89" width="16.7109375" style="33" hidden="1" customWidth="1"/>
    <col min="90" max="90" width="16" style="33" hidden="1" customWidth="1"/>
    <col min="91" max="91" width="16.7109375" style="33" hidden="1" customWidth="1"/>
    <col min="92" max="92" width="14.7109375" style="33" hidden="1" customWidth="1"/>
    <col min="93" max="95" width="25.5703125" style="33" hidden="1" customWidth="1"/>
    <col min="96" max="108" width="28.5703125" style="33" hidden="1" customWidth="1"/>
    <col min="109" max="109" width="24.42578125" style="33" hidden="1" customWidth="1"/>
    <col min="110" max="110" width="21.7109375" style="172" hidden="1" customWidth="1"/>
    <col min="111" max="111" width="27.28515625" style="172" hidden="1" customWidth="1"/>
    <col min="112" max="112" width="26" style="172" hidden="1" customWidth="1"/>
    <col min="113" max="113" width="9.140625" style="33" hidden="1" customWidth="1"/>
    <col min="114" max="114" width="19" style="33" hidden="1" customWidth="1"/>
    <col min="115" max="128" width="17.5703125" style="172" hidden="1" customWidth="1"/>
    <col min="129" max="139" width="22.85546875" style="172" hidden="1" customWidth="1"/>
    <col min="140" max="140" width="22.85546875" style="448" hidden="1" customWidth="1"/>
    <col min="141" max="141" width="22.85546875" style="172" hidden="1" customWidth="1"/>
    <col min="142" max="143" width="22.85546875" style="448" hidden="1" customWidth="1"/>
    <col min="144" max="148" width="22.85546875" style="172" hidden="1" customWidth="1"/>
    <col min="149" max="149" width="13.28515625" style="33" hidden="1" customWidth="1"/>
    <col min="150" max="151" width="9.140625" style="98" hidden="1" customWidth="1"/>
    <col min="152" max="152" width="14.5703125" style="98" hidden="1" customWidth="1"/>
    <col min="153" max="153" width="23.28515625" style="98" hidden="1" customWidth="1"/>
    <col min="154" max="156" width="23.28515625" style="33" hidden="1" customWidth="1"/>
    <col min="157" max="157" width="37.7109375" style="33" hidden="1" customWidth="1"/>
    <col min="158" max="159" width="33" style="33" hidden="1" customWidth="1"/>
    <col min="160" max="160" width="22.140625" style="33" hidden="1" customWidth="1"/>
    <col min="161" max="161" width="45.28515625" style="33" hidden="1" customWidth="1"/>
    <col min="162" max="162" width="23.85546875" style="33" hidden="1" customWidth="1"/>
    <col min="163" max="165" width="24" style="33" hidden="1" customWidth="1"/>
    <col min="166" max="166" width="26.28515625" style="33" hidden="1" customWidth="1"/>
    <col min="167" max="167" width="21.140625" style="33" hidden="1" customWidth="1"/>
    <col min="168" max="169" width="27.140625" style="33" hidden="1" customWidth="1"/>
    <col min="170" max="170" width="29.7109375" style="33" hidden="1" customWidth="1"/>
    <col min="171" max="195" width="9.140625" style="33" hidden="1" customWidth="1"/>
    <col min="196" max="208" width="0" style="33" hidden="1" customWidth="1"/>
    <col min="209" max="16384" width="9.140625" style="33"/>
  </cols>
  <sheetData>
    <row r="1" spans="1:170" ht="26.25" customHeight="1">
      <c r="A1" s="542"/>
      <c r="B1" s="676"/>
      <c r="C1" s="676"/>
      <c r="D1" s="676"/>
      <c r="E1" s="115"/>
      <c r="F1" s="171"/>
      <c r="G1" s="115"/>
      <c r="H1" s="115"/>
      <c r="I1" s="285"/>
      <c r="J1" s="115"/>
      <c r="K1" s="694" t="s">
        <v>0</v>
      </c>
      <c r="L1" s="695"/>
      <c r="M1" s="715">
        <f>Summary!D3</f>
        <v>0</v>
      </c>
      <c r="N1" s="716"/>
      <c r="O1" s="716"/>
      <c r="P1" s="716"/>
      <c r="Q1" s="716"/>
      <c r="R1" s="716"/>
      <c r="S1" s="716"/>
      <c r="T1" s="717"/>
      <c r="U1" s="261"/>
      <c r="V1" s="258"/>
      <c r="FM1" s="33" t="s">
        <v>733</v>
      </c>
      <c r="FN1" s="33" t="s">
        <v>152</v>
      </c>
    </row>
    <row r="2" spans="1:170" ht="19.5">
      <c r="A2" s="677"/>
      <c r="B2" s="678"/>
      <c r="C2" s="678"/>
      <c r="D2" s="678"/>
      <c r="E2" s="707"/>
      <c r="F2" s="709"/>
      <c r="G2" s="710"/>
      <c r="H2" s="710"/>
      <c r="I2" s="711"/>
      <c r="J2" s="49"/>
      <c r="K2" s="694" t="s">
        <v>141</v>
      </c>
      <c r="L2" s="695"/>
      <c r="M2" s="712">
        <f>Summary!D6</f>
        <v>0</v>
      </c>
      <c r="N2" s="713"/>
      <c r="O2" s="713"/>
      <c r="P2" s="713"/>
      <c r="Q2" s="713"/>
      <c r="R2" s="713"/>
      <c r="S2" s="713"/>
      <c r="T2" s="714"/>
      <c r="U2" s="261"/>
      <c r="V2" s="258"/>
      <c r="FL2" s="311" t="s">
        <v>21</v>
      </c>
      <c r="FM2" s="33" t="str">
        <f>$BP$7</f>
        <v>Chain Cord Length</v>
      </c>
      <c r="FN2" s="33" t="str">
        <f>$BO$7</f>
        <v>Chain Colour</v>
      </c>
    </row>
    <row r="3" spans="1:170" ht="21.75" customHeight="1">
      <c r="A3" s="679"/>
      <c r="B3" s="680"/>
      <c r="C3" s="680"/>
      <c r="D3" s="680"/>
      <c r="E3" s="708"/>
      <c r="F3" s="718" t="s">
        <v>2303</v>
      </c>
      <c r="G3" s="718"/>
      <c r="H3" s="718"/>
      <c r="I3" s="718"/>
      <c r="J3" s="116"/>
      <c r="K3" s="694" t="s">
        <v>143</v>
      </c>
      <c r="L3" s="695"/>
      <c r="M3" s="712">
        <f>Summary!D4</f>
        <v>0</v>
      </c>
      <c r="N3" s="713"/>
      <c r="O3" s="713"/>
      <c r="P3" s="713"/>
      <c r="Q3" s="713"/>
      <c r="R3" s="713"/>
      <c r="S3" s="713"/>
      <c r="T3" s="714"/>
      <c r="U3" s="62"/>
      <c r="V3" s="63"/>
      <c r="FL3" s="311" t="s">
        <v>28</v>
      </c>
      <c r="FM3" s="33" t="str">
        <f>$BP$7</f>
        <v>Chain Cord Length</v>
      </c>
      <c r="FN3" s="33" t="str">
        <f>$BO$7</f>
        <v>Chain Colour</v>
      </c>
    </row>
    <row r="4" spans="1:170" ht="17.25" customHeight="1">
      <c r="A4" s="554" t="s">
        <v>452</v>
      </c>
      <c r="B4" s="601"/>
      <c r="C4" s="601"/>
      <c r="D4" s="601"/>
      <c r="E4" s="555"/>
      <c r="F4" s="552"/>
      <c r="G4" s="706"/>
      <c r="H4" s="706"/>
      <c r="I4" s="553"/>
      <c r="J4" s="286"/>
      <c r="K4" s="694" t="s">
        <v>978</v>
      </c>
      <c r="L4" s="695"/>
      <c r="M4" s="712">
        <f>Summary!D7</f>
        <v>0</v>
      </c>
      <c r="N4" s="713"/>
      <c r="O4" s="713"/>
      <c r="P4" s="713"/>
      <c r="Q4" s="713"/>
      <c r="R4" s="713"/>
      <c r="S4" s="713"/>
      <c r="T4" s="714"/>
      <c r="U4" s="261"/>
      <c r="V4" s="259"/>
      <c r="FL4" s="311" t="s">
        <v>1814</v>
      </c>
      <c r="FM4" s="33" t="str">
        <f>$FK$7</f>
        <v>ChainMotor</v>
      </c>
      <c r="FN4" s="33" t="str">
        <f>$FK$7</f>
        <v>ChainMotor</v>
      </c>
    </row>
    <row r="5" spans="1:170" ht="17.25" customHeight="1" thickBot="1">
      <c r="A5" s="96" t="s">
        <v>2526</v>
      </c>
      <c r="B5" s="97"/>
      <c r="C5" s="97"/>
      <c r="D5" s="43"/>
      <c r="E5" s="43"/>
      <c r="F5" s="118"/>
      <c r="G5" s="43"/>
      <c r="H5" s="117"/>
      <c r="I5" s="287"/>
      <c r="J5" s="288" t="s">
        <v>1036</v>
      </c>
      <c r="K5" s="694" t="s">
        <v>144</v>
      </c>
      <c r="L5" s="695"/>
      <c r="M5" s="720">
        <f>Summary!D8</f>
        <v>0</v>
      </c>
      <c r="N5" s="721"/>
      <c r="O5" s="721"/>
      <c r="P5" s="721"/>
      <c r="Q5" s="721"/>
      <c r="R5" s="721"/>
      <c r="S5" s="721"/>
      <c r="T5" s="722"/>
      <c r="U5" s="261"/>
      <c r="V5" s="259"/>
      <c r="DD5" s="455" t="s">
        <v>2178</v>
      </c>
      <c r="DJ5" s="63"/>
      <c r="DK5" s="289" t="s">
        <v>1551</v>
      </c>
      <c r="DL5" s="289" t="s">
        <v>1552</v>
      </c>
      <c r="DM5" s="290" t="s">
        <v>1553</v>
      </c>
      <c r="DN5" s="291" t="s">
        <v>1554</v>
      </c>
      <c r="DO5" s="289" t="s">
        <v>1555</v>
      </c>
      <c r="DP5" s="292" t="s">
        <v>1556</v>
      </c>
      <c r="DQ5" s="293" t="s">
        <v>1557</v>
      </c>
      <c r="DR5" s="294" t="s">
        <v>1558</v>
      </c>
      <c r="DS5" s="295" t="s">
        <v>1559</v>
      </c>
      <c r="DT5" s="296" t="s">
        <v>1560</v>
      </c>
      <c r="DU5" s="289" t="s">
        <v>1561</v>
      </c>
      <c r="DV5" s="297" t="s">
        <v>1562</v>
      </c>
      <c r="DW5" s="295" t="s">
        <v>1563</v>
      </c>
      <c r="DX5" s="296" t="s">
        <v>1564</v>
      </c>
      <c r="DY5" s="296"/>
      <c r="DZ5" s="296" t="s">
        <v>1824</v>
      </c>
      <c r="EA5" s="296" t="s">
        <v>1850</v>
      </c>
      <c r="EB5" s="296"/>
      <c r="EC5" s="296"/>
      <c r="ED5" s="296"/>
      <c r="EE5" s="296"/>
      <c r="EF5" s="296"/>
      <c r="EG5" s="296" t="s">
        <v>2236</v>
      </c>
      <c r="EH5" s="296" t="s">
        <v>2237</v>
      </c>
      <c r="EI5" s="296" t="s">
        <v>2238</v>
      </c>
      <c r="EJ5" s="449"/>
      <c r="EK5" s="450"/>
      <c r="EL5" s="449"/>
      <c r="EM5" s="449"/>
      <c r="EN5" s="296" t="s">
        <v>1823</v>
      </c>
      <c r="EO5" s="296"/>
      <c r="EP5" s="296"/>
      <c r="EQ5" s="296"/>
      <c r="ER5" s="296"/>
      <c r="ES5" s="173" t="s">
        <v>1565</v>
      </c>
      <c r="FL5" s="311" t="s">
        <v>1815</v>
      </c>
      <c r="FM5" s="33" t="str">
        <f>$FK$7</f>
        <v>ChainMotor</v>
      </c>
      <c r="FN5" s="33" t="str">
        <f>$FK$7</f>
        <v>ChainMotor</v>
      </c>
    </row>
    <row r="6" spans="1:170" ht="15.75" thickBot="1">
      <c r="A6" s="595" t="s">
        <v>723</v>
      </c>
      <c r="B6" s="596"/>
      <c r="C6" s="596"/>
      <c r="D6" s="596"/>
      <c r="E6" s="596"/>
      <c r="F6" s="596"/>
      <c r="G6" s="596"/>
      <c r="H6" s="596"/>
      <c r="I6" s="597"/>
      <c r="J6" s="298">
        <v>22</v>
      </c>
      <c r="K6" s="701" t="s">
        <v>654</v>
      </c>
      <c r="L6" s="702"/>
      <c r="M6" s="701"/>
      <c r="N6" s="719"/>
      <c r="O6" s="719"/>
      <c r="P6" s="719"/>
      <c r="Q6" s="719"/>
      <c r="R6" s="719"/>
      <c r="S6" s="719"/>
      <c r="T6" s="702"/>
      <c r="BA6" s="33" t="s">
        <v>2263</v>
      </c>
      <c r="BI6" s="33" t="s">
        <v>1566</v>
      </c>
      <c r="CA6" s="299" t="s">
        <v>1567</v>
      </c>
      <c r="CB6" s="299" t="s">
        <v>1568</v>
      </c>
      <c r="CC6" s="300" t="s">
        <v>26</v>
      </c>
      <c r="CD6" s="301" t="s">
        <v>26</v>
      </c>
      <c r="CE6" s="299" t="s">
        <v>1569</v>
      </c>
      <c r="CF6" s="302" t="s">
        <v>1177</v>
      </c>
      <c r="CG6" s="303" t="s">
        <v>26</v>
      </c>
      <c r="CH6" s="304" t="s">
        <v>1570</v>
      </c>
      <c r="CI6" s="305" t="s">
        <v>1571</v>
      </c>
      <c r="CJ6" s="306" t="s">
        <v>1572</v>
      </c>
      <c r="CK6" s="299" t="s">
        <v>1573</v>
      </c>
      <c r="CL6" s="307" t="s">
        <v>1574</v>
      </c>
      <c r="CM6" s="305" t="s">
        <v>26</v>
      </c>
      <c r="CN6" s="306" t="s">
        <v>1575</v>
      </c>
      <c r="CO6" s="299" t="s">
        <v>1797</v>
      </c>
      <c r="CP6" s="299" t="s">
        <v>1820</v>
      </c>
      <c r="CQ6" s="299" t="s">
        <v>1821</v>
      </c>
      <c r="CR6" s="439" t="s">
        <v>1822</v>
      </c>
      <c r="CS6" s="299" t="s">
        <v>2119</v>
      </c>
      <c r="CT6" s="438" t="s">
        <v>2111</v>
      </c>
      <c r="CU6" s="438" t="s">
        <v>2113</v>
      </c>
      <c r="CV6" s="438" t="s">
        <v>2115</v>
      </c>
      <c r="CW6" s="438" t="s">
        <v>2116</v>
      </c>
      <c r="CX6" s="438" t="s">
        <v>2120</v>
      </c>
      <c r="CY6" s="438" t="s">
        <v>2121</v>
      </c>
      <c r="CZ6" s="438" t="s">
        <v>2117</v>
      </c>
      <c r="DA6" s="462" t="s">
        <v>2260</v>
      </c>
      <c r="DB6" s="462" t="s">
        <v>2261</v>
      </c>
      <c r="DC6" s="462" t="s">
        <v>2262</v>
      </c>
      <c r="DJ6" s="308"/>
      <c r="DK6" s="289" t="s">
        <v>1567</v>
      </c>
      <c r="DL6" s="289" t="s">
        <v>2127</v>
      </c>
      <c r="DM6" s="290" t="s">
        <v>26</v>
      </c>
      <c r="DN6" s="291" t="s">
        <v>26</v>
      </c>
      <c r="DO6" s="289" t="s">
        <v>1569</v>
      </c>
      <c r="DP6" s="292" t="s">
        <v>2126</v>
      </c>
      <c r="DQ6" s="293" t="s">
        <v>26</v>
      </c>
      <c r="DR6" s="294" t="s">
        <v>1570</v>
      </c>
      <c r="DS6" s="295" t="s">
        <v>1571</v>
      </c>
      <c r="DT6" s="296" t="s">
        <v>1572</v>
      </c>
      <c r="DU6" s="289" t="s">
        <v>1573</v>
      </c>
      <c r="DV6" s="297" t="s">
        <v>1574</v>
      </c>
      <c r="DW6" s="295" t="s">
        <v>26</v>
      </c>
      <c r="DX6" s="296" t="s">
        <v>1575</v>
      </c>
      <c r="DY6" s="296" t="s">
        <v>1797</v>
      </c>
      <c r="DZ6" s="296" t="s">
        <v>1820</v>
      </c>
      <c r="EA6" s="296" t="s">
        <v>1821</v>
      </c>
      <c r="EB6" s="296" t="s">
        <v>2056</v>
      </c>
      <c r="EC6" s="296" t="s">
        <v>2057</v>
      </c>
      <c r="ED6" s="296" t="s">
        <v>2055</v>
      </c>
      <c r="EE6" s="296" t="s">
        <v>2053</v>
      </c>
      <c r="EF6" s="296" t="s">
        <v>2054</v>
      </c>
      <c r="EG6" s="296" t="s">
        <v>2234</v>
      </c>
      <c r="EH6" s="296" t="s">
        <v>2233</v>
      </c>
      <c r="EI6" s="296" t="s">
        <v>2235</v>
      </c>
      <c r="EJ6" s="449" t="s">
        <v>1573</v>
      </c>
      <c r="EK6" s="450" t="s">
        <v>2059</v>
      </c>
      <c r="EL6" s="449" t="s">
        <v>2058</v>
      </c>
      <c r="EM6" s="449" t="s">
        <v>2184</v>
      </c>
      <c r="EN6" s="296" t="s">
        <v>1822</v>
      </c>
      <c r="EO6" s="296" t="s">
        <v>2265</v>
      </c>
      <c r="EP6" s="296" t="s">
        <v>2266</v>
      </c>
      <c r="EQ6" s="296" t="s">
        <v>2267</v>
      </c>
      <c r="ER6" s="296" t="s">
        <v>2268</v>
      </c>
      <c r="ES6" s="173" t="s">
        <v>332</v>
      </c>
    </row>
    <row r="7" spans="1:170" ht="47.25" customHeight="1" thickTop="1" thickBot="1">
      <c r="A7" s="66" t="s">
        <v>146</v>
      </c>
      <c r="B7" s="67" t="s">
        <v>147</v>
      </c>
      <c r="C7" s="68" t="s">
        <v>164</v>
      </c>
      <c r="D7" s="68" t="s">
        <v>1576</v>
      </c>
      <c r="E7" s="68" t="s">
        <v>182</v>
      </c>
      <c r="F7" s="68" t="s">
        <v>152</v>
      </c>
      <c r="G7" s="67" t="s">
        <v>148</v>
      </c>
      <c r="H7" s="68" t="s">
        <v>149</v>
      </c>
      <c r="I7" s="69" t="s">
        <v>14</v>
      </c>
      <c r="J7" s="69" t="s">
        <v>165</v>
      </c>
      <c r="K7" s="282" t="s">
        <v>13</v>
      </c>
      <c r="L7" s="67" t="s">
        <v>1577</v>
      </c>
      <c r="M7" s="93" t="s">
        <v>166</v>
      </c>
      <c r="N7" s="93" t="s">
        <v>1536</v>
      </c>
      <c r="O7" s="68" t="s">
        <v>167</v>
      </c>
      <c r="P7" s="68" t="s">
        <v>168</v>
      </c>
      <c r="Q7" s="67" t="s">
        <v>1578</v>
      </c>
      <c r="R7" s="67" t="s">
        <v>1579</v>
      </c>
      <c r="S7" s="238" t="s">
        <v>1580</v>
      </c>
      <c r="T7" s="76" t="s">
        <v>203</v>
      </c>
      <c r="U7" s="231"/>
      <c r="V7" s="231"/>
      <c r="W7" s="33" t="s">
        <v>1072</v>
      </c>
      <c r="X7" s="33" t="s">
        <v>1170</v>
      </c>
      <c r="Z7" s="172" t="s">
        <v>1171</v>
      </c>
      <c r="AC7" s="172" t="s">
        <v>841</v>
      </c>
      <c r="AD7" s="33" t="s">
        <v>1129</v>
      </c>
      <c r="AG7" s="33" t="s">
        <v>1151</v>
      </c>
      <c r="AI7" s="33" t="s">
        <v>186</v>
      </c>
      <c r="AV7" s="172" t="s">
        <v>1436</v>
      </c>
      <c r="AW7" s="33" t="s">
        <v>168</v>
      </c>
      <c r="AX7" s="33" t="s">
        <v>1446</v>
      </c>
      <c r="AY7" s="33" t="s">
        <v>1447</v>
      </c>
      <c r="AZ7" s="33" t="s">
        <v>1448</v>
      </c>
      <c r="BA7" s="33" t="s">
        <v>2281</v>
      </c>
      <c r="BB7" s="33" t="s">
        <v>2282</v>
      </c>
      <c r="BE7" s="33" t="s">
        <v>1581</v>
      </c>
      <c r="BF7" s="33" t="s">
        <v>1582</v>
      </c>
      <c r="BG7" s="33" t="s">
        <v>1577</v>
      </c>
      <c r="BH7" s="33" t="s">
        <v>166</v>
      </c>
      <c r="BI7" s="33" t="s">
        <v>1583</v>
      </c>
      <c r="BJ7" s="33" t="s">
        <v>1584</v>
      </c>
      <c r="BK7" s="33" t="s">
        <v>1585</v>
      </c>
      <c r="BL7" s="33" t="s">
        <v>1586</v>
      </c>
      <c r="BM7" s="33" t="s">
        <v>1587</v>
      </c>
      <c r="BN7" s="33" t="s">
        <v>209</v>
      </c>
      <c r="BO7" s="33" t="s">
        <v>168</v>
      </c>
      <c r="BP7" s="33" t="s">
        <v>1588</v>
      </c>
      <c r="BR7" s="33" t="s">
        <v>1589</v>
      </c>
      <c r="BS7" s="33" t="s">
        <v>1590</v>
      </c>
      <c r="BT7" s="33" t="s">
        <v>1591</v>
      </c>
      <c r="BU7" s="33" t="s">
        <v>1592</v>
      </c>
      <c r="BV7" s="33" t="s">
        <v>1593</v>
      </c>
      <c r="BW7" s="33" t="s">
        <v>2264</v>
      </c>
      <c r="BX7" s="33" t="s">
        <v>1594</v>
      </c>
      <c r="BY7" s="33" t="s">
        <v>1595</v>
      </c>
      <c r="BZ7" s="33" t="s">
        <v>182</v>
      </c>
      <c r="CA7" s="299" t="s">
        <v>1551</v>
      </c>
      <c r="CB7" s="299" t="s">
        <v>1552</v>
      </c>
      <c r="CC7" s="300" t="s">
        <v>1553</v>
      </c>
      <c r="CD7" s="301" t="s">
        <v>1554</v>
      </c>
      <c r="CE7" s="299" t="s">
        <v>1555</v>
      </c>
      <c r="CF7" s="302" t="s">
        <v>1556</v>
      </c>
      <c r="CG7" s="303" t="s">
        <v>1557</v>
      </c>
      <c r="CH7" s="304" t="s">
        <v>1558</v>
      </c>
      <c r="CI7" s="305" t="s">
        <v>1559</v>
      </c>
      <c r="CJ7" s="306" t="s">
        <v>1560</v>
      </c>
      <c r="CK7" s="299" t="s">
        <v>1561</v>
      </c>
      <c r="CL7" s="307" t="s">
        <v>1562</v>
      </c>
      <c r="CM7" s="305" t="s">
        <v>1563</v>
      </c>
      <c r="CN7" s="306" t="s">
        <v>1564</v>
      </c>
      <c r="CO7" s="306" t="s">
        <v>1806</v>
      </c>
      <c r="CP7" s="306" t="s">
        <v>1824</v>
      </c>
      <c r="CQ7" s="306" t="s">
        <v>1850</v>
      </c>
      <c r="CR7" s="440" t="s">
        <v>1823</v>
      </c>
      <c r="CS7" s="440" t="s">
        <v>2065</v>
      </c>
      <c r="CT7" s="447" t="s">
        <v>2112</v>
      </c>
      <c r="CU7" s="447" t="s">
        <v>2114</v>
      </c>
      <c r="CV7" s="447" t="s">
        <v>2118</v>
      </c>
      <c r="CW7" s="447" t="s">
        <v>2122</v>
      </c>
      <c r="CX7" s="447" t="s">
        <v>2123</v>
      </c>
      <c r="CY7" s="447" t="s">
        <v>2124</v>
      </c>
      <c r="CZ7" s="447" t="s">
        <v>2125</v>
      </c>
      <c r="DA7" s="463" t="s">
        <v>2236</v>
      </c>
      <c r="DB7" s="463" t="s">
        <v>2237</v>
      </c>
      <c r="DC7" s="463" t="s">
        <v>2238</v>
      </c>
      <c r="DD7" s="454" t="s">
        <v>2183</v>
      </c>
      <c r="DE7" s="432" t="s">
        <v>1596</v>
      </c>
      <c r="DF7" s="239" t="s">
        <v>1597</v>
      </c>
      <c r="DG7" s="239" t="s">
        <v>1598</v>
      </c>
      <c r="DH7" s="239" t="s">
        <v>1599</v>
      </c>
      <c r="DJ7" s="308" t="s">
        <v>1583</v>
      </c>
      <c r="DK7" s="308" t="str">
        <f>$CA$7</f>
        <v>B1_Colour</v>
      </c>
      <c r="DL7" s="308" t="str">
        <f>$CB$7</f>
        <v>B10_Colour</v>
      </c>
      <c r="DM7" s="308" t="str">
        <f>$CC$7</f>
        <v>BL1_Colour</v>
      </c>
      <c r="DN7" s="308" t="str">
        <f>$CC$7</f>
        <v>BL1_Colour</v>
      </c>
      <c r="DO7" s="308" t="str">
        <f>$CE$7</f>
        <v>BL2_Colour</v>
      </c>
      <c r="DP7" s="308" t="str">
        <f>$CF$7</f>
        <v>BL9_Colour</v>
      </c>
      <c r="DQ7" s="308" t="str">
        <f>$CC$7</f>
        <v>BL1_Colour</v>
      </c>
      <c r="DR7" s="309" t="str">
        <f t="shared" ref="DR7:DT7" si="0">$ES$5</f>
        <v>ColourNA</v>
      </c>
      <c r="DS7" s="309" t="str">
        <f t="shared" si="0"/>
        <v>ColourNA</v>
      </c>
      <c r="DT7" s="309" t="str">
        <f t="shared" si="0"/>
        <v>ColourNA</v>
      </c>
      <c r="DU7" s="308" t="str">
        <f>$CK$7</f>
        <v>LV1_Colour</v>
      </c>
      <c r="DV7" s="308" t="str">
        <f>$CL$7</f>
        <v>LV2_Colour</v>
      </c>
      <c r="DW7" s="308" t="str">
        <f>$CC$7</f>
        <v>BL1_Colour</v>
      </c>
      <c r="DX7" s="309" t="str">
        <f t="shared" ref="DX7" si="1">$ES$5</f>
        <v>ColourNA</v>
      </c>
      <c r="DY7" s="382" t="str">
        <f>$CO$7</f>
        <v>BL20_Colour</v>
      </c>
      <c r="DZ7" s="382" t="str">
        <f>CP7</f>
        <v>BL30_Colour</v>
      </c>
      <c r="EA7" s="382" t="str">
        <f>CQ7</f>
        <v>BL2PRD_Colour</v>
      </c>
      <c r="EB7" s="382" t="str">
        <f>CW7</f>
        <v>BL58_Colour</v>
      </c>
      <c r="EC7" s="382" t="str">
        <f>CS7</f>
        <v>BL46_Colour</v>
      </c>
      <c r="ED7" s="382" t="str">
        <f>CV7</f>
        <v>BL50_Colour</v>
      </c>
      <c r="EE7" s="382" t="str">
        <f>CT7</f>
        <v>BL48_Colour</v>
      </c>
      <c r="EF7" s="382" t="str">
        <f>CU7</f>
        <v>BL52_Colour</v>
      </c>
      <c r="EG7" s="382" t="str">
        <f>$DA$7</f>
        <v>BK10_Colour</v>
      </c>
      <c r="EH7" s="382" t="str">
        <f>DB7</f>
        <v>BK50_Colour</v>
      </c>
      <c r="EI7" s="382" t="str">
        <f>DC7</f>
        <v>BK20_Colour</v>
      </c>
      <c r="EJ7" s="309" t="str">
        <f>$CK$7</f>
        <v>LV1_Colour</v>
      </c>
      <c r="EK7" s="309" t="str">
        <f>$ES$5</f>
        <v>ColourNA</v>
      </c>
      <c r="EL7" s="309" t="str">
        <f>$ES$5</f>
        <v>ColourNA</v>
      </c>
      <c r="EM7" s="382" t="str">
        <f>DD7</f>
        <v>GRS1_Colour</v>
      </c>
      <c r="EN7" s="382" t="str">
        <f>CR7</f>
        <v>B5_Colour</v>
      </c>
      <c r="EO7" s="309" t="str">
        <f t="shared" ref="EM7:ER9" si="2">$ES$5</f>
        <v>ColourNA</v>
      </c>
      <c r="EP7" s="309" t="str">
        <f t="shared" si="2"/>
        <v>ColourNA</v>
      </c>
      <c r="EQ7" s="309" t="str">
        <f t="shared" si="2"/>
        <v>ColourNA</v>
      </c>
      <c r="ER7" s="309" t="str">
        <f t="shared" si="2"/>
        <v>ColourNA</v>
      </c>
      <c r="ET7" s="310" t="s">
        <v>1600</v>
      </c>
      <c r="EU7" s="310" t="s">
        <v>1601</v>
      </c>
      <c r="EV7" s="310" t="s">
        <v>1602</v>
      </c>
      <c r="EW7" s="296" t="s">
        <v>2277</v>
      </c>
      <c r="EX7" s="296" t="s">
        <v>2278</v>
      </c>
      <c r="EY7" s="296" t="s">
        <v>2279</v>
      </c>
      <c r="EZ7" s="296" t="s">
        <v>2280</v>
      </c>
      <c r="FA7" s="33" t="s">
        <v>1603</v>
      </c>
      <c r="FB7" s="33" t="s">
        <v>1604</v>
      </c>
      <c r="FC7" s="33" t="s">
        <v>1599</v>
      </c>
      <c r="FD7" s="33" t="s">
        <v>1605</v>
      </c>
      <c r="FE7" s="33" t="s">
        <v>1606</v>
      </c>
      <c r="FF7" s="33" t="s">
        <v>1607</v>
      </c>
      <c r="FG7" s="310" t="s">
        <v>1608</v>
      </c>
      <c r="FH7" s="310" t="s">
        <v>1609</v>
      </c>
      <c r="FI7" s="310" t="s">
        <v>1610</v>
      </c>
      <c r="FJ7" s="311" t="s">
        <v>1611</v>
      </c>
      <c r="FK7" s="33" t="s">
        <v>1813</v>
      </c>
      <c r="FL7" s="33" t="s">
        <v>167</v>
      </c>
      <c r="FM7" s="33" t="s">
        <v>168</v>
      </c>
      <c r="FN7" s="33" t="s">
        <v>1192</v>
      </c>
    </row>
    <row r="8" spans="1:170" ht="30" customHeight="1" thickTop="1" thickBot="1">
      <c r="A8" s="50">
        <v>1</v>
      </c>
      <c r="B8" s="9"/>
      <c r="C8" s="23"/>
      <c r="D8" s="25"/>
      <c r="E8" s="25"/>
      <c r="F8" s="11"/>
      <c r="G8" s="10"/>
      <c r="H8" s="10"/>
      <c r="I8" s="24"/>
      <c r="J8" s="24"/>
      <c r="K8" s="281"/>
      <c r="L8" s="469"/>
      <c r="M8" s="469"/>
      <c r="N8" s="465"/>
      <c r="O8" s="40"/>
      <c r="P8" s="40"/>
      <c r="Q8" s="40"/>
      <c r="R8" s="40"/>
      <c r="S8" s="252" t="str">
        <f t="shared" ref="S8:S39" si="3">IF(SUM(C8)=0,"",SUM(((G8*H8)/1000000)))</f>
        <v/>
      </c>
      <c r="T8" s="174"/>
      <c r="U8" s="229"/>
      <c r="V8" s="230"/>
      <c r="BA8" s="33" t="str">
        <f>IF(D8=$BA$6,$BB$7,$BG$7)</f>
        <v>Head Box Colour</v>
      </c>
      <c r="BB8" s="33" t="s">
        <v>332</v>
      </c>
      <c r="BE8" s="33" t="s">
        <v>1583</v>
      </c>
      <c r="BF8" s="33" t="s">
        <v>1612</v>
      </c>
      <c r="BG8" s="33" t="s">
        <v>847</v>
      </c>
      <c r="BH8" s="33" t="s">
        <v>1613</v>
      </c>
      <c r="BI8" s="33" t="s">
        <v>332</v>
      </c>
      <c r="BJ8" s="33" t="s">
        <v>332</v>
      </c>
      <c r="BK8" s="33" t="s">
        <v>332</v>
      </c>
      <c r="BL8" s="33" t="s">
        <v>1612</v>
      </c>
      <c r="BM8" s="33" t="b">
        <f t="shared" ref="BM8:BM57" si="4">IF(D8=$BI$7,$BI$7, IF(D8=$BJ$7,$BJ$7,IF(D8=$BK$7,$BK$7,IF(D8=$BL$7,$BL$7))))</f>
        <v>0</v>
      </c>
      <c r="BN8" s="312" t="s">
        <v>847</v>
      </c>
      <c r="BO8" s="33" t="s">
        <v>847</v>
      </c>
      <c r="BP8" s="33" t="s">
        <v>847</v>
      </c>
      <c r="BQ8" s="33" t="s">
        <v>322</v>
      </c>
      <c r="BR8" s="33" t="s">
        <v>847</v>
      </c>
      <c r="BT8" s="33" t="str">
        <f t="shared" ref="BT8:BT39" si="5">IF(D8=$BE$14,$BR$7,$BO$7)</f>
        <v>Chain Colour</v>
      </c>
      <c r="BU8" s="33" t="s">
        <v>2126</v>
      </c>
      <c r="BV8" s="33" t="s">
        <v>26</v>
      </c>
      <c r="BW8" s="33" t="s">
        <v>2265</v>
      </c>
      <c r="BX8" s="312" t="s">
        <v>1573</v>
      </c>
      <c r="BY8" s="33" t="s">
        <v>26</v>
      </c>
      <c r="BZ8" s="33" t="b">
        <f>IF(D8=$BE$8,$BU$7,IF(D8=$BE$9,$BW$7,IF(D8=$BE$10,$BX$7)))</f>
        <v>0</v>
      </c>
      <c r="CA8" s="199" t="s">
        <v>1614</v>
      </c>
      <c r="CB8" s="199" t="s">
        <v>1631</v>
      </c>
      <c r="CC8" s="199" t="s">
        <v>1616</v>
      </c>
      <c r="CD8" s="199" t="s">
        <v>1617</v>
      </c>
      <c r="CE8" s="199" t="s">
        <v>1618</v>
      </c>
      <c r="CF8" s="199" t="s">
        <v>1619</v>
      </c>
      <c r="CG8" s="199" t="s">
        <v>1620</v>
      </c>
      <c r="CH8" s="199" t="s">
        <v>1621</v>
      </c>
      <c r="CI8" s="199" t="s">
        <v>1622</v>
      </c>
      <c r="CJ8" s="199" t="s">
        <v>1623</v>
      </c>
      <c r="CK8" t="s">
        <v>1624</v>
      </c>
      <c r="CL8" s="199" t="s">
        <v>1625</v>
      </c>
      <c r="CM8" s="199" t="s">
        <v>1626</v>
      </c>
      <c r="CN8" s="199" t="s">
        <v>1627</v>
      </c>
      <c r="CO8" s="199" t="s">
        <v>1798</v>
      </c>
      <c r="CP8" s="199" t="s">
        <v>1843</v>
      </c>
      <c r="CQ8" s="199" t="s">
        <v>1825</v>
      </c>
      <c r="CR8" s="441" t="s">
        <v>1832</v>
      </c>
      <c r="CS8" s="444" t="s">
        <v>2060</v>
      </c>
      <c r="CT8" s="443" t="s">
        <v>2093</v>
      </c>
      <c r="CU8" s="443" t="s">
        <v>2099</v>
      </c>
      <c r="CV8" s="443" t="s">
        <v>2100</v>
      </c>
      <c r="CW8" s="443" t="s">
        <v>2081</v>
      </c>
      <c r="CX8" s="443" t="s">
        <v>2104</v>
      </c>
      <c r="CY8" s="443" t="s">
        <v>2106</v>
      </c>
      <c r="CZ8" s="443" t="s">
        <v>2092</v>
      </c>
      <c r="DA8" s="464" t="s">
        <v>2239</v>
      </c>
      <c r="DB8" s="464" t="s">
        <v>2248</v>
      </c>
      <c r="DC8" s="464" t="s">
        <v>2252</v>
      </c>
      <c r="DD8" s="456" t="s">
        <v>2179</v>
      </c>
      <c r="DE8" s="446" t="b">
        <f t="shared" ref="DE8:DE32" si="6">IF(E8=$CA$6,$CA$7, IF(E8=$CB$6,$CB$7, IF(E8=$CC$6,$CC$7, IF(E8=$CD$6,$CD$7, IF(E8=$CE$6,$CE$7, IF(E8=$CF$6,$CF$7, IF(E8=$CG$6,$CG$7, IF(E8=$CH$6,$CH$7, IF(E8=$CI$6,$CI$7, IF(E8=$CJ$6,$CJ$7, IF(E8=$CK$6,$CK$7, IF(E8=$CL$6,$CL$7, IF(E8=$CM$6,$CM$7, IF(E8=$CN$6,$CN$7))))))))))))))</f>
        <v>0</v>
      </c>
      <c r="DF8" s="239" t="s">
        <v>69</v>
      </c>
      <c r="DG8" s="239" t="s">
        <v>332</v>
      </c>
      <c r="DH8" s="239" t="str">
        <f>IF(D8=$BE$14,$DG$7,$DF$7)</f>
        <v>Fabric Insert Option</v>
      </c>
      <c r="DJ8" s="172" t="s">
        <v>2263</v>
      </c>
      <c r="DK8" s="309" t="str">
        <f t="shared" ref="DK8:DZ8" si="7">$ES$5</f>
        <v>ColourNA</v>
      </c>
      <c r="DL8" s="309" t="str">
        <f t="shared" si="7"/>
        <v>ColourNA</v>
      </c>
      <c r="DM8" s="309" t="str">
        <f t="shared" si="7"/>
        <v>ColourNA</v>
      </c>
      <c r="DN8" s="309" t="str">
        <f t="shared" si="7"/>
        <v>ColourNA</v>
      </c>
      <c r="DO8" s="309" t="str">
        <f t="shared" si="7"/>
        <v>ColourNA</v>
      </c>
      <c r="DP8" s="309" t="str">
        <f t="shared" si="7"/>
        <v>ColourNA</v>
      </c>
      <c r="DQ8" s="309" t="str">
        <f t="shared" si="7"/>
        <v>ColourNA</v>
      </c>
      <c r="DR8" s="309" t="str">
        <f t="shared" si="7"/>
        <v>ColourNA</v>
      </c>
      <c r="DS8" s="309" t="str">
        <f t="shared" si="7"/>
        <v>ColourNA</v>
      </c>
      <c r="DT8" s="309" t="str">
        <f t="shared" si="7"/>
        <v>ColourNA</v>
      </c>
      <c r="DU8" s="309" t="str">
        <f t="shared" si="7"/>
        <v>ColourNA</v>
      </c>
      <c r="DV8" s="309" t="str">
        <f t="shared" si="7"/>
        <v>ColourNA</v>
      </c>
      <c r="DW8" s="309" t="str">
        <f t="shared" si="7"/>
        <v>ColourNA</v>
      </c>
      <c r="DX8" s="309" t="str">
        <f t="shared" si="7"/>
        <v>ColourNA</v>
      </c>
      <c r="DY8" s="309" t="str">
        <f t="shared" si="7"/>
        <v>ColourNA</v>
      </c>
      <c r="DZ8" s="309" t="str">
        <f t="shared" si="7"/>
        <v>ColourNA</v>
      </c>
      <c r="EA8" s="309" t="str">
        <f t="shared" ref="DY8:EN9" si="8">$ES$5</f>
        <v>ColourNA</v>
      </c>
      <c r="EB8" s="309" t="str">
        <f t="shared" si="8"/>
        <v>ColourNA</v>
      </c>
      <c r="EC8" s="309" t="str">
        <f t="shared" si="8"/>
        <v>ColourNA</v>
      </c>
      <c r="ED8" s="309" t="str">
        <f t="shared" si="8"/>
        <v>ColourNA</v>
      </c>
      <c r="EE8" s="309" t="str">
        <f t="shared" si="8"/>
        <v>ColourNA</v>
      </c>
      <c r="EF8" s="309" t="str">
        <f t="shared" si="8"/>
        <v>ColourNA</v>
      </c>
      <c r="EG8" s="309" t="str">
        <f t="shared" si="8"/>
        <v>ColourNA</v>
      </c>
      <c r="EH8" s="309" t="str">
        <f t="shared" si="8"/>
        <v>ColourNA</v>
      </c>
      <c r="EI8" s="309" t="str">
        <f t="shared" si="8"/>
        <v>ColourNA</v>
      </c>
      <c r="EJ8" s="309" t="str">
        <f t="shared" si="8"/>
        <v>ColourNA</v>
      </c>
      <c r="EK8" s="309" t="str">
        <f t="shared" si="8"/>
        <v>ColourNA</v>
      </c>
      <c r="EL8" s="309" t="str">
        <f t="shared" si="8"/>
        <v>ColourNA</v>
      </c>
      <c r="EM8" s="309" t="str">
        <f t="shared" si="8"/>
        <v>ColourNA</v>
      </c>
      <c r="EN8" s="309" t="str">
        <f t="shared" si="8"/>
        <v>ColourNA</v>
      </c>
      <c r="EO8" s="382" t="str">
        <f>$EW$7</f>
        <v>Monti_Colour</v>
      </c>
      <c r="EP8" s="382" t="str">
        <f>$EX$7</f>
        <v>Prati_Colour</v>
      </c>
      <c r="EQ8" s="382" t="str">
        <f>$EY$7</f>
        <v>Termini_Colour</v>
      </c>
      <c r="ER8" s="382" t="str">
        <f>$EZ$7</f>
        <v>Tridente_Colour</v>
      </c>
      <c r="ET8" s="310" t="e">
        <f>MATCH(D8,$DJ$7:$DJ$9,0)</f>
        <v>#N/A</v>
      </c>
      <c r="EU8" s="310" t="e">
        <f>MATCH(E8,$DK$6:$ER$6,0)</f>
        <v>#N/A</v>
      </c>
      <c r="EV8" s="310" t="e">
        <f>INDEX($DK$7:$ER$9,ET8,EU8)</f>
        <v>#N/A</v>
      </c>
      <c r="EW8" s="466" t="s">
        <v>1100</v>
      </c>
      <c r="EX8" s="468" t="s">
        <v>2272</v>
      </c>
      <c r="EY8" s="466" t="s">
        <v>2272</v>
      </c>
      <c r="EZ8" s="468" t="s">
        <v>2272</v>
      </c>
      <c r="FA8" s="33" t="s">
        <v>69</v>
      </c>
      <c r="FB8" s="33" t="s">
        <v>332</v>
      </c>
      <c r="FC8" s="239" t="str">
        <f>IF(D8=$BE$11,$FA$7,$FB$7)</f>
        <v>Vertical Extension Bracket Option NA</v>
      </c>
      <c r="FD8" s="33" t="s">
        <v>847</v>
      </c>
      <c r="FE8" s="33" t="s">
        <v>377</v>
      </c>
      <c r="FF8" s="313" t="str">
        <f>IF(OR(AND(E8="Jacquard Weave",D8="Multi Shade")),$FE$7,$FD$7)</f>
        <v>Other Bottom Rail Colour</v>
      </c>
      <c r="FG8" s="311" t="s">
        <v>26</v>
      </c>
      <c r="FH8" s="311" t="s">
        <v>332</v>
      </c>
      <c r="FI8" s="311" t="s">
        <v>26</v>
      </c>
      <c r="FJ8" s="311" t="b">
        <f t="shared" ref="FJ8:FJ39" si="9">IF(D8=$BE$8,$FG$7,IF(D8=$BE$14,$FH$7,IF(D8=$BE$9,$FI$7)))</f>
        <v>0</v>
      </c>
      <c r="FK8" s="33" t="s">
        <v>332</v>
      </c>
      <c r="FL8" s="33" t="e">
        <f>VLOOKUP(N8,$FL$2:$FM$5,2,FALSE)</f>
        <v>#N/A</v>
      </c>
      <c r="FM8" s="33" t="e">
        <f>VLOOKUP(N8,$FL$2:$FN$5,3,FALSE)</f>
        <v>#N/A</v>
      </c>
      <c r="FN8" s="33" t="s">
        <v>21</v>
      </c>
    </row>
    <row r="9" spans="1:170" ht="30" customHeight="1" thickBot="1">
      <c r="A9" s="51">
        <v>2</v>
      </c>
      <c r="B9" s="13"/>
      <c r="C9" s="27"/>
      <c r="D9" s="13"/>
      <c r="E9" s="13"/>
      <c r="F9" s="15"/>
      <c r="G9" s="10"/>
      <c r="H9" s="10"/>
      <c r="I9" s="14"/>
      <c r="J9" s="14"/>
      <c r="K9" s="280"/>
      <c r="L9" s="15"/>
      <c r="M9" s="15"/>
      <c r="N9" s="15"/>
      <c r="O9" s="13"/>
      <c r="P9" s="13"/>
      <c r="Q9" s="13"/>
      <c r="R9" s="13"/>
      <c r="S9" s="253" t="str">
        <f t="shared" si="3"/>
        <v/>
      </c>
      <c r="T9" s="175"/>
      <c r="U9" s="229"/>
      <c r="V9" s="230"/>
      <c r="BA9" s="33" t="str">
        <f t="shared" ref="BA9:BA57" si="10">IF(D9=$BA$6,$BB$7,$BG$7)</f>
        <v>Head Box Colour</v>
      </c>
      <c r="BE9" s="33" t="s">
        <v>2263</v>
      </c>
      <c r="BF9" s="33" t="s">
        <v>1629</v>
      </c>
      <c r="BG9" s="33" t="s">
        <v>1613</v>
      </c>
      <c r="BH9" s="33" t="s">
        <v>377</v>
      </c>
      <c r="BL9" s="33" t="s">
        <v>1629</v>
      </c>
      <c r="BM9" s="33" t="b">
        <f t="shared" si="4"/>
        <v>0</v>
      </c>
      <c r="BN9" s="33" t="s">
        <v>1613</v>
      </c>
      <c r="BO9" s="33" t="s">
        <v>326</v>
      </c>
      <c r="BP9" s="33" t="s">
        <v>1416</v>
      </c>
      <c r="BQ9" s="33" t="s">
        <v>406</v>
      </c>
      <c r="BR9" s="33" t="s">
        <v>1613</v>
      </c>
      <c r="BT9" s="33" t="str">
        <f t="shared" si="5"/>
        <v>Chain Colour</v>
      </c>
      <c r="BU9" s="33" t="s">
        <v>2127</v>
      </c>
      <c r="BW9" s="33" t="s">
        <v>2266</v>
      </c>
      <c r="BX9" s="312" t="s">
        <v>2059</v>
      </c>
      <c r="BY9" s="33" t="s">
        <v>1570</v>
      </c>
      <c r="BZ9" s="33" t="b">
        <f t="shared" ref="BZ9:BZ57" si="11">IF(D9=$BE$8,$BU$7,IF(D9=$BE$9,$BW$7,IF(D9=$BE$10,$BX$7)))</f>
        <v>0</v>
      </c>
      <c r="CA9" s="199" t="s">
        <v>1630</v>
      </c>
      <c r="CB9" s="199" t="s">
        <v>1647</v>
      </c>
      <c r="CC9" s="199" t="s">
        <v>1632</v>
      </c>
      <c r="CD9" s="199" t="s">
        <v>1633</v>
      </c>
      <c r="CE9" t="s">
        <v>1650</v>
      </c>
      <c r="CF9" s="199" t="s">
        <v>1635</v>
      </c>
      <c r="CG9" s="199" t="s">
        <v>1636</v>
      </c>
      <c r="CH9" s="199" t="s">
        <v>1637</v>
      </c>
      <c r="CI9" s="199" t="s">
        <v>1638</v>
      </c>
      <c r="CJ9" s="199" t="s">
        <v>1639</v>
      </c>
      <c r="CK9" s="199" t="s">
        <v>1640</v>
      </c>
      <c r="CL9" s="199" t="s">
        <v>1641</v>
      </c>
      <c r="CM9" t="s">
        <v>1673</v>
      </c>
      <c r="CN9" s="199" t="s">
        <v>1643</v>
      </c>
      <c r="CO9" s="199" t="s">
        <v>1799</v>
      </c>
      <c r="CP9" s="199" t="s">
        <v>1844</v>
      </c>
      <c r="CQ9" s="199" t="s">
        <v>1826</v>
      </c>
      <c r="CR9" s="441" t="s">
        <v>1833</v>
      </c>
      <c r="CS9" s="444" t="s">
        <v>2061</v>
      </c>
      <c r="CT9" s="443" t="s">
        <v>2094</v>
      </c>
      <c r="CU9" s="443" t="s">
        <v>2098</v>
      </c>
      <c r="CV9" s="443" t="s">
        <v>2079</v>
      </c>
      <c r="CW9" s="443" t="s">
        <v>2101</v>
      </c>
      <c r="CX9" s="443" t="s">
        <v>2105</v>
      </c>
      <c r="CY9" s="443" t="s">
        <v>2088</v>
      </c>
      <c r="CZ9" s="443" t="s">
        <v>2108</v>
      </c>
      <c r="DA9" s="464" t="s">
        <v>2240</v>
      </c>
      <c r="DB9" s="464" t="s">
        <v>2249</v>
      </c>
      <c r="DC9" s="464" t="s">
        <v>2253</v>
      </c>
      <c r="DD9" s="456" t="s">
        <v>2180</v>
      </c>
      <c r="DE9" s="446" t="b">
        <f t="shared" si="6"/>
        <v>0</v>
      </c>
      <c r="DF9" s="239" t="s">
        <v>22</v>
      </c>
      <c r="DH9" s="239" t="str">
        <f t="shared" ref="DH9:DH57" si="12">IF(D9=$BE$14,$DG$7,$DF$7)</f>
        <v>Fabric Insert Option</v>
      </c>
      <c r="DJ9" s="308" t="s">
        <v>1585</v>
      </c>
      <c r="DK9" s="309" t="str">
        <f>$ES$5</f>
        <v>ColourNA</v>
      </c>
      <c r="DL9" s="309" t="str">
        <f t="shared" ref="DL9" si="13">$ES$5</f>
        <v>ColourNA</v>
      </c>
      <c r="DM9" s="308" t="str">
        <f>$CM$7</f>
        <v>S6_Colour</v>
      </c>
      <c r="DN9" s="308" t="str">
        <f>$CM$7</f>
        <v>S6_Colour</v>
      </c>
      <c r="DO9" s="309" t="str">
        <f t="shared" ref="DO9:DP9" si="14">$ES$5</f>
        <v>ColourNA</v>
      </c>
      <c r="DP9" s="309" t="str">
        <f t="shared" si="14"/>
        <v>ColourNA</v>
      </c>
      <c r="DQ9" s="308" t="str">
        <f>$CM$7</f>
        <v>S6_Colour</v>
      </c>
      <c r="DR9" s="309" t="str">
        <f>$ES$5</f>
        <v>ColourNA</v>
      </c>
      <c r="DS9" s="308" t="str">
        <f>$CI$7</f>
        <v>E1_Colour</v>
      </c>
      <c r="DT9" s="308" t="str">
        <f>$CJ$7</f>
        <v>FR_S6_Colour</v>
      </c>
      <c r="DU9" s="309" t="str">
        <f>CZ7</f>
        <v>SH2_Colour</v>
      </c>
      <c r="DV9" s="309" t="str">
        <f>$ES$5</f>
        <v>ColourNA</v>
      </c>
      <c r="DW9" s="308" t="str">
        <f>$CM$7</f>
        <v>S6_Colour</v>
      </c>
      <c r="DX9" s="308" t="str">
        <f>$CN$7</f>
        <v>S9_Colour</v>
      </c>
      <c r="DY9" s="309" t="str">
        <f t="shared" si="8"/>
        <v>ColourNA</v>
      </c>
      <c r="DZ9" s="309" t="str">
        <f t="shared" si="8"/>
        <v>ColourNA</v>
      </c>
      <c r="EA9" s="309" t="str">
        <f t="shared" si="8"/>
        <v>ColourNA</v>
      </c>
      <c r="EB9" s="309" t="str">
        <f t="shared" ref="EB9:EI9" si="15">$ES$5</f>
        <v>ColourNA</v>
      </c>
      <c r="EC9" s="309" t="str">
        <f t="shared" si="15"/>
        <v>ColourNA</v>
      </c>
      <c r="ED9" s="309" t="str">
        <f t="shared" si="15"/>
        <v>ColourNA</v>
      </c>
      <c r="EE9" s="309" t="str">
        <f t="shared" si="15"/>
        <v>ColourNA</v>
      </c>
      <c r="EF9" s="309" t="str">
        <f t="shared" si="15"/>
        <v>ColourNA</v>
      </c>
      <c r="EG9" s="309" t="str">
        <f t="shared" si="15"/>
        <v>ColourNA</v>
      </c>
      <c r="EH9" s="309" t="str">
        <f t="shared" si="15"/>
        <v>ColourNA</v>
      </c>
      <c r="EI9" s="309" t="str">
        <f t="shared" si="15"/>
        <v>ColourNA</v>
      </c>
      <c r="EJ9" s="309" t="str">
        <f>CZ7</f>
        <v>SH2_Colour</v>
      </c>
      <c r="EK9" s="309" t="str">
        <f>CY7</f>
        <v>SP10_Colour</v>
      </c>
      <c r="EL9" s="309" t="str">
        <f>CX7</f>
        <v>SP1_Colour</v>
      </c>
      <c r="EM9" s="309" t="str">
        <f t="shared" si="2"/>
        <v>ColourNA</v>
      </c>
      <c r="EN9" s="309" t="str">
        <f t="shared" si="2"/>
        <v>ColourNA</v>
      </c>
      <c r="EO9" s="309" t="str">
        <f t="shared" si="2"/>
        <v>ColourNA</v>
      </c>
      <c r="EP9" s="309" t="str">
        <f t="shared" si="2"/>
        <v>ColourNA</v>
      </c>
      <c r="EQ9" s="309" t="str">
        <f t="shared" si="2"/>
        <v>ColourNA</v>
      </c>
      <c r="ER9" s="309" t="str">
        <f t="shared" si="2"/>
        <v>ColourNA</v>
      </c>
      <c r="ET9" s="310" t="e">
        <f t="shared" ref="ET9:ET57" si="16">MATCH(D9,$DJ$7:$DJ$9,0)</f>
        <v>#N/A</v>
      </c>
      <c r="EU9" s="310" t="e">
        <f t="shared" ref="EU9:EU57" si="17">MATCH(E9,$DK$6:$ER$6,0)</f>
        <v>#N/A</v>
      </c>
      <c r="EV9" s="310" t="e">
        <f t="shared" ref="EV9:EV57" si="18">INDEX($DK$7:$ER$9,ET9,EU9)</f>
        <v>#N/A</v>
      </c>
      <c r="EW9" s="466" t="s">
        <v>1119</v>
      </c>
      <c r="EX9" s="468" t="s">
        <v>2271</v>
      </c>
      <c r="EY9" s="466" t="s">
        <v>2271</v>
      </c>
      <c r="EZ9" s="468" t="s">
        <v>2271</v>
      </c>
      <c r="FA9" s="33" t="s">
        <v>22</v>
      </c>
      <c r="FC9" s="239" t="str">
        <f t="shared" ref="FC9:FC57" si="19">IF(D9=$BE$11,$FA$7,$FB$7)</f>
        <v>Vertical Extension Bracket Option NA</v>
      </c>
      <c r="FE9" s="33" t="s">
        <v>322</v>
      </c>
      <c r="FF9" s="313" t="str">
        <f t="shared" ref="FF9:FF57" si="20">IF(OR(AND(E9="Jacquard Weave",D9="Multi Shade")),$FE$7,$FD$7)</f>
        <v>Other Bottom Rail Colour</v>
      </c>
      <c r="FG9" s="311" t="s">
        <v>1628</v>
      </c>
      <c r="FJ9" s="311" t="b">
        <f t="shared" si="9"/>
        <v>0</v>
      </c>
      <c r="FL9" s="33" t="e">
        <f t="shared" ref="FL9:FL57" si="21">VLOOKUP(N9,$FL$2:$FM$5,2,FALSE)</f>
        <v>#N/A</v>
      </c>
      <c r="FM9" s="33" t="e">
        <f t="shared" ref="FM9:FM57" si="22">VLOOKUP(N9,$FL$2:$FN$5,3,FALSE)</f>
        <v>#N/A</v>
      </c>
      <c r="FN9" s="33" t="s">
        <v>28</v>
      </c>
    </row>
    <row r="10" spans="1:170" ht="30" customHeight="1" thickBot="1">
      <c r="A10" s="52">
        <v>3</v>
      </c>
      <c r="B10" s="17"/>
      <c r="C10" s="17"/>
      <c r="D10" s="13"/>
      <c r="E10" s="13"/>
      <c r="F10" s="15"/>
      <c r="G10" s="10"/>
      <c r="H10" s="10"/>
      <c r="I10" s="14"/>
      <c r="J10" s="14"/>
      <c r="K10" s="280"/>
      <c r="L10" s="15"/>
      <c r="M10" s="15"/>
      <c r="N10" s="15"/>
      <c r="O10" s="13"/>
      <c r="P10" s="13"/>
      <c r="Q10" s="13"/>
      <c r="R10" s="13"/>
      <c r="S10" s="253" t="str">
        <f t="shared" si="3"/>
        <v/>
      </c>
      <c r="T10" s="175"/>
      <c r="U10" s="229"/>
      <c r="V10" s="230"/>
      <c r="BA10" s="33" t="str">
        <f t="shared" si="10"/>
        <v>Head Box Colour</v>
      </c>
      <c r="BE10" s="33" t="s">
        <v>1585</v>
      </c>
      <c r="BF10" s="33" t="s">
        <v>1644</v>
      </c>
      <c r="BG10" s="33" t="s">
        <v>377</v>
      </c>
      <c r="BH10" s="33" t="s">
        <v>1645</v>
      </c>
      <c r="BL10" s="33" t="s">
        <v>1644</v>
      </c>
      <c r="BM10" s="33" t="b">
        <f t="shared" si="4"/>
        <v>0</v>
      </c>
      <c r="BN10" s="33" t="s">
        <v>377</v>
      </c>
      <c r="BP10" s="33" t="s">
        <v>1417</v>
      </c>
      <c r="BQ10" s="33" t="s">
        <v>377</v>
      </c>
      <c r="BR10" s="33" t="s">
        <v>377</v>
      </c>
      <c r="BT10" s="33" t="str">
        <f t="shared" si="5"/>
        <v>Chain Colour</v>
      </c>
      <c r="BU10" s="33" t="s">
        <v>2184</v>
      </c>
      <c r="BW10" s="33" t="s">
        <v>2267</v>
      </c>
      <c r="BX10" s="312" t="s">
        <v>2058</v>
      </c>
      <c r="BZ10" s="33" t="b">
        <f t="shared" si="11"/>
        <v>0</v>
      </c>
      <c r="CA10" s="199" t="s">
        <v>1646</v>
      </c>
      <c r="CB10" s="199" t="s">
        <v>1662</v>
      </c>
      <c r="CC10" s="199" t="s">
        <v>1648</v>
      </c>
      <c r="CD10" s="199" t="s">
        <v>1649</v>
      </c>
      <c r="CE10" s="199" t="s">
        <v>1665</v>
      </c>
      <c r="CF10" s="199" t="s">
        <v>1651</v>
      </c>
      <c r="CG10" s="199" t="s">
        <v>1652</v>
      </c>
      <c r="CH10" s="199" t="s">
        <v>1653</v>
      </c>
      <c r="CI10" s="199" t="s">
        <v>1654</v>
      </c>
      <c r="CJ10" s="199" t="s">
        <v>1655</v>
      </c>
      <c r="CK10" s="199" t="s">
        <v>1656</v>
      </c>
      <c r="CL10" s="199" t="s">
        <v>1657</v>
      </c>
      <c r="CM10" t="s">
        <v>1687</v>
      </c>
      <c r="CN10" s="199" t="s">
        <v>1659</v>
      </c>
      <c r="CO10" s="199" t="s">
        <v>1800</v>
      </c>
      <c r="CP10" s="199" t="s">
        <v>1845</v>
      </c>
      <c r="CQ10" s="199" t="s">
        <v>1827</v>
      </c>
      <c r="CR10" s="441" t="s">
        <v>1834</v>
      </c>
      <c r="CS10" s="444" t="s">
        <v>2063</v>
      </c>
      <c r="CT10" s="443" t="s">
        <v>2096</v>
      </c>
      <c r="CU10" s="443" t="s">
        <v>2071</v>
      </c>
      <c r="CV10" s="443" t="s">
        <v>2077</v>
      </c>
      <c r="CW10" s="443" t="s">
        <v>2082</v>
      </c>
      <c r="CX10" s="443" t="s">
        <v>2086</v>
      </c>
      <c r="CY10" s="443" t="s">
        <v>2089</v>
      </c>
      <c r="CZ10" s="443" t="s">
        <v>2091</v>
      </c>
      <c r="DA10" s="464" t="s">
        <v>2241</v>
      </c>
      <c r="DB10" s="464" t="s">
        <v>2250</v>
      </c>
      <c r="DC10" s="464" t="s">
        <v>2254</v>
      </c>
      <c r="DD10" s="456" t="s">
        <v>2181</v>
      </c>
      <c r="DE10" s="446" t="b">
        <f t="shared" si="6"/>
        <v>0</v>
      </c>
      <c r="DH10" s="239" t="str">
        <f t="shared" si="12"/>
        <v>Fabric Insert Option</v>
      </c>
      <c r="ET10" s="310" t="e">
        <f t="shared" si="16"/>
        <v>#N/A</v>
      </c>
      <c r="EU10" s="310" t="e">
        <f t="shared" si="17"/>
        <v>#N/A</v>
      </c>
      <c r="EV10" s="310" t="e">
        <f t="shared" si="18"/>
        <v>#N/A</v>
      </c>
      <c r="EW10" s="466" t="s">
        <v>2269</v>
      </c>
      <c r="EX10" s="467" t="s">
        <v>2270</v>
      </c>
      <c r="EY10" s="466" t="s">
        <v>2273</v>
      </c>
      <c r="EZ10" s="468" t="s">
        <v>2276</v>
      </c>
      <c r="FC10" s="239" t="str">
        <f t="shared" si="19"/>
        <v>Vertical Extension Bracket Option NA</v>
      </c>
      <c r="FF10" s="313" t="str">
        <f t="shared" si="20"/>
        <v>Other Bottom Rail Colour</v>
      </c>
      <c r="FJ10" s="311" t="b">
        <f t="shared" si="9"/>
        <v>0</v>
      </c>
      <c r="FL10" s="33" t="e">
        <f t="shared" si="21"/>
        <v>#N/A</v>
      </c>
      <c r="FM10" s="33" t="e">
        <f t="shared" si="22"/>
        <v>#N/A</v>
      </c>
      <c r="FN10" s="33" t="s">
        <v>1814</v>
      </c>
    </row>
    <row r="11" spans="1:170" ht="30" customHeight="1" thickBot="1">
      <c r="A11" s="52">
        <v>4</v>
      </c>
      <c r="B11" s="17"/>
      <c r="C11" s="17"/>
      <c r="D11" s="13"/>
      <c r="E11" s="13"/>
      <c r="F11" s="15"/>
      <c r="G11" s="10"/>
      <c r="H11" s="10"/>
      <c r="I11" s="14"/>
      <c r="J11" s="14"/>
      <c r="K11" s="280"/>
      <c r="L11" s="15"/>
      <c r="M11" s="15"/>
      <c r="N11" s="15"/>
      <c r="O11" s="13"/>
      <c r="P11" s="13"/>
      <c r="Q11" s="13"/>
      <c r="R11" s="13"/>
      <c r="S11" s="253" t="str">
        <f t="shared" si="3"/>
        <v/>
      </c>
      <c r="T11" s="175"/>
      <c r="U11" s="229"/>
      <c r="V11" s="230"/>
      <c r="BA11" s="33" t="str">
        <f t="shared" si="10"/>
        <v>Head Box Colour</v>
      </c>
      <c r="BE11" s="33" t="s">
        <v>1586</v>
      </c>
      <c r="BF11" s="33" t="s">
        <v>1660</v>
      </c>
      <c r="BG11" s="33" t="s">
        <v>1645</v>
      </c>
      <c r="BH11" s="33" t="s">
        <v>1100</v>
      </c>
      <c r="BL11" s="33" t="s">
        <v>1660</v>
      </c>
      <c r="BM11" s="33" t="b">
        <f t="shared" si="4"/>
        <v>0</v>
      </c>
      <c r="BN11" s="33" t="s">
        <v>1645</v>
      </c>
      <c r="BP11" s="33" t="s">
        <v>1418</v>
      </c>
      <c r="BQ11" s="33" t="s">
        <v>1435</v>
      </c>
      <c r="BR11" s="33" t="s">
        <v>1645</v>
      </c>
      <c r="BT11" s="33" t="str">
        <f t="shared" si="5"/>
        <v>Chain Colour</v>
      </c>
      <c r="BU11" s="33" t="s">
        <v>1573</v>
      </c>
      <c r="BW11" s="33" t="s">
        <v>2268</v>
      </c>
      <c r="BX11" s="33" t="s">
        <v>26</v>
      </c>
      <c r="BZ11" s="33" t="b">
        <f t="shared" si="11"/>
        <v>0</v>
      </c>
      <c r="CA11" s="199" t="s">
        <v>1661</v>
      </c>
      <c r="CB11" s="199" t="s">
        <v>1676</v>
      </c>
      <c r="CC11" s="199" t="s">
        <v>1663</v>
      </c>
      <c r="CD11" s="199" t="s">
        <v>1664</v>
      </c>
      <c r="CE11" s="199" t="s">
        <v>1679</v>
      </c>
      <c r="CF11" s="199" t="s">
        <v>1666</v>
      </c>
      <c r="CG11" s="199" t="s">
        <v>1667</v>
      </c>
      <c r="CH11" s="199" t="s">
        <v>1668</v>
      </c>
      <c r="CI11" s="199" t="s">
        <v>1669</v>
      </c>
      <c r="CJ11" s="199" t="s">
        <v>1670</v>
      </c>
      <c r="CK11" s="199" t="s">
        <v>1671</v>
      </c>
      <c r="CL11" s="199" t="s">
        <v>1672</v>
      </c>
      <c r="CM11" s="199" t="s">
        <v>1701</v>
      </c>
      <c r="CN11" s="199" t="s">
        <v>1674</v>
      </c>
      <c r="CO11" s="199" t="s">
        <v>1801</v>
      </c>
      <c r="CP11" s="199" t="s">
        <v>1846</v>
      </c>
      <c r="CQ11" s="199" t="s">
        <v>1828</v>
      </c>
      <c r="CR11" s="441" t="s">
        <v>1835</v>
      </c>
      <c r="CS11" s="444" t="s">
        <v>2064</v>
      </c>
      <c r="CT11" s="443" t="s">
        <v>2067</v>
      </c>
      <c r="CU11" s="443" t="s">
        <v>2069</v>
      </c>
      <c r="CV11" s="443" t="s">
        <v>2078</v>
      </c>
      <c r="CW11" s="443" t="s">
        <v>2103</v>
      </c>
      <c r="CX11" s="443" t="s">
        <v>2087</v>
      </c>
      <c r="CY11" s="443" t="s">
        <v>2107</v>
      </c>
      <c r="CZ11" s="443" t="s">
        <v>2110</v>
      </c>
      <c r="DA11" s="464" t="s">
        <v>2242</v>
      </c>
      <c r="DB11" s="464" t="s">
        <v>2251</v>
      </c>
      <c r="DC11" s="464" t="s">
        <v>2255</v>
      </c>
      <c r="DD11" s="456"/>
      <c r="DE11" s="446" t="b">
        <f t="shared" si="6"/>
        <v>0</v>
      </c>
      <c r="DH11" s="239" t="str">
        <f t="shared" si="12"/>
        <v>Fabric Insert Option</v>
      </c>
      <c r="ET11" s="310" t="e">
        <f t="shared" si="16"/>
        <v>#N/A</v>
      </c>
      <c r="EU11" s="310" t="e">
        <f t="shared" si="17"/>
        <v>#N/A</v>
      </c>
      <c r="EV11" s="310" t="e">
        <f t="shared" si="18"/>
        <v>#N/A</v>
      </c>
      <c r="EW11" s="466" t="s">
        <v>322</v>
      </c>
      <c r="EX11" s="468" t="s">
        <v>1119</v>
      </c>
      <c r="EY11" s="466" t="s">
        <v>2275</v>
      </c>
      <c r="EZ11" s="467" t="s">
        <v>2275</v>
      </c>
      <c r="FC11" s="239" t="str">
        <f t="shared" si="19"/>
        <v>Vertical Extension Bracket Option NA</v>
      </c>
      <c r="FF11" s="313" t="str">
        <f t="shared" si="20"/>
        <v>Other Bottom Rail Colour</v>
      </c>
      <c r="FJ11" s="311" t="b">
        <f t="shared" si="9"/>
        <v>0</v>
      </c>
      <c r="FL11" s="33" t="e">
        <f t="shared" si="21"/>
        <v>#N/A</v>
      </c>
      <c r="FM11" s="33" t="e">
        <f t="shared" si="22"/>
        <v>#N/A</v>
      </c>
      <c r="FN11" s="33" t="s">
        <v>1815</v>
      </c>
    </row>
    <row r="12" spans="1:170" ht="30" customHeight="1" thickBot="1">
      <c r="A12" s="52">
        <v>5</v>
      </c>
      <c r="B12" s="17"/>
      <c r="C12" s="17"/>
      <c r="D12" s="13"/>
      <c r="E12" s="13"/>
      <c r="F12" s="15"/>
      <c r="G12" s="10"/>
      <c r="H12" s="10"/>
      <c r="I12" s="14"/>
      <c r="J12" s="14"/>
      <c r="K12" s="280"/>
      <c r="L12" s="15"/>
      <c r="M12" s="15"/>
      <c r="N12" s="15"/>
      <c r="O12" s="13"/>
      <c r="P12" s="13"/>
      <c r="Q12" s="13"/>
      <c r="R12" s="13"/>
      <c r="S12" s="253" t="str">
        <f t="shared" si="3"/>
        <v/>
      </c>
      <c r="T12" s="175"/>
      <c r="U12" s="229"/>
      <c r="V12" s="230"/>
      <c r="BA12" s="33" t="str">
        <f t="shared" si="10"/>
        <v>Head Box Colour</v>
      </c>
      <c r="BG12" s="33" t="s">
        <v>1100</v>
      </c>
      <c r="BH12" s="33" t="s">
        <v>409</v>
      </c>
      <c r="BM12" s="33" t="b">
        <f t="shared" si="4"/>
        <v>0</v>
      </c>
      <c r="BN12" s="33" t="s">
        <v>1100</v>
      </c>
      <c r="BP12" s="33" t="s">
        <v>1419</v>
      </c>
      <c r="BQ12" s="33" t="s">
        <v>326</v>
      </c>
      <c r="BR12" s="33" t="s">
        <v>1100</v>
      </c>
      <c r="BT12" s="33" t="str">
        <f t="shared" si="5"/>
        <v>Chain Colour</v>
      </c>
      <c r="BU12" s="33" t="s">
        <v>1820</v>
      </c>
      <c r="BZ12" s="33" t="b">
        <f t="shared" si="11"/>
        <v>0</v>
      </c>
      <c r="CA12" s="199" t="s">
        <v>1675</v>
      </c>
      <c r="CB12" s="199" t="s">
        <v>1691</v>
      </c>
      <c r="CC12" s="199" t="s">
        <v>1677</v>
      </c>
      <c r="CD12" s="199" t="s">
        <v>1678</v>
      </c>
      <c r="CE12" s="199" t="s">
        <v>1717</v>
      </c>
      <c r="CF12" s="199" t="s">
        <v>1680</v>
      </c>
      <c r="CG12" s="199" t="s">
        <v>1681</v>
      </c>
      <c r="CH12" s="199" t="s">
        <v>1682</v>
      </c>
      <c r="CI12" s="199" t="s">
        <v>1683</v>
      </c>
      <c r="CJ12" s="199" t="s">
        <v>1684</v>
      </c>
      <c r="CK12" s="199" t="s">
        <v>1685</v>
      </c>
      <c r="CL12" s="199" t="s">
        <v>1686</v>
      </c>
      <c r="CM12" s="199" t="s">
        <v>1721</v>
      </c>
      <c r="CN12" s="199" t="s">
        <v>1688</v>
      </c>
      <c r="CO12" s="199" t="s">
        <v>1802</v>
      </c>
      <c r="CP12" s="199" t="s">
        <v>1847</v>
      </c>
      <c r="CQ12" s="199" t="s">
        <v>1829</v>
      </c>
      <c r="CR12" s="441" t="s">
        <v>1836</v>
      </c>
      <c r="CS12" s="444" t="s">
        <v>2062</v>
      </c>
      <c r="CT12" s="443" t="s">
        <v>2066</v>
      </c>
      <c r="CU12" s="443" t="s">
        <v>2097</v>
      </c>
      <c r="CV12" s="443" t="s">
        <v>2076</v>
      </c>
      <c r="CW12" s="443" t="s">
        <v>2083</v>
      </c>
      <c r="CX12" s="199"/>
      <c r="CY12" s="199"/>
      <c r="CZ12" s="443" t="s">
        <v>2090</v>
      </c>
      <c r="DA12" s="464" t="s">
        <v>2243</v>
      </c>
      <c r="DB12" s="453"/>
      <c r="DC12" s="464" t="s">
        <v>2256</v>
      </c>
      <c r="DD12" s="453"/>
      <c r="DE12" s="446" t="b">
        <f t="shared" si="6"/>
        <v>0</v>
      </c>
      <c r="DH12" s="239" t="str">
        <f t="shared" si="12"/>
        <v>Fabric Insert Option</v>
      </c>
      <c r="ET12" s="310" t="e">
        <f t="shared" si="16"/>
        <v>#N/A</v>
      </c>
      <c r="EU12" s="310" t="e">
        <f t="shared" si="17"/>
        <v>#N/A</v>
      </c>
      <c r="EV12" s="310" t="e">
        <f t="shared" si="18"/>
        <v>#N/A</v>
      </c>
      <c r="EX12" s="468" t="s">
        <v>322</v>
      </c>
      <c r="EY12" s="466" t="s">
        <v>1119</v>
      </c>
      <c r="EZ12" s="467" t="s">
        <v>1119</v>
      </c>
      <c r="FC12" s="239" t="str">
        <f t="shared" si="19"/>
        <v>Vertical Extension Bracket Option NA</v>
      </c>
      <c r="FF12" s="313" t="str">
        <f t="shared" si="20"/>
        <v>Other Bottom Rail Colour</v>
      </c>
      <c r="FJ12" s="311" t="b">
        <f t="shared" si="9"/>
        <v>0</v>
      </c>
      <c r="FL12" s="33" t="e">
        <f t="shared" si="21"/>
        <v>#N/A</v>
      </c>
      <c r="FM12" s="33" t="e">
        <f t="shared" si="22"/>
        <v>#N/A</v>
      </c>
    </row>
    <row r="13" spans="1:170" ht="30" customHeight="1" thickBot="1">
      <c r="A13" s="52">
        <v>6</v>
      </c>
      <c r="B13" s="17"/>
      <c r="C13" s="17"/>
      <c r="D13" s="13"/>
      <c r="E13" s="13"/>
      <c r="F13" s="15"/>
      <c r="G13" s="10"/>
      <c r="H13" s="10"/>
      <c r="I13" s="14"/>
      <c r="J13" s="14"/>
      <c r="K13" s="280"/>
      <c r="L13" s="15"/>
      <c r="M13" s="15"/>
      <c r="N13" s="15"/>
      <c r="O13" s="13"/>
      <c r="P13" s="13"/>
      <c r="Q13" s="13"/>
      <c r="R13" s="13"/>
      <c r="S13" s="253" t="str">
        <f t="shared" si="3"/>
        <v/>
      </c>
      <c r="T13" s="175"/>
      <c r="U13" s="229"/>
      <c r="V13" s="230"/>
      <c r="BA13" s="33" t="str">
        <f t="shared" si="10"/>
        <v>Head Box Colour</v>
      </c>
      <c r="BG13" s="312" t="s">
        <v>409</v>
      </c>
      <c r="BH13" s="312" t="s">
        <v>1689</v>
      </c>
      <c r="BM13" s="33" t="b">
        <f t="shared" si="4"/>
        <v>0</v>
      </c>
      <c r="BN13" s="33" t="s">
        <v>1689</v>
      </c>
      <c r="BP13" s="33" t="s">
        <v>1420</v>
      </c>
      <c r="BR13" s="33" t="s">
        <v>1689</v>
      </c>
      <c r="BT13" s="33" t="str">
        <f t="shared" si="5"/>
        <v>Chain Colour</v>
      </c>
      <c r="BU13" s="33" t="s">
        <v>1797</v>
      </c>
      <c r="BZ13" s="33" t="b">
        <f t="shared" si="11"/>
        <v>0</v>
      </c>
      <c r="CA13" s="199" t="s">
        <v>1690</v>
      </c>
      <c r="CB13" s="199" t="s">
        <v>1705</v>
      </c>
      <c r="CC13" s="199" t="s">
        <v>1692</v>
      </c>
      <c r="CD13" s="199"/>
      <c r="CE13" t="s">
        <v>1733</v>
      </c>
      <c r="CF13" t="s">
        <v>1727</v>
      </c>
      <c r="CG13" s="199" t="s">
        <v>1695</v>
      </c>
      <c r="CH13" s="199" t="s">
        <v>1696</v>
      </c>
      <c r="CI13" s="199" t="s">
        <v>1697</v>
      </c>
      <c r="CJ13" s="199" t="s">
        <v>1698</v>
      </c>
      <c r="CK13" s="199" t="s">
        <v>1699</v>
      </c>
      <c r="CL13" s="199" t="s">
        <v>1700</v>
      </c>
      <c r="CM13" s="311" t="s">
        <v>1742</v>
      </c>
      <c r="CN13" s="199" t="s">
        <v>1702</v>
      </c>
      <c r="CO13" s="199" t="s">
        <v>1803</v>
      </c>
      <c r="CP13" s="199" t="s">
        <v>1848</v>
      </c>
      <c r="CQ13" s="199" t="s">
        <v>1830</v>
      </c>
      <c r="CR13" s="199" t="s">
        <v>1837</v>
      </c>
      <c r="CS13" s="445"/>
      <c r="CT13" s="443" t="s">
        <v>2095</v>
      </c>
      <c r="CU13" s="443" t="s">
        <v>2070</v>
      </c>
      <c r="CV13" s="443" t="s">
        <v>2080</v>
      </c>
      <c r="CW13" s="443" t="s">
        <v>2084</v>
      </c>
      <c r="CX13" s="199"/>
      <c r="CY13" s="199"/>
      <c r="CZ13" s="443" t="s">
        <v>2109</v>
      </c>
      <c r="DA13" s="464" t="s">
        <v>2244</v>
      </c>
      <c r="DB13" s="453"/>
      <c r="DC13" s="464" t="s">
        <v>2257</v>
      </c>
      <c r="DD13" s="453"/>
      <c r="DE13" s="446" t="b">
        <f t="shared" si="6"/>
        <v>0</v>
      </c>
      <c r="DH13" s="239" t="str">
        <f t="shared" si="12"/>
        <v>Fabric Insert Option</v>
      </c>
      <c r="ET13" s="310" t="e">
        <f t="shared" si="16"/>
        <v>#N/A</v>
      </c>
      <c r="EU13" s="310" t="e">
        <f t="shared" si="17"/>
        <v>#N/A</v>
      </c>
      <c r="EV13" s="310" t="e">
        <f t="shared" si="18"/>
        <v>#N/A</v>
      </c>
      <c r="EY13" s="466" t="s">
        <v>2274</v>
      </c>
      <c r="EZ13" s="468" t="s">
        <v>2269</v>
      </c>
      <c r="FC13" s="239" t="str">
        <f t="shared" si="19"/>
        <v>Vertical Extension Bracket Option NA</v>
      </c>
      <c r="FF13" s="313" t="str">
        <f t="shared" si="20"/>
        <v>Other Bottom Rail Colour</v>
      </c>
      <c r="FJ13" s="311" t="b">
        <f t="shared" si="9"/>
        <v>0</v>
      </c>
      <c r="FL13" s="33" t="e">
        <f t="shared" si="21"/>
        <v>#N/A</v>
      </c>
      <c r="FM13" s="33" t="e">
        <f t="shared" si="22"/>
        <v>#N/A</v>
      </c>
    </row>
    <row r="14" spans="1:170" ht="30" customHeight="1" thickBot="1">
      <c r="A14" s="52">
        <v>7</v>
      </c>
      <c r="B14" s="17"/>
      <c r="C14" s="17"/>
      <c r="D14" s="13"/>
      <c r="E14" s="13"/>
      <c r="F14" s="15"/>
      <c r="G14" s="10"/>
      <c r="H14" s="10"/>
      <c r="I14" s="14"/>
      <c r="J14" s="14"/>
      <c r="K14" s="280"/>
      <c r="L14" s="15"/>
      <c r="M14" s="15"/>
      <c r="N14" s="15"/>
      <c r="O14" s="13"/>
      <c r="P14" s="13"/>
      <c r="Q14" s="13"/>
      <c r="R14" s="13"/>
      <c r="S14" s="253" t="str">
        <f t="shared" si="3"/>
        <v/>
      </c>
      <c r="T14" s="175"/>
      <c r="U14" s="229"/>
      <c r="V14" s="230"/>
      <c r="BA14" s="33" t="str">
        <f t="shared" si="10"/>
        <v>Head Box Colour</v>
      </c>
      <c r="BE14" s="33" t="s">
        <v>2263</v>
      </c>
      <c r="BG14" s="33" t="s">
        <v>1689</v>
      </c>
      <c r="BH14" s="33" t="s">
        <v>322</v>
      </c>
      <c r="BM14" s="33" t="b">
        <f t="shared" si="4"/>
        <v>0</v>
      </c>
      <c r="BN14" s="312" t="s">
        <v>1703</v>
      </c>
      <c r="BP14" s="33" t="s">
        <v>1421</v>
      </c>
      <c r="BR14" s="33" t="s">
        <v>1703</v>
      </c>
      <c r="BT14" s="33" t="str">
        <f t="shared" si="5"/>
        <v>Chain Colour</v>
      </c>
      <c r="BU14" s="33" t="s">
        <v>1821</v>
      </c>
      <c r="BZ14" s="33" t="b">
        <f t="shared" si="11"/>
        <v>0</v>
      </c>
      <c r="CA14" s="199" t="s">
        <v>1704</v>
      </c>
      <c r="CB14" s="199" t="s">
        <v>1715</v>
      </c>
      <c r="CC14" s="199" t="s">
        <v>1706</v>
      </c>
      <c r="CD14" s="199"/>
      <c r="CE14" t="s">
        <v>1739</v>
      </c>
      <c r="CF14" t="s">
        <v>1734</v>
      </c>
      <c r="CG14" s="199" t="s">
        <v>1709</v>
      </c>
      <c r="CH14" s="199"/>
      <c r="CI14" s="199" t="s">
        <v>1710</v>
      </c>
      <c r="CJ14" s="199"/>
      <c r="CK14" s="311" t="s">
        <v>1711</v>
      </c>
      <c r="CL14" s="199"/>
      <c r="CM14" s="33" t="s">
        <v>1747</v>
      </c>
      <c r="CN14" s="199" t="s">
        <v>1713</v>
      </c>
      <c r="CO14" s="199" t="s">
        <v>1804</v>
      </c>
      <c r="CP14" s="199" t="s">
        <v>1849</v>
      </c>
      <c r="CQ14" s="199" t="s">
        <v>1831</v>
      </c>
      <c r="CR14" s="199" t="s">
        <v>1838</v>
      </c>
      <c r="CS14" s="441"/>
      <c r="CT14" s="199"/>
      <c r="CU14" s="443" t="s">
        <v>2075</v>
      </c>
      <c r="CV14" s="199"/>
      <c r="CW14" s="443" t="s">
        <v>2085</v>
      </c>
      <c r="CX14" s="199"/>
      <c r="CY14" s="199"/>
      <c r="CZ14" s="199"/>
      <c r="DA14" s="464" t="s">
        <v>2245</v>
      </c>
      <c r="DB14" s="451"/>
      <c r="DC14" s="464" t="s">
        <v>2258</v>
      </c>
      <c r="DD14" s="451" t="s">
        <v>2182</v>
      </c>
      <c r="DE14" s="446" t="b">
        <f t="shared" si="6"/>
        <v>0</v>
      </c>
      <c r="DH14" s="239" t="str">
        <f t="shared" si="12"/>
        <v>Fabric Insert Option</v>
      </c>
      <c r="ET14" s="310" t="e">
        <f t="shared" si="16"/>
        <v>#N/A</v>
      </c>
      <c r="EU14" s="310" t="e">
        <f t="shared" si="17"/>
        <v>#N/A</v>
      </c>
      <c r="EV14" s="310" t="e">
        <f t="shared" si="18"/>
        <v>#N/A</v>
      </c>
      <c r="FC14" s="239" t="str">
        <f t="shared" si="19"/>
        <v>Vertical Extension Bracket Option NA</v>
      </c>
      <c r="FF14" s="313" t="str">
        <f t="shared" si="20"/>
        <v>Other Bottom Rail Colour</v>
      </c>
      <c r="FJ14" s="311" t="b">
        <f t="shared" si="9"/>
        <v>0</v>
      </c>
      <c r="FL14" s="33" t="e">
        <f t="shared" si="21"/>
        <v>#N/A</v>
      </c>
      <c r="FM14" s="33" t="e">
        <f t="shared" si="22"/>
        <v>#N/A</v>
      </c>
    </row>
    <row r="15" spans="1:170" ht="30" customHeight="1" thickBot="1">
      <c r="A15" s="52">
        <v>8</v>
      </c>
      <c r="B15" s="17"/>
      <c r="C15" s="17"/>
      <c r="D15" s="19"/>
      <c r="E15" s="13"/>
      <c r="F15" s="15"/>
      <c r="G15" s="10"/>
      <c r="H15" s="10"/>
      <c r="I15" s="14"/>
      <c r="J15" s="14"/>
      <c r="K15" s="280"/>
      <c r="L15" s="15"/>
      <c r="M15" s="15"/>
      <c r="N15" s="15"/>
      <c r="O15" s="13"/>
      <c r="P15" s="13"/>
      <c r="Q15" s="13"/>
      <c r="R15" s="13"/>
      <c r="S15" s="253" t="str">
        <f t="shared" si="3"/>
        <v/>
      </c>
      <c r="T15" s="175"/>
      <c r="U15" s="229"/>
      <c r="V15" s="230"/>
      <c r="BA15" s="33" t="str">
        <f t="shared" si="10"/>
        <v>Head Box Colour</v>
      </c>
      <c r="BG15" s="314" t="s">
        <v>322</v>
      </c>
      <c r="BH15" s="314"/>
      <c r="BM15" s="33" t="b">
        <f t="shared" si="4"/>
        <v>0</v>
      </c>
      <c r="BN15" s="33" t="s">
        <v>322</v>
      </c>
      <c r="BR15" s="33" t="s">
        <v>322</v>
      </c>
      <c r="BT15" s="33" t="str">
        <f t="shared" si="5"/>
        <v>Chain Colour</v>
      </c>
      <c r="BU15" s="33" t="s">
        <v>1822</v>
      </c>
      <c r="BZ15" s="33" t="b">
        <f t="shared" si="11"/>
        <v>0</v>
      </c>
      <c r="CA15" s="199" t="s">
        <v>1714</v>
      </c>
      <c r="CB15" s="199" t="s">
        <v>1724</v>
      </c>
      <c r="CC15" s="199" t="s">
        <v>1716</v>
      </c>
      <c r="CD15" s="199"/>
      <c r="CE15" s="199" t="s">
        <v>1746</v>
      </c>
      <c r="CF15" t="s">
        <v>1740</v>
      </c>
      <c r="CG15" s="199" t="s">
        <v>1719</v>
      </c>
      <c r="CH15" s="199"/>
      <c r="CI15" s="199" t="s">
        <v>1720</v>
      </c>
      <c r="CJ15" s="199"/>
      <c r="CK15" s="199"/>
      <c r="CL15" s="199"/>
      <c r="CM15" s="311" t="s">
        <v>1752</v>
      </c>
      <c r="CN15" s="199" t="s">
        <v>1722</v>
      </c>
      <c r="CO15" s="199" t="s">
        <v>1805</v>
      </c>
      <c r="CP15" s="199"/>
      <c r="CQ15" s="199"/>
      <c r="CR15" s="199" t="s">
        <v>1839</v>
      </c>
      <c r="CS15" s="441"/>
      <c r="CT15" s="199"/>
      <c r="CU15" s="443" t="s">
        <v>2073</v>
      </c>
      <c r="CV15" s="199"/>
      <c r="CW15" s="443" t="s">
        <v>2102</v>
      </c>
      <c r="CX15" s="199"/>
      <c r="CY15" s="199"/>
      <c r="CZ15" s="199"/>
      <c r="DA15" s="464" t="s">
        <v>2246</v>
      </c>
      <c r="DB15" s="451"/>
      <c r="DC15" s="464" t="s">
        <v>2259</v>
      </c>
      <c r="DD15" s="451"/>
      <c r="DE15" s="446" t="b">
        <f t="shared" si="6"/>
        <v>0</v>
      </c>
      <c r="DH15" s="239" t="str">
        <f t="shared" si="12"/>
        <v>Fabric Insert Option</v>
      </c>
      <c r="ET15" s="310" t="e">
        <f t="shared" si="16"/>
        <v>#N/A</v>
      </c>
      <c r="EU15" s="310" t="e">
        <f t="shared" si="17"/>
        <v>#N/A</v>
      </c>
      <c r="EV15" s="310" t="e">
        <f t="shared" si="18"/>
        <v>#N/A</v>
      </c>
      <c r="FC15" s="239" t="str">
        <f t="shared" si="19"/>
        <v>Vertical Extension Bracket Option NA</v>
      </c>
      <c r="FF15" s="313" t="str">
        <f t="shared" si="20"/>
        <v>Other Bottom Rail Colour</v>
      </c>
      <c r="FJ15" s="311" t="b">
        <f t="shared" si="9"/>
        <v>0</v>
      </c>
      <c r="FL15" s="33" t="e">
        <f t="shared" si="21"/>
        <v>#N/A</v>
      </c>
      <c r="FM15" s="33" t="e">
        <f t="shared" si="22"/>
        <v>#N/A</v>
      </c>
    </row>
    <row r="16" spans="1:170" ht="30" customHeight="1" thickBot="1">
      <c r="A16" s="52">
        <v>9</v>
      </c>
      <c r="B16" s="17"/>
      <c r="C16" s="17"/>
      <c r="D16" s="13"/>
      <c r="E16" s="13"/>
      <c r="F16" s="15"/>
      <c r="G16" s="10"/>
      <c r="H16" s="10"/>
      <c r="I16" s="14"/>
      <c r="J16" s="14"/>
      <c r="K16" s="280"/>
      <c r="L16" s="15"/>
      <c r="M16" s="15"/>
      <c r="N16" s="15"/>
      <c r="O16" s="13"/>
      <c r="P16" s="13"/>
      <c r="Q16" s="13"/>
      <c r="R16" s="13"/>
      <c r="S16" s="253" t="str">
        <f t="shared" si="3"/>
        <v/>
      </c>
      <c r="T16" s="175"/>
      <c r="U16" s="229"/>
      <c r="V16" s="230"/>
      <c r="BA16" s="33" t="str">
        <f t="shared" si="10"/>
        <v>Head Box Colour</v>
      </c>
      <c r="BM16" s="33" t="b">
        <f t="shared" si="4"/>
        <v>0</v>
      </c>
      <c r="BT16" s="33" t="str">
        <f t="shared" si="5"/>
        <v>Chain Colour</v>
      </c>
      <c r="BU16" s="312" t="s">
        <v>2056</v>
      </c>
      <c r="BX16" s="33" t="s">
        <v>1571</v>
      </c>
      <c r="BZ16" s="33" t="b">
        <f t="shared" si="11"/>
        <v>0</v>
      </c>
      <c r="CA16" s="199" t="s">
        <v>1723</v>
      </c>
      <c r="CB16" s="199" t="s">
        <v>1731</v>
      </c>
      <c r="CC16" s="199" t="s">
        <v>1725</v>
      </c>
      <c r="CD16" s="199"/>
      <c r="CE16" t="s">
        <v>1750</v>
      </c>
      <c r="CF16" s="199" t="s">
        <v>1751</v>
      </c>
      <c r="CG16" s="199"/>
      <c r="CH16" s="199"/>
      <c r="CI16" s="199" t="s">
        <v>1728</v>
      </c>
      <c r="CJ16" s="199"/>
      <c r="CK16" s="199"/>
      <c r="CL16" s="199"/>
      <c r="CM16"/>
      <c r="CN16" s="199"/>
      <c r="CO16" s="199"/>
      <c r="CP16" s="199"/>
      <c r="CQ16" s="199"/>
      <c r="CR16" s="199" t="s">
        <v>1840</v>
      </c>
      <c r="CS16" s="441"/>
      <c r="CT16" s="199"/>
      <c r="CU16" s="443" t="s">
        <v>2068</v>
      </c>
      <c r="CV16" s="199"/>
      <c r="CW16" s="199"/>
      <c r="CX16" s="199"/>
      <c r="CY16" s="199"/>
      <c r="CZ16" s="199"/>
      <c r="DA16" s="464" t="s">
        <v>2247</v>
      </c>
      <c r="DB16" s="451"/>
      <c r="DC16" s="451"/>
      <c r="DD16" s="451"/>
      <c r="DE16" s="446" t="b">
        <f t="shared" si="6"/>
        <v>0</v>
      </c>
      <c r="DH16" s="239" t="str">
        <f t="shared" si="12"/>
        <v>Fabric Insert Option</v>
      </c>
      <c r="ET16" s="310" t="e">
        <f t="shared" si="16"/>
        <v>#N/A</v>
      </c>
      <c r="EU16" s="310" t="e">
        <f t="shared" si="17"/>
        <v>#N/A</v>
      </c>
      <c r="EV16" s="310" t="e">
        <f t="shared" si="18"/>
        <v>#N/A</v>
      </c>
      <c r="FC16" s="239" t="str">
        <f t="shared" si="19"/>
        <v>Vertical Extension Bracket Option NA</v>
      </c>
      <c r="FF16" s="313" t="str">
        <f t="shared" si="20"/>
        <v>Other Bottom Rail Colour</v>
      </c>
      <c r="FJ16" s="311" t="b">
        <f t="shared" si="9"/>
        <v>0</v>
      </c>
      <c r="FL16" s="33" t="e">
        <f t="shared" si="21"/>
        <v>#N/A</v>
      </c>
      <c r="FM16" s="33" t="e">
        <f t="shared" si="22"/>
        <v>#N/A</v>
      </c>
    </row>
    <row r="17" spans="1:169" ht="30" customHeight="1">
      <c r="A17" s="52">
        <v>10</v>
      </c>
      <c r="B17" s="17"/>
      <c r="C17" s="17"/>
      <c r="D17" s="19"/>
      <c r="E17" s="13"/>
      <c r="F17" s="15"/>
      <c r="G17" s="10"/>
      <c r="H17" s="10"/>
      <c r="I17" s="14"/>
      <c r="J17" s="14"/>
      <c r="K17" s="280"/>
      <c r="L17" s="15"/>
      <c r="M17" s="15"/>
      <c r="N17" s="15"/>
      <c r="O17" s="13"/>
      <c r="P17" s="13"/>
      <c r="Q17" s="13"/>
      <c r="R17" s="13"/>
      <c r="S17" s="253" t="str">
        <f t="shared" si="3"/>
        <v/>
      </c>
      <c r="T17" s="175"/>
      <c r="U17" s="229"/>
      <c r="V17" s="230"/>
      <c r="BA17" s="33" t="str">
        <f t="shared" si="10"/>
        <v>Head Box Colour</v>
      </c>
      <c r="BM17" s="33" t="b">
        <f t="shared" si="4"/>
        <v>0</v>
      </c>
      <c r="BO17" s="33" t="s">
        <v>1613</v>
      </c>
      <c r="BT17" s="33" t="str">
        <f t="shared" si="5"/>
        <v>Chain Colour</v>
      </c>
      <c r="BU17" s="312" t="s">
        <v>2057</v>
      </c>
      <c r="BX17" s="312" t="s">
        <v>1572</v>
      </c>
      <c r="BZ17" s="33" t="b">
        <f t="shared" si="11"/>
        <v>0</v>
      </c>
      <c r="CA17" s="199" t="s">
        <v>1730</v>
      </c>
      <c r="CB17" s="199" t="s">
        <v>1737</v>
      </c>
      <c r="CC17" s="199" t="s">
        <v>1732</v>
      </c>
      <c r="CD17" s="199"/>
      <c r="CE17" s="311"/>
      <c r="CF17" s="199"/>
      <c r="CG17" s="199"/>
      <c r="CH17" s="199"/>
      <c r="CI17" s="199" t="s">
        <v>1735</v>
      </c>
      <c r="CJ17" s="199"/>
      <c r="CK17" s="199"/>
      <c r="CL17" s="199"/>
      <c r="CM17" s="199"/>
      <c r="CN17" s="199"/>
      <c r="CO17" s="199"/>
      <c r="CP17" s="199"/>
      <c r="CQ17" s="199"/>
      <c r="CR17" s="199" t="s">
        <v>1841</v>
      </c>
      <c r="CS17" s="441"/>
      <c r="CT17" s="199"/>
      <c r="CU17" s="443" t="s">
        <v>2074</v>
      </c>
      <c r="CV17" s="199"/>
      <c r="CW17" s="199"/>
      <c r="CX17" s="199"/>
      <c r="CY17" s="199"/>
      <c r="CZ17" s="199"/>
      <c r="DA17" s="451"/>
      <c r="DB17" s="451"/>
      <c r="DC17" s="451"/>
      <c r="DD17" s="451"/>
      <c r="DE17" s="446" t="b">
        <f t="shared" si="6"/>
        <v>0</v>
      </c>
      <c r="DH17" s="239" t="str">
        <f t="shared" si="12"/>
        <v>Fabric Insert Option</v>
      </c>
      <c r="ET17" s="310" t="e">
        <f t="shared" si="16"/>
        <v>#N/A</v>
      </c>
      <c r="EU17" s="310" t="e">
        <f t="shared" si="17"/>
        <v>#N/A</v>
      </c>
      <c r="EV17" s="310" t="e">
        <f t="shared" si="18"/>
        <v>#N/A</v>
      </c>
      <c r="FC17" s="239" t="str">
        <f t="shared" si="19"/>
        <v>Vertical Extension Bracket Option NA</v>
      </c>
      <c r="FF17" s="313" t="str">
        <f t="shared" si="20"/>
        <v>Other Bottom Rail Colour</v>
      </c>
      <c r="FJ17" s="311" t="b">
        <f t="shared" si="9"/>
        <v>0</v>
      </c>
      <c r="FL17" s="33" t="e">
        <f t="shared" si="21"/>
        <v>#N/A</v>
      </c>
      <c r="FM17" s="33" t="e">
        <f t="shared" si="22"/>
        <v>#N/A</v>
      </c>
    </row>
    <row r="18" spans="1:169" ht="30" customHeight="1">
      <c r="A18" s="52">
        <v>11</v>
      </c>
      <c r="B18" s="17"/>
      <c r="C18" s="17"/>
      <c r="D18" s="13"/>
      <c r="E18" s="13"/>
      <c r="F18" s="15"/>
      <c r="G18" s="10"/>
      <c r="H18" s="10"/>
      <c r="I18" s="14"/>
      <c r="J18" s="14"/>
      <c r="K18" s="280"/>
      <c r="L18" s="15"/>
      <c r="M18" s="15"/>
      <c r="N18" s="15"/>
      <c r="O18" s="13"/>
      <c r="P18" s="13"/>
      <c r="Q18" s="13"/>
      <c r="R18" s="13"/>
      <c r="S18" s="253" t="str">
        <f t="shared" si="3"/>
        <v/>
      </c>
      <c r="T18" s="175"/>
      <c r="U18" s="229"/>
      <c r="V18" s="230"/>
      <c r="BA18" s="33" t="str">
        <f t="shared" si="10"/>
        <v>Head Box Colour</v>
      </c>
      <c r="BM18" s="33" t="b">
        <f t="shared" si="4"/>
        <v>0</v>
      </c>
      <c r="BO18" s="33" t="s">
        <v>377</v>
      </c>
      <c r="BT18" s="33" t="str">
        <f t="shared" si="5"/>
        <v>Chain Colour</v>
      </c>
      <c r="BU18" s="462" t="s">
        <v>2233</v>
      </c>
      <c r="BX18" s="312" t="s">
        <v>1575</v>
      </c>
      <c r="BZ18" s="33" t="b">
        <f t="shared" si="11"/>
        <v>0</v>
      </c>
      <c r="CA18" s="199" t="s">
        <v>1736</v>
      </c>
      <c r="CB18" s="311" t="s">
        <v>1744</v>
      </c>
      <c r="CC18" s="199" t="s">
        <v>1738</v>
      </c>
      <c r="CD18" s="199"/>
      <c r="CE18" s="311"/>
      <c r="CF18" s="311"/>
      <c r="CG18" s="199"/>
      <c r="CH18" s="199"/>
      <c r="CI18" s="199" t="s">
        <v>1741</v>
      </c>
      <c r="CJ18" s="199"/>
      <c r="CK18" s="199"/>
      <c r="CL18" s="199"/>
      <c r="CM18" s="199"/>
      <c r="CN18" s="199"/>
      <c r="CO18" s="199"/>
      <c r="CP18" s="199"/>
      <c r="CQ18" s="199"/>
      <c r="CR18" s="199" t="s">
        <v>1842</v>
      </c>
      <c r="CS18" s="441"/>
      <c r="CT18" s="199"/>
      <c r="CU18" s="443" t="s">
        <v>2072</v>
      </c>
      <c r="CV18" s="199"/>
      <c r="CW18" s="199"/>
      <c r="CX18" s="199"/>
      <c r="CY18" s="199"/>
      <c r="CZ18" s="199"/>
      <c r="DA18" s="451"/>
      <c r="DB18" s="451"/>
      <c r="DC18" s="451"/>
      <c r="DD18" s="451"/>
      <c r="DE18" s="446" t="b">
        <f t="shared" si="6"/>
        <v>0</v>
      </c>
      <c r="DH18" s="239" t="str">
        <f t="shared" si="12"/>
        <v>Fabric Insert Option</v>
      </c>
      <c r="ET18" s="310" t="e">
        <f t="shared" si="16"/>
        <v>#N/A</v>
      </c>
      <c r="EU18" s="310" t="e">
        <f t="shared" si="17"/>
        <v>#N/A</v>
      </c>
      <c r="EV18" s="310" t="e">
        <f t="shared" si="18"/>
        <v>#N/A</v>
      </c>
      <c r="FC18" s="239" t="str">
        <f t="shared" si="19"/>
        <v>Vertical Extension Bracket Option NA</v>
      </c>
      <c r="FF18" s="313" t="str">
        <f t="shared" si="20"/>
        <v>Other Bottom Rail Colour</v>
      </c>
      <c r="FJ18" s="311" t="b">
        <f t="shared" si="9"/>
        <v>0</v>
      </c>
      <c r="FL18" s="33" t="e">
        <f t="shared" si="21"/>
        <v>#N/A</v>
      </c>
      <c r="FM18" s="33" t="e">
        <f t="shared" si="22"/>
        <v>#N/A</v>
      </c>
    </row>
    <row r="19" spans="1:169" ht="30" customHeight="1">
      <c r="A19" s="52">
        <v>12</v>
      </c>
      <c r="B19" s="17"/>
      <c r="C19" s="17"/>
      <c r="D19" s="13"/>
      <c r="E19" s="13"/>
      <c r="F19" s="15"/>
      <c r="G19" s="10"/>
      <c r="H19" s="10"/>
      <c r="I19" s="14"/>
      <c r="J19" s="14"/>
      <c r="K19" s="280"/>
      <c r="L19" s="15"/>
      <c r="M19" s="15"/>
      <c r="N19" s="15"/>
      <c r="O19" s="13"/>
      <c r="P19" s="13"/>
      <c r="Q19" s="13"/>
      <c r="R19" s="13"/>
      <c r="S19" s="253" t="str">
        <f t="shared" si="3"/>
        <v/>
      </c>
      <c r="T19" s="175"/>
      <c r="U19" s="229"/>
      <c r="V19" s="230"/>
      <c r="BA19" s="33" t="str">
        <f t="shared" si="10"/>
        <v>Head Box Colour</v>
      </c>
      <c r="BM19" s="33" t="b">
        <f t="shared" si="4"/>
        <v>0</v>
      </c>
      <c r="BO19" s="33" t="s">
        <v>1645</v>
      </c>
      <c r="BT19" s="33" t="str">
        <f t="shared" si="5"/>
        <v>Chain Colour</v>
      </c>
      <c r="BU19" s="462" t="s">
        <v>2235</v>
      </c>
      <c r="BZ19" s="33" t="b">
        <f t="shared" si="11"/>
        <v>0</v>
      </c>
      <c r="CA19" s="199" t="s">
        <v>1743</v>
      </c>
      <c r="CB19"/>
      <c r="CC19" s="199" t="s">
        <v>1745</v>
      </c>
      <c r="CD19" s="199"/>
      <c r="CE19" s="311"/>
      <c r="CF19" s="311"/>
      <c r="CG19" s="199"/>
      <c r="CH19" s="199"/>
      <c r="CI19" s="199"/>
      <c r="CJ19" s="199"/>
      <c r="CK19" s="199"/>
      <c r="CL19" s="199"/>
      <c r="CM19" s="199"/>
      <c r="CN19" s="199"/>
      <c r="CO19" s="199"/>
      <c r="CP19" s="199"/>
      <c r="CQ19" s="199"/>
      <c r="CR19" s="199"/>
      <c r="CS19" s="199"/>
      <c r="CT19" s="442"/>
      <c r="CU19" s="442"/>
      <c r="CV19" s="442"/>
      <c r="CW19" s="442"/>
      <c r="CX19" s="442"/>
      <c r="CY19" s="442"/>
      <c r="CZ19" s="442"/>
      <c r="DA19" s="442"/>
      <c r="DB19" s="442"/>
      <c r="DC19" s="442"/>
      <c r="DD19" s="442"/>
      <c r="DE19" s="239" t="b">
        <f t="shared" si="6"/>
        <v>0</v>
      </c>
      <c r="DH19" s="239" t="str">
        <f t="shared" si="12"/>
        <v>Fabric Insert Option</v>
      </c>
      <c r="ET19" s="310" t="e">
        <f t="shared" si="16"/>
        <v>#N/A</v>
      </c>
      <c r="EU19" s="310" t="e">
        <f t="shared" si="17"/>
        <v>#N/A</v>
      </c>
      <c r="EV19" s="310" t="e">
        <f t="shared" si="18"/>
        <v>#N/A</v>
      </c>
      <c r="FC19" s="239" t="str">
        <f t="shared" si="19"/>
        <v>Vertical Extension Bracket Option NA</v>
      </c>
      <c r="FF19" s="313" t="str">
        <f t="shared" si="20"/>
        <v>Other Bottom Rail Colour</v>
      </c>
      <c r="FJ19" s="311" t="b">
        <f t="shared" si="9"/>
        <v>0</v>
      </c>
      <c r="FL19" s="33" t="e">
        <f t="shared" si="21"/>
        <v>#N/A</v>
      </c>
      <c r="FM19" s="33" t="e">
        <f t="shared" si="22"/>
        <v>#N/A</v>
      </c>
    </row>
    <row r="20" spans="1:169" ht="30" customHeight="1">
      <c r="A20" s="52">
        <v>13</v>
      </c>
      <c r="B20" s="17"/>
      <c r="C20" s="17"/>
      <c r="D20" s="13"/>
      <c r="E20" s="13"/>
      <c r="F20" s="15"/>
      <c r="G20" s="10"/>
      <c r="H20" s="10"/>
      <c r="I20" s="14"/>
      <c r="J20" s="14"/>
      <c r="K20" s="280"/>
      <c r="L20" s="15"/>
      <c r="M20" s="15"/>
      <c r="N20" s="15"/>
      <c r="O20" s="13"/>
      <c r="P20" s="13"/>
      <c r="Q20" s="13"/>
      <c r="R20" s="13"/>
      <c r="S20" s="253" t="str">
        <f t="shared" si="3"/>
        <v/>
      </c>
      <c r="T20" s="175"/>
      <c r="U20" s="229"/>
      <c r="V20" s="230"/>
      <c r="BA20" s="33" t="str">
        <f t="shared" si="10"/>
        <v>Head Box Colour</v>
      </c>
      <c r="BM20" s="33" t="b">
        <f t="shared" si="4"/>
        <v>0</v>
      </c>
      <c r="BO20" s="33" t="s">
        <v>1100</v>
      </c>
      <c r="BT20" s="33" t="str">
        <f t="shared" si="5"/>
        <v>Chain Colour</v>
      </c>
      <c r="BU20" s="312" t="s">
        <v>2055</v>
      </c>
      <c r="BZ20" s="33" t="b">
        <f t="shared" si="11"/>
        <v>0</v>
      </c>
      <c r="CA20" s="199" t="s">
        <v>1748</v>
      </c>
      <c r="CB20" s="199"/>
      <c r="CC20" s="199" t="s">
        <v>1749</v>
      </c>
      <c r="CD20" s="199"/>
      <c r="CE20" s="311"/>
      <c r="CF20" s="311" t="s">
        <v>1718</v>
      </c>
      <c r="CG20" s="199"/>
      <c r="CH20" s="199"/>
      <c r="CI20" s="199"/>
      <c r="CJ20" s="199"/>
      <c r="CK20" s="199"/>
      <c r="CL20" s="199"/>
      <c r="CM20" s="311"/>
      <c r="CN20" s="199"/>
      <c r="CO20" s="199"/>
      <c r="CP20" s="199"/>
      <c r="CQ20" s="199"/>
      <c r="CR20" s="199"/>
      <c r="CS20" s="199"/>
      <c r="CT20" s="199"/>
      <c r="CU20" s="199"/>
      <c r="CV20" s="199"/>
      <c r="CW20" s="199"/>
      <c r="CX20" s="199"/>
      <c r="CY20" s="199"/>
      <c r="CZ20" s="199"/>
      <c r="DA20" s="199"/>
      <c r="DB20" s="199"/>
      <c r="DC20" s="199"/>
      <c r="DD20" s="199"/>
      <c r="DE20" s="239" t="b">
        <f t="shared" si="6"/>
        <v>0</v>
      </c>
      <c r="DH20" s="239" t="str">
        <f t="shared" si="12"/>
        <v>Fabric Insert Option</v>
      </c>
      <c r="ET20" s="310" t="e">
        <f t="shared" si="16"/>
        <v>#N/A</v>
      </c>
      <c r="EU20" s="310" t="e">
        <f t="shared" si="17"/>
        <v>#N/A</v>
      </c>
      <c r="EV20" s="310" t="e">
        <f t="shared" si="18"/>
        <v>#N/A</v>
      </c>
      <c r="FC20" s="239" t="str">
        <f t="shared" si="19"/>
        <v>Vertical Extension Bracket Option NA</v>
      </c>
      <c r="FF20" s="313" t="str">
        <f t="shared" si="20"/>
        <v>Other Bottom Rail Colour</v>
      </c>
      <c r="FJ20" s="311" t="b">
        <f t="shared" si="9"/>
        <v>0</v>
      </c>
      <c r="FL20" s="33" t="e">
        <f t="shared" si="21"/>
        <v>#N/A</v>
      </c>
      <c r="FM20" s="33" t="e">
        <f t="shared" si="22"/>
        <v>#N/A</v>
      </c>
    </row>
    <row r="21" spans="1:169" ht="30" customHeight="1">
      <c r="A21" s="52">
        <v>14</v>
      </c>
      <c r="B21" s="17"/>
      <c r="C21" s="17"/>
      <c r="D21" s="13"/>
      <c r="E21" s="13"/>
      <c r="F21" s="15"/>
      <c r="G21" s="10"/>
      <c r="H21" s="10"/>
      <c r="I21" s="14"/>
      <c r="J21" s="14"/>
      <c r="K21" s="280"/>
      <c r="L21" s="15"/>
      <c r="M21" s="15"/>
      <c r="N21" s="15"/>
      <c r="O21" s="13"/>
      <c r="P21" s="13"/>
      <c r="Q21" s="13"/>
      <c r="R21" s="13"/>
      <c r="S21" s="253" t="str">
        <f t="shared" si="3"/>
        <v/>
      </c>
      <c r="T21" s="175"/>
      <c r="U21" s="229"/>
      <c r="V21" s="230"/>
      <c r="BA21" s="33" t="str">
        <f t="shared" si="10"/>
        <v>Head Box Colour</v>
      </c>
      <c r="BM21" s="33" t="b">
        <f t="shared" si="4"/>
        <v>0</v>
      </c>
      <c r="BO21" s="33" t="s">
        <v>1689</v>
      </c>
      <c r="BT21" s="33" t="str">
        <f t="shared" si="5"/>
        <v>Chain Colour</v>
      </c>
      <c r="BU21" s="462" t="s">
        <v>2234</v>
      </c>
      <c r="BZ21" s="33" t="b">
        <f t="shared" si="11"/>
        <v>0</v>
      </c>
      <c r="CA21" s="199" t="s">
        <v>1753</v>
      </c>
      <c r="CB21" s="199"/>
      <c r="CC21" s="199" t="s">
        <v>1754</v>
      </c>
      <c r="CD21" s="199"/>
      <c r="CE21" s="199"/>
      <c r="CF21" s="199"/>
      <c r="CG21" s="199"/>
      <c r="CH21" s="199"/>
      <c r="CI21" s="199"/>
      <c r="CJ21" s="199"/>
      <c r="CK21" s="199"/>
      <c r="CL21" s="199"/>
      <c r="CM21" s="199"/>
      <c r="CN21" s="199"/>
      <c r="CO21" s="199"/>
      <c r="CP21" s="199"/>
      <c r="CQ21" s="199"/>
      <c r="CR21" s="199"/>
      <c r="CS21" s="199"/>
      <c r="CT21" s="199"/>
      <c r="CU21" s="199"/>
      <c r="CV21" s="199"/>
      <c r="CW21" s="199"/>
      <c r="CX21" s="199"/>
      <c r="CY21" s="199"/>
      <c r="CZ21" s="199"/>
      <c r="DA21" s="199"/>
      <c r="DB21" s="199"/>
      <c r="DC21" s="199"/>
      <c r="DD21" s="199"/>
      <c r="DE21" s="239" t="b">
        <f t="shared" si="6"/>
        <v>0</v>
      </c>
      <c r="DH21" s="239" t="str">
        <f t="shared" si="12"/>
        <v>Fabric Insert Option</v>
      </c>
      <c r="ET21" s="310" t="e">
        <f t="shared" si="16"/>
        <v>#N/A</v>
      </c>
      <c r="EU21" s="310" t="e">
        <f t="shared" si="17"/>
        <v>#N/A</v>
      </c>
      <c r="EV21" s="310" t="e">
        <f t="shared" si="18"/>
        <v>#N/A</v>
      </c>
      <c r="FC21" s="239" t="str">
        <f t="shared" si="19"/>
        <v>Vertical Extension Bracket Option NA</v>
      </c>
      <c r="FF21" s="313" t="str">
        <f t="shared" si="20"/>
        <v>Other Bottom Rail Colour</v>
      </c>
      <c r="FJ21" s="311" t="b">
        <f t="shared" si="9"/>
        <v>0</v>
      </c>
      <c r="FL21" s="33" t="e">
        <f t="shared" si="21"/>
        <v>#N/A</v>
      </c>
      <c r="FM21" s="33" t="e">
        <f t="shared" si="22"/>
        <v>#N/A</v>
      </c>
    </row>
    <row r="22" spans="1:169" ht="30" customHeight="1">
      <c r="A22" s="52">
        <v>15</v>
      </c>
      <c r="B22" s="17"/>
      <c r="C22" s="17"/>
      <c r="D22" s="13"/>
      <c r="E22" s="13"/>
      <c r="F22" s="15"/>
      <c r="G22" s="10"/>
      <c r="H22" s="10"/>
      <c r="I22" s="14"/>
      <c r="J22" s="14"/>
      <c r="K22" s="280"/>
      <c r="L22" s="15"/>
      <c r="M22" s="15"/>
      <c r="N22" s="15"/>
      <c r="O22" s="13"/>
      <c r="P22" s="13"/>
      <c r="Q22" s="13"/>
      <c r="R22" s="13"/>
      <c r="S22" s="253" t="str">
        <f t="shared" si="3"/>
        <v/>
      </c>
      <c r="T22" s="175"/>
      <c r="U22" s="229"/>
      <c r="V22" s="230"/>
      <c r="BA22" s="33" t="str">
        <f t="shared" si="10"/>
        <v>Head Box Colour</v>
      </c>
      <c r="BM22" s="33" t="b">
        <f t="shared" si="4"/>
        <v>0</v>
      </c>
      <c r="BO22" s="33" t="s">
        <v>1703</v>
      </c>
      <c r="BT22" s="33" t="str">
        <f t="shared" si="5"/>
        <v>Chain Colour</v>
      </c>
      <c r="BU22" s="312" t="s">
        <v>2053</v>
      </c>
      <c r="BZ22" s="33" t="b">
        <f t="shared" si="11"/>
        <v>0</v>
      </c>
      <c r="CA22" s="199" t="s">
        <v>1755</v>
      </c>
      <c r="CB22" s="199"/>
      <c r="CC22" s="199"/>
      <c r="CD22" s="199"/>
      <c r="CE22" s="199"/>
      <c r="CF22" s="199"/>
      <c r="CG22" s="199"/>
      <c r="CH22" s="199"/>
      <c r="CI22" s="199"/>
      <c r="CJ22" s="199"/>
      <c r="CK22" s="199"/>
      <c r="CL22" s="199"/>
      <c r="CM22" s="199"/>
      <c r="CN22" s="199"/>
      <c r="CO22" s="199"/>
      <c r="CP22" s="199"/>
      <c r="CQ22" s="199"/>
      <c r="CR22" s="199"/>
      <c r="CS22" s="199"/>
      <c r="CT22" s="199"/>
      <c r="CU22" s="199"/>
      <c r="CV22" s="199"/>
      <c r="CW22" s="199"/>
      <c r="CX22" s="199"/>
      <c r="CY22" s="199"/>
      <c r="CZ22" s="199"/>
      <c r="DA22" s="199"/>
      <c r="DB22" s="199"/>
      <c r="DC22" s="199"/>
      <c r="DD22" s="199"/>
      <c r="DE22" s="239" t="b">
        <f t="shared" si="6"/>
        <v>0</v>
      </c>
      <c r="DH22" s="239" t="str">
        <f t="shared" si="12"/>
        <v>Fabric Insert Option</v>
      </c>
      <c r="ET22" s="310" t="e">
        <f t="shared" si="16"/>
        <v>#N/A</v>
      </c>
      <c r="EU22" s="310" t="e">
        <f t="shared" si="17"/>
        <v>#N/A</v>
      </c>
      <c r="EV22" s="310" t="e">
        <f t="shared" si="18"/>
        <v>#N/A</v>
      </c>
      <c r="FC22" s="239" t="str">
        <f t="shared" si="19"/>
        <v>Vertical Extension Bracket Option NA</v>
      </c>
      <c r="FF22" s="313" t="str">
        <f t="shared" si="20"/>
        <v>Other Bottom Rail Colour</v>
      </c>
      <c r="FJ22" s="311" t="b">
        <f t="shared" si="9"/>
        <v>0</v>
      </c>
      <c r="FL22" s="33" t="e">
        <f t="shared" si="21"/>
        <v>#N/A</v>
      </c>
      <c r="FM22" s="33" t="e">
        <f t="shared" si="22"/>
        <v>#N/A</v>
      </c>
    </row>
    <row r="23" spans="1:169" ht="30" customHeight="1">
      <c r="A23" s="52">
        <v>16</v>
      </c>
      <c r="B23" s="17"/>
      <c r="C23" s="17"/>
      <c r="D23" s="13"/>
      <c r="E23" s="13"/>
      <c r="F23" s="15"/>
      <c r="G23" s="10"/>
      <c r="H23" s="10"/>
      <c r="I23" s="14"/>
      <c r="J23" s="14"/>
      <c r="K23" s="280"/>
      <c r="L23" s="15"/>
      <c r="M23" s="15"/>
      <c r="N23" s="15"/>
      <c r="O23" s="13"/>
      <c r="P23" s="13"/>
      <c r="Q23" s="13"/>
      <c r="R23" s="13"/>
      <c r="S23" s="253" t="str">
        <f t="shared" si="3"/>
        <v/>
      </c>
      <c r="T23" s="175"/>
      <c r="U23" s="229"/>
      <c r="V23" s="230"/>
      <c r="BA23" s="33" t="str">
        <f t="shared" si="10"/>
        <v>Head Box Colour</v>
      </c>
      <c r="BM23" s="33" t="b">
        <f t="shared" si="4"/>
        <v>0</v>
      </c>
      <c r="BO23" s="33" t="s">
        <v>322</v>
      </c>
      <c r="BT23" s="33" t="str">
        <f t="shared" si="5"/>
        <v>Chain Colour</v>
      </c>
      <c r="BU23" s="312" t="s">
        <v>2054</v>
      </c>
      <c r="BZ23" s="33" t="b">
        <f t="shared" si="11"/>
        <v>0</v>
      </c>
      <c r="CA23" s="199" t="s">
        <v>1756</v>
      </c>
      <c r="CB23" s="199"/>
      <c r="CC23" s="199"/>
      <c r="CD23" s="199"/>
      <c r="CE23" s="199"/>
      <c r="CF23" s="199"/>
      <c r="CG23" s="199"/>
      <c r="CH23" s="199"/>
      <c r="CI23" s="199"/>
      <c r="CJ23" s="199"/>
      <c r="CK23" s="199"/>
      <c r="CL23" s="199"/>
      <c r="CM23" s="199"/>
      <c r="CN23" s="199"/>
      <c r="CO23" s="199"/>
      <c r="CP23" s="199"/>
      <c r="CQ23" s="199"/>
      <c r="CR23" s="199"/>
      <c r="CS23" s="199"/>
      <c r="CT23" s="199"/>
      <c r="CU23" s="199"/>
      <c r="CV23" s="199"/>
      <c r="CW23" s="199"/>
      <c r="CX23" s="199"/>
      <c r="CY23" s="199"/>
      <c r="CZ23" s="199"/>
      <c r="DA23" s="199"/>
      <c r="DB23" s="199"/>
      <c r="DC23" s="199"/>
      <c r="DD23" s="199"/>
      <c r="DE23" s="239" t="b">
        <f t="shared" si="6"/>
        <v>0</v>
      </c>
      <c r="DH23" s="239" t="str">
        <f t="shared" si="12"/>
        <v>Fabric Insert Option</v>
      </c>
      <c r="ET23" s="310" t="e">
        <f t="shared" si="16"/>
        <v>#N/A</v>
      </c>
      <c r="EU23" s="310" t="e">
        <f t="shared" si="17"/>
        <v>#N/A</v>
      </c>
      <c r="EV23" s="310" t="e">
        <f t="shared" si="18"/>
        <v>#N/A</v>
      </c>
      <c r="FC23" s="239" t="str">
        <f t="shared" si="19"/>
        <v>Vertical Extension Bracket Option NA</v>
      </c>
      <c r="FF23" s="313" t="str">
        <f t="shared" si="20"/>
        <v>Other Bottom Rail Colour</v>
      </c>
      <c r="FJ23" s="311" t="b">
        <f t="shared" si="9"/>
        <v>0</v>
      </c>
      <c r="FL23" s="33" t="e">
        <f t="shared" si="21"/>
        <v>#N/A</v>
      </c>
      <c r="FM23" s="33" t="e">
        <f t="shared" si="22"/>
        <v>#N/A</v>
      </c>
    </row>
    <row r="24" spans="1:169" ht="30" customHeight="1">
      <c r="A24" s="52">
        <v>17</v>
      </c>
      <c r="B24" s="17"/>
      <c r="C24" s="17"/>
      <c r="D24" s="19"/>
      <c r="E24" s="13"/>
      <c r="F24" s="15"/>
      <c r="G24" s="10"/>
      <c r="H24" s="10"/>
      <c r="I24" s="14"/>
      <c r="J24" s="14"/>
      <c r="K24" s="280"/>
      <c r="L24" s="15"/>
      <c r="M24" s="15"/>
      <c r="N24" s="15"/>
      <c r="O24" s="13"/>
      <c r="P24" s="13"/>
      <c r="Q24" s="13"/>
      <c r="R24" s="13"/>
      <c r="S24" s="253" t="str">
        <f t="shared" si="3"/>
        <v/>
      </c>
      <c r="T24" s="175"/>
      <c r="U24" s="229"/>
      <c r="V24" s="230"/>
      <c r="BA24" s="33" t="str">
        <f t="shared" si="10"/>
        <v>Head Box Colour</v>
      </c>
      <c r="BM24" s="33" t="b">
        <f t="shared" si="4"/>
        <v>0</v>
      </c>
      <c r="BO24" s="33" t="s">
        <v>326</v>
      </c>
      <c r="BT24" s="33" t="str">
        <f t="shared" si="5"/>
        <v>Chain Colour</v>
      </c>
      <c r="BU24" s="33" t="s">
        <v>1567</v>
      </c>
      <c r="BZ24" s="33" t="b">
        <f t="shared" si="11"/>
        <v>0</v>
      </c>
      <c r="CA24" s="199" t="s">
        <v>1757</v>
      </c>
      <c r="CB24" s="199"/>
      <c r="CC24" s="199"/>
      <c r="CD24" s="199"/>
      <c r="CE24" s="199"/>
      <c r="CF24" s="199"/>
      <c r="CG24" s="199"/>
      <c r="CH24" s="199"/>
      <c r="CI24" s="199"/>
      <c r="CJ24" s="199"/>
      <c r="CK24" s="199"/>
      <c r="CL24" s="199"/>
      <c r="CM24" s="199"/>
      <c r="CN24" s="199"/>
      <c r="CO24" s="199"/>
      <c r="CP24" s="199"/>
      <c r="CQ24" s="199"/>
      <c r="CR24" s="199"/>
      <c r="CS24" s="199"/>
      <c r="CT24" s="199"/>
      <c r="CU24" s="199"/>
      <c r="CV24" s="199"/>
      <c r="CW24" s="199"/>
      <c r="CX24" s="199"/>
      <c r="CY24" s="199"/>
      <c r="CZ24" s="199"/>
      <c r="DA24" s="199"/>
      <c r="DB24" s="199"/>
      <c r="DC24" s="199"/>
      <c r="DD24" s="199"/>
      <c r="DE24" s="239" t="b">
        <f t="shared" si="6"/>
        <v>0</v>
      </c>
      <c r="DH24" s="239" t="str">
        <f t="shared" si="12"/>
        <v>Fabric Insert Option</v>
      </c>
      <c r="ET24" s="310" t="e">
        <f t="shared" si="16"/>
        <v>#N/A</v>
      </c>
      <c r="EU24" s="310" t="e">
        <f t="shared" si="17"/>
        <v>#N/A</v>
      </c>
      <c r="EV24" s="310" t="e">
        <f t="shared" si="18"/>
        <v>#N/A</v>
      </c>
      <c r="FC24" s="239" t="str">
        <f t="shared" si="19"/>
        <v>Vertical Extension Bracket Option NA</v>
      </c>
      <c r="FF24" s="313" t="str">
        <f t="shared" si="20"/>
        <v>Other Bottom Rail Colour</v>
      </c>
      <c r="FJ24" s="311" t="b">
        <f t="shared" si="9"/>
        <v>0</v>
      </c>
      <c r="FL24" s="33" t="e">
        <f t="shared" si="21"/>
        <v>#N/A</v>
      </c>
      <c r="FM24" s="33" t="e">
        <f t="shared" si="22"/>
        <v>#N/A</v>
      </c>
    </row>
    <row r="25" spans="1:169" ht="30" customHeight="1">
      <c r="A25" s="52">
        <v>18</v>
      </c>
      <c r="B25" s="17"/>
      <c r="C25" s="17"/>
      <c r="D25" s="19"/>
      <c r="E25" s="13"/>
      <c r="F25" s="15"/>
      <c r="G25" s="10"/>
      <c r="H25" s="10"/>
      <c r="I25" s="14"/>
      <c r="J25" s="14"/>
      <c r="K25" s="280"/>
      <c r="L25" s="15"/>
      <c r="M25" s="15"/>
      <c r="N25" s="15"/>
      <c r="O25" s="13"/>
      <c r="P25" s="13"/>
      <c r="Q25" s="13"/>
      <c r="R25" s="13"/>
      <c r="S25" s="253" t="str">
        <f t="shared" si="3"/>
        <v/>
      </c>
      <c r="T25" s="175"/>
      <c r="U25" s="229"/>
      <c r="V25" s="230"/>
      <c r="BA25" s="33" t="str">
        <f t="shared" si="10"/>
        <v>Head Box Colour</v>
      </c>
      <c r="BM25" s="33" t="b">
        <f t="shared" si="4"/>
        <v>0</v>
      </c>
      <c r="BT25" s="33" t="str">
        <f t="shared" si="5"/>
        <v>Chain Colour</v>
      </c>
      <c r="BZ25" s="33" t="b">
        <f t="shared" si="11"/>
        <v>0</v>
      </c>
      <c r="CA25" s="199" t="s">
        <v>1758</v>
      </c>
      <c r="CB25" s="199"/>
      <c r="CC25" s="199"/>
      <c r="CD25" s="199"/>
      <c r="CE25" s="199"/>
      <c r="CF25" s="199"/>
      <c r="CG25" s="199"/>
      <c r="CH25" s="199"/>
      <c r="CI25" s="199"/>
      <c r="CJ25" s="199"/>
      <c r="CK25" s="199"/>
      <c r="CL25" s="199"/>
      <c r="CM25" s="199"/>
      <c r="CN25" s="199"/>
      <c r="CO25" s="199"/>
      <c r="CP25" s="199"/>
      <c r="CQ25" s="199"/>
      <c r="CR25" s="199"/>
      <c r="CS25" s="199"/>
      <c r="CT25" s="199"/>
      <c r="CU25" s="199"/>
      <c r="CV25" s="199"/>
      <c r="CW25" s="199"/>
      <c r="CX25" s="199"/>
      <c r="CY25" s="199"/>
      <c r="CZ25" s="199"/>
      <c r="DA25" s="199"/>
      <c r="DB25" s="199"/>
      <c r="DC25" s="199"/>
      <c r="DD25" s="199"/>
      <c r="DE25" s="239" t="b">
        <f t="shared" si="6"/>
        <v>0</v>
      </c>
      <c r="DH25" s="239" t="str">
        <f t="shared" si="12"/>
        <v>Fabric Insert Option</v>
      </c>
      <c r="ET25" s="310" t="e">
        <f t="shared" si="16"/>
        <v>#N/A</v>
      </c>
      <c r="EU25" s="310" t="e">
        <f t="shared" si="17"/>
        <v>#N/A</v>
      </c>
      <c r="EV25" s="310" t="e">
        <f t="shared" si="18"/>
        <v>#N/A</v>
      </c>
      <c r="FC25" s="239" t="str">
        <f t="shared" si="19"/>
        <v>Vertical Extension Bracket Option NA</v>
      </c>
      <c r="FF25" s="313" t="str">
        <f t="shared" si="20"/>
        <v>Other Bottom Rail Colour</v>
      </c>
      <c r="FJ25" s="311" t="b">
        <f t="shared" si="9"/>
        <v>0</v>
      </c>
      <c r="FL25" s="33" t="e">
        <f t="shared" si="21"/>
        <v>#N/A</v>
      </c>
      <c r="FM25" s="33" t="e">
        <f t="shared" si="22"/>
        <v>#N/A</v>
      </c>
    </row>
    <row r="26" spans="1:169" ht="30" customHeight="1">
      <c r="A26" s="52">
        <v>19</v>
      </c>
      <c r="B26" s="17"/>
      <c r="C26" s="17"/>
      <c r="D26" s="19"/>
      <c r="E26" s="13"/>
      <c r="F26" s="15"/>
      <c r="G26" s="10"/>
      <c r="H26" s="10"/>
      <c r="I26" s="14"/>
      <c r="J26" s="14"/>
      <c r="K26" s="280"/>
      <c r="L26" s="15"/>
      <c r="M26" s="15"/>
      <c r="N26" s="15"/>
      <c r="O26" s="13"/>
      <c r="P26" s="13"/>
      <c r="Q26" s="13"/>
      <c r="R26" s="13"/>
      <c r="S26" s="253" t="str">
        <f t="shared" si="3"/>
        <v/>
      </c>
      <c r="T26" s="175"/>
      <c r="U26" s="229"/>
      <c r="V26" s="230"/>
      <c r="BA26" s="33" t="str">
        <f t="shared" si="10"/>
        <v>Head Box Colour</v>
      </c>
      <c r="BM26" s="33" t="b">
        <f t="shared" si="4"/>
        <v>0</v>
      </c>
      <c r="BT26" s="33" t="str">
        <f t="shared" si="5"/>
        <v>Chain Colour</v>
      </c>
      <c r="BZ26" s="33" t="b">
        <f t="shared" si="11"/>
        <v>0</v>
      </c>
      <c r="CA26" s="199" t="s">
        <v>1759</v>
      </c>
      <c r="CB26" s="199"/>
      <c r="CC26" s="199"/>
      <c r="CD26" s="199"/>
      <c r="CE26" s="199"/>
      <c r="CF26" s="199"/>
      <c r="CG26" s="199"/>
      <c r="CH26" s="199"/>
      <c r="CI26" s="199"/>
      <c r="CJ26" s="199"/>
      <c r="CK26" s="199"/>
      <c r="CL26" s="199"/>
      <c r="CM26" s="199"/>
      <c r="CN26" s="199"/>
      <c r="CO26" s="199"/>
      <c r="CP26" s="199"/>
      <c r="CQ26" s="199"/>
      <c r="CR26" s="199"/>
      <c r="CS26" s="199"/>
      <c r="CT26" s="199"/>
      <c r="CU26" s="199"/>
      <c r="CV26" s="199"/>
      <c r="CW26" s="199"/>
      <c r="CX26" s="199"/>
      <c r="CY26" s="199"/>
      <c r="CZ26" s="199"/>
      <c r="DA26" s="199"/>
      <c r="DB26" s="199"/>
      <c r="DC26" s="199"/>
      <c r="DD26" s="199"/>
      <c r="DE26" s="239" t="b">
        <f t="shared" si="6"/>
        <v>0</v>
      </c>
      <c r="DH26" s="239" t="str">
        <f t="shared" si="12"/>
        <v>Fabric Insert Option</v>
      </c>
      <c r="ET26" s="310" t="e">
        <f t="shared" si="16"/>
        <v>#N/A</v>
      </c>
      <c r="EU26" s="310" t="e">
        <f t="shared" si="17"/>
        <v>#N/A</v>
      </c>
      <c r="EV26" s="310" t="e">
        <f t="shared" si="18"/>
        <v>#N/A</v>
      </c>
      <c r="FC26" s="239" t="str">
        <f t="shared" si="19"/>
        <v>Vertical Extension Bracket Option NA</v>
      </c>
      <c r="FF26" s="313" t="str">
        <f t="shared" si="20"/>
        <v>Other Bottom Rail Colour</v>
      </c>
      <c r="FJ26" s="311" t="b">
        <f t="shared" si="9"/>
        <v>0</v>
      </c>
      <c r="FL26" s="33" t="e">
        <f t="shared" si="21"/>
        <v>#N/A</v>
      </c>
      <c r="FM26" s="33" t="e">
        <f t="shared" si="22"/>
        <v>#N/A</v>
      </c>
    </row>
    <row r="27" spans="1:169" ht="30" customHeight="1">
      <c r="A27" s="52">
        <v>20</v>
      </c>
      <c r="B27" s="13"/>
      <c r="C27" s="13"/>
      <c r="D27" s="13"/>
      <c r="E27" s="13"/>
      <c r="F27" s="15"/>
      <c r="G27" s="10"/>
      <c r="H27" s="10"/>
      <c r="I27" s="14"/>
      <c r="J27" s="14"/>
      <c r="K27" s="280"/>
      <c r="L27" s="15"/>
      <c r="M27" s="15"/>
      <c r="N27" s="15"/>
      <c r="O27" s="13"/>
      <c r="P27" s="13"/>
      <c r="Q27" s="13"/>
      <c r="R27" s="13"/>
      <c r="S27" s="253" t="str">
        <f t="shared" si="3"/>
        <v/>
      </c>
      <c r="T27" s="175"/>
      <c r="U27" s="229"/>
      <c r="V27" s="230"/>
      <c r="BA27" s="33" t="str">
        <f t="shared" si="10"/>
        <v>Head Box Colour</v>
      </c>
      <c r="BM27" s="33" t="b">
        <f t="shared" si="4"/>
        <v>0</v>
      </c>
      <c r="BT27" s="33" t="str">
        <f t="shared" si="5"/>
        <v>Chain Colour</v>
      </c>
      <c r="BZ27" s="33" t="b">
        <f t="shared" si="11"/>
        <v>0</v>
      </c>
      <c r="CA27" s="199" t="s">
        <v>1760</v>
      </c>
      <c r="CB27" s="199"/>
      <c r="CC27" s="199"/>
      <c r="CD27" s="199"/>
      <c r="CE27" s="199"/>
      <c r="CF27" s="199"/>
      <c r="CG27" s="199"/>
      <c r="CH27" s="199"/>
      <c r="CI27" s="199"/>
      <c r="CJ27" s="199"/>
      <c r="CK27" s="199"/>
      <c r="CL27" s="199"/>
      <c r="CM27" s="199"/>
      <c r="CN27" s="199"/>
      <c r="CO27" s="199"/>
      <c r="CP27" s="199"/>
      <c r="CQ27" s="199"/>
      <c r="CR27" s="199"/>
      <c r="CS27" s="199"/>
      <c r="CT27" s="199"/>
      <c r="CU27" s="199"/>
      <c r="CV27" s="199"/>
      <c r="CW27" s="199"/>
      <c r="CX27" s="199"/>
      <c r="CY27" s="199"/>
      <c r="CZ27" s="199"/>
      <c r="DA27" s="199"/>
      <c r="DB27" s="199"/>
      <c r="DC27" s="199"/>
      <c r="DD27" s="199"/>
      <c r="DE27" s="239" t="b">
        <f t="shared" si="6"/>
        <v>0</v>
      </c>
      <c r="DH27" s="239" t="str">
        <f t="shared" si="12"/>
        <v>Fabric Insert Option</v>
      </c>
      <c r="ET27" s="310" t="e">
        <f t="shared" si="16"/>
        <v>#N/A</v>
      </c>
      <c r="EU27" s="310" t="e">
        <f t="shared" si="17"/>
        <v>#N/A</v>
      </c>
      <c r="EV27" s="310" t="e">
        <f t="shared" si="18"/>
        <v>#N/A</v>
      </c>
      <c r="FC27" s="239" t="str">
        <f t="shared" si="19"/>
        <v>Vertical Extension Bracket Option NA</v>
      </c>
      <c r="FF27" s="313" t="str">
        <f t="shared" si="20"/>
        <v>Other Bottom Rail Colour</v>
      </c>
      <c r="FJ27" s="311" t="b">
        <f t="shared" si="9"/>
        <v>0</v>
      </c>
      <c r="FL27" s="33" t="e">
        <f t="shared" si="21"/>
        <v>#N/A</v>
      </c>
      <c r="FM27" s="33" t="e">
        <f t="shared" si="22"/>
        <v>#N/A</v>
      </c>
    </row>
    <row r="28" spans="1:169" ht="30" customHeight="1">
      <c r="A28" s="52">
        <v>21</v>
      </c>
      <c r="B28" s="13"/>
      <c r="C28" s="13"/>
      <c r="D28" s="19"/>
      <c r="E28" s="13"/>
      <c r="F28" s="15"/>
      <c r="G28" s="10"/>
      <c r="H28" s="10"/>
      <c r="I28" s="14"/>
      <c r="J28" s="14"/>
      <c r="K28" s="280"/>
      <c r="L28" s="15"/>
      <c r="M28" s="15"/>
      <c r="N28" s="15"/>
      <c r="O28" s="13"/>
      <c r="P28" s="13"/>
      <c r="Q28" s="13"/>
      <c r="R28" s="13"/>
      <c r="S28" s="253" t="str">
        <f t="shared" si="3"/>
        <v/>
      </c>
      <c r="T28" s="175"/>
      <c r="U28" s="229"/>
      <c r="V28" s="230"/>
      <c r="BA28" s="33" t="str">
        <f t="shared" si="10"/>
        <v>Head Box Colour</v>
      </c>
      <c r="BM28" s="33" t="b">
        <f t="shared" si="4"/>
        <v>0</v>
      </c>
      <c r="BT28" s="33" t="str">
        <f t="shared" si="5"/>
        <v>Chain Colour</v>
      </c>
      <c r="BU28" s="33" t="s">
        <v>1574</v>
      </c>
      <c r="BZ28" s="33" t="b">
        <f t="shared" si="11"/>
        <v>0</v>
      </c>
      <c r="CA28" s="199" t="s">
        <v>1761</v>
      </c>
      <c r="CB28" s="199"/>
      <c r="CC28" s="199"/>
      <c r="CD28" s="199"/>
      <c r="CE28" s="199"/>
      <c r="CF28" s="199"/>
      <c r="CG28" s="199"/>
      <c r="CH28" s="199"/>
      <c r="CI28" s="199"/>
      <c r="CJ28" s="199"/>
      <c r="CK28" s="199"/>
      <c r="CL28" s="199"/>
      <c r="CM28" s="199"/>
      <c r="CN28" s="199"/>
      <c r="CO28" s="199"/>
      <c r="CP28" s="199"/>
      <c r="CQ28" s="199"/>
      <c r="CR28" s="199"/>
      <c r="CS28" s="199"/>
      <c r="CT28" s="199"/>
      <c r="CU28" s="199"/>
      <c r="CV28" s="199"/>
      <c r="CW28" s="199"/>
      <c r="CX28" s="199"/>
      <c r="CY28" s="199"/>
      <c r="CZ28" s="199"/>
      <c r="DA28" s="199"/>
      <c r="DB28" s="199"/>
      <c r="DC28" s="199"/>
      <c r="DD28" s="199"/>
      <c r="DE28" s="239" t="b">
        <f t="shared" si="6"/>
        <v>0</v>
      </c>
      <c r="DH28" s="239" t="str">
        <f t="shared" si="12"/>
        <v>Fabric Insert Option</v>
      </c>
      <c r="ET28" s="310" t="e">
        <f t="shared" si="16"/>
        <v>#N/A</v>
      </c>
      <c r="EU28" s="310" t="e">
        <f t="shared" si="17"/>
        <v>#N/A</v>
      </c>
      <c r="EV28" s="310" t="e">
        <f t="shared" si="18"/>
        <v>#N/A</v>
      </c>
      <c r="FC28" s="239" t="str">
        <f t="shared" si="19"/>
        <v>Vertical Extension Bracket Option NA</v>
      </c>
      <c r="FF28" s="313" t="str">
        <f t="shared" si="20"/>
        <v>Other Bottom Rail Colour</v>
      </c>
      <c r="FJ28" s="311" t="b">
        <f t="shared" si="9"/>
        <v>0</v>
      </c>
      <c r="FL28" s="33" t="e">
        <f t="shared" si="21"/>
        <v>#N/A</v>
      </c>
      <c r="FM28" s="33" t="e">
        <f t="shared" si="22"/>
        <v>#N/A</v>
      </c>
    </row>
    <row r="29" spans="1:169" ht="30" customHeight="1">
      <c r="A29" s="52">
        <v>22</v>
      </c>
      <c r="B29" s="13"/>
      <c r="C29" s="13"/>
      <c r="D29" s="19"/>
      <c r="E29" s="13"/>
      <c r="F29" s="15"/>
      <c r="G29" s="10"/>
      <c r="H29" s="10"/>
      <c r="I29" s="14"/>
      <c r="J29" s="14"/>
      <c r="K29" s="280"/>
      <c r="L29" s="15"/>
      <c r="M29" s="15"/>
      <c r="N29" s="15"/>
      <c r="O29" s="13"/>
      <c r="P29" s="13"/>
      <c r="Q29" s="13"/>
      <c r="R29" s="13"/>
      <c r="S29" s="253" t="str">
        <f t="shared" si="3"/>
        <v/>
      </c>
      <c r="T29" s="175"/>
      <c r="U29" s="229"/>
      <c r="V29" s="230"/>
      <c r="BA29" s="33" t="str">
        <f t="shared" si="10"/>
        <v>Head Box Colour</v>
      </c>
      <c r="BM29" s="33" t="b">
        <f t="shared" si="4"/>
        <v>0</v>
      </c>
      <c r="BT29" s="33" t="str">
        <f t="shared" si="5"/>
        <v>Chain Colour</v>
      </c>
      <c r="BU29" s="33" t="s">
        <v>26</v>
      </c>
      <c r="BZ29" s="33" t="b">
        <f t="shared" si="11"/>
        <v>0</v>
      </c>
      <c r="CA29" s="199" t="s">
        <v>1762</v>
      </c>
      <c r="CB29" s="199"/>
      <c r="CC29" s="199"/>
      <c r="CD29" s="199"/>
      <c r="CE29" s="199"/>
      <c r="CF29" s="199"/>
      <c r="CG29" s="199"/>
      <c r="CH29" s="199"/>
      <c r="CI29" s="199"/>
      <c r="CJ29" s="199"/>
      <c r="CK29" s="199"/>
      <c r="CL29" s="199"/>
      <c r="CM29" s="199"/>
      <c r="CN29" s="199"/>
      <c r="CO29" s="199"/>
      <c r="CP29" s="199"/>
      <c r="CQ29" s="199"/>
      <c r="CR29" s="199"/>
      <c r="CS29" s="199"/>
      <c r="CT29" s="199"/>
      <c r="CU29" s="199"/>
      <c r="CV29" s="199"/>
      <c r="CW29" s="199"/>
      <c r="CX29" s="199"/>
      <c r="CY29" s="199"/>
      <c r="CZ29" s="199"/>
      <c r="DA29" s="199"/>
      <c r="DB29" s="199"/>
      <c r="DC29" s="199"/>
      <c r="DD29" s="199"/>
      <c r="DE29" s="239" t="b">
        <f t="shared" si="6"/>
        <v>0</v>
      </c>
      <c r="DH29" s="239" t="str">
        <f t="shared" si="12"/>
        <v>Fabric Insert Option</v>
      </c>
      <c r="ET29" s="310" t="e">
        <f t="shared" si="16"/>
        <v>#N/A</v>
      </c>
      <c r="EU29" s="310" t="e">
        <f t="shared" si="17"/>
        <v>#N/A</v>
      </c>
      <c r="EV29" s="310" t="e">
        <f t="shared" si="18"/>
        <v>#N/A</v>
      </c>
      <c r="FC29" s="239" t="str">
        <f t="shared" si="19"/>
        <v>Vertical Extension Bracket Option NA</v>
      </c>
      <c r="FF29" s="313" t="str">
        <f t="shared" si="20"/>
        <v>Other Bottom Rail Colour</v>
      </c>
      <c r="FJ29" s="311" t="b">
        <f t="shared" si="9"/>
        <v>0</v>
      </c>
      <c r="FL29" s="33" t="e">
        <f t="shared" si="21"/>
        <v>#N/A</v>
      </c>
      <c r="FM29" s="33" t="e">
        <f t="shared" si="22"/>
        <v>#N/A</v>
      </c>
    </row>
    <row r="30" spans="1:169" ht="30" customHeight="1">
      <c r="A30" s="52">
        <v>23</v>
      </c>
      <c r="B30" s="13"/>
      <c r="C30" s="13"/>
      <c r="D30" s="13"/>
      <c r="E30" s="13"/>
      <c r="F30" s="15"/>
      <c r="G30" s="10"/>
      <c r="H30" s="10"/>
      <c r="I30" s="14"/>
      <c r="J30" s="14"/>
      <c r="K30" s="280"/>
      <c r="L30" s="15"/>
      <c r="M30" s="15"/>
      <c r="N30" s="15"/>
      <c r="O30" s="13"/>
      <c r="P30" s="13"/>
      <c r="Q30" s="13"/>
      <c r="R30" s="13"/>
      <c r="S30" s="253" t="str">
        <f t="shared" si="3"/>
        <v/>
      </c>
      <c r="T30" s="175"/>
      <c r="U30" s="229"/>
      <c r="V30" s="230"/>
      <c r="BA30" s="33" t="str">
        <f t="shared" si="10"/>
        <v>Head Box Colour</v>
      </c>
      <c r="BM30" s="33" t="b">
        <f t="shared" si="4"/>
        <v>0</v>
      </c>
      <c r="BT30" s="33" t="str">
        <f t="shared" si="5"/>
        <v>Chain Colour</v>
      </c>
      <c r="BU30" s="33" t="s">
        <v>1569</v>
      </c>
      <c r="BZ30" s="33" t="b">
        <f t="shared" si="11"/>
        <v>0</v>
      </c>
      <c r="CA30" s="199" t="s">
        <v>1763</v>
      </c>
      <c r="CB30" s="199"/>
      <c r="CC30" s="199"/>
      <c r="CD30" s="199"/>
      <c r="CE30" s="199"/>
      <c r="CF30" s="199"/>
      <c r="CG30" s="199"/>
      <c r="CH30" s="199"/>
      <c r="CI30" s="199"/>
      <c r="CJ30" s="199"/>
      <c r="CK30" s="199"/>
      <c r="CL30" s="199"/>
      <c r="CM30" s="199"/>
      <c r="CN30" s="199"/>
      <c r="CO30" s="199"/>
      <c r="CP30" s="199"/>
      <c r="CQ30" s="199"/>
      <c r="CR30" s="199"/>
      <c r="CS30" s="199"/>
      <c r="CT30" s="199"/>
      <c r="CU30" s="199"/>
      <c r="CV30" s="199"/>
      <c r="CW30" s="199"/>
      <c r="CX30" s="199"/>
      <c r="CY30" s="199"/>
      <c r="CZ30" s="199"/>
      <c r="DA30" s="199"/>
      <c r="DB30" s="199"/>
      <c r="DC30" s="199"/>
      <c r="DD30" s="199"/>
      <c r="DE30" s="239" t="b">
        <f t="shared" si="6"/>
        <v>0</v>
      </c>
      <c r="DH30" s="239" t="str">
        <f t="shared" si="12"/>
        <v>Fabric Insert Option</v>
      </c>
      <c r="ET30" s="310" t="e">
        <f t="shared" si="16"/>
        <v>#N/A</v>
      </c>
      <c r="EU30" s="310" t="e">
        <f t="shared" si="17"/>
        <v>#N/A</v>
      </c>
      <c r="EV30" s="310" t="e">
        <f t="shared" si="18"/>
        <v>#N/A</v>
      </c>
      <c r="FC30" s="239" t="str">
        <f t="shared" si="19"/>
        <v>Vertical Extension Bracket Option NA</v>
      </c>
      <c r="FF30" s="313" t="str">
        <f t="shared" si="20"/>
        <v>Other Bottom Rail Colour</v>
      </c>
      <c r="FJ30" s="311" t="b">
        <f t="shared" si="9"/>
        <v>0</v>
      </c>
      <c r="FL30" s="33" t="e">
        <f t="shared" si="21"/>
        <v>#N/A</v>
      </c>
      <c r="FM30" s="33" t="e">
        <f t="shared" si="22"/>
        <v>#N/A</v>
      </c>
    </row>
    <row r="31" spans="1:169" ht="30" customHeight="1">
      <c r="A31" s="52">
        <v>24</v>
      </c>
      <c r="B31" s="13"/>
      <c r="C31" s="13"/>
      <c r="D31" s="19"/>
      <c r="E31" s="13"/>
      <c r="F31" s="15"/>
      <c r="G31" s="10"/>
      <c r="H31" s="10"/>
      <c r="I31" s="14"/>
      <c r="J31" s="10"/>
      <c r="K31" s="283"/>
      <c r="L31" s="15"/>
      <c r="M31" s="15"/>
      <c r="N31" s="15"/>
      <c r="O31" s="13"/>
      <c r="P31" s="13"/>
      <c r="Q31" s="13"/>
      <c r="R31" s="13"/>
      <c r="S31" s="253" t="str">
        <f t="shared" si="3"/>
        <v/>
      </c>
      <c r="T31" s="175"/>
      <c r="U31" s="229"/>
      <c r="V31" s="230"/>
      <c r="BA31" s="33" t="str">
        <f t="shared" si="10"/>
        <v>Head Box Colour</v>
      </c>
      <c r="BM31" s="33" t="b">
        <f t="shared" si="4"/>
        <v>0</v>
      </c>
      <c r="BT31" s="33" t="str">
        <f t="shared" si="5"/>
        <v>Chain Colour</v>
      </c>
      <c r="BZ31" s="33" t="b">
        <f t="shared" si="11"/>
        <v>0</v>
      </c>
      <c r="CA31" s="199" t="s">
        <v>1764</v>
      </c>
      <c r="CB31" s="199"/>
      <c r="CC31" s="199"/>
      <c r="CD31" s="199"/>
      <c r="CE31" s="199"/>
      <c r="CF31" s="199"/>
      <c r="CG31" s="199"/>
      <c r="CH31" s="199"/>
      <c r="CI31" s="199"/>
      <c r="CJ31" s="199"/>
      <c r="CK31" s="199"/>
      <c r="CL31" s="199"/>
      <c r="CM31" s="199"/>
      <c r="CN31" s="199"/>
      <c r="CO31" s="199"/>
      <c r="CP31" s="199"/>
      <c r="CQ31" s="199"/>
      <c r="CR31" s="199"/>
      <c r="CS31" s="199"/>
      <c r="CT31" s="199"/>
      <c r="CU31" s="199"/>
      <c r="CV31" s="199"/>
      <c r="CW31" s="199"/>
      <c r="CX31" s="199"/>
      <c r="CY31" s="199"/>
      <c r="CZ31" s="199"/>
      <c r="DA31" s="199"/>
      <c r="DB31" s="199"/>
      <c r="DC31" s="199"/>
      <c r="DD31" s="199"/>
      <c r="DE31" s="239" t="b">
        <f t="shared" si="6"/>
        <v>0</v>
      </c>
      <c r="DH31" s="239" t="str">
        <f t="shared" si="12"/>
        <v>Fabric Insert Option</v>
      </c>
      <c r="ET31" s="310" t="e">
        <f t="shared" si="16"/>
        <v>#N/A</v>
      </c>
      <c r="EU31" s="310" t="e">
        <f t="shared" si="17"/>
        <v>#N/A</v>
      </c>
      <c r="EV31" s="310" t="e">
        <f t="shared" si="18"/>
        <v>#N/A</v>
      </c>
      <c r="FC31" s="239" t="str">
        <f t="shared" si="19"/>
        <v>Vertical Extension Bracket Option NA</v>
      </c>
      <c r="FF31" s="313" t="str">
        <f t="shared" si="20"/>
        <v>Other Bottom Rail Colour</v>
      </c>
      <c r="FJ31" s="311" t="b">
        <f t="shared" si="9"/>
        <v>0</v>
      </c>
      <c r="FL31" s="33" t="e">
        <f t="shared" si="21"/>
        <v>#N/A</v>
      </c>
      <c r="FM31" s="33" t="e">
        <f t="shared" si="22"/>
        <v>#N/A</v>
      </c>
    </row>
    <row r="32" spans="1:169" ht="30" customHeight="1">
      <c r="A32" s="52">
        <v>25</v>
      </c>
      <c r="B32" s="13"/>
      <c r="C32" s="13"/>
      <c r="D32" s="19"/>
      <c r="E32" s="13"/>
      <c r="F32" s="15"/>
      <c r="G32" s="10"/>
      <c r="H32" s="10"/>
      <c r="I32" s="14"/>
      <c r="J32" s="14"/>
      <c r="K32" s="280"/>
      <c r="L32" s="15"/>
      <c r="M32" s="15"/>
      <c r="N32" s="15"/>
      <c r="O32" s="13"/>
      <c r="P32" s="13"/>
      <c r="Q32" s="13"/>
      <c r="R32" s="13"/>
      <c r="S32" s="253" t="str">
        <f t="shared" si="3"/>
        <v/>
      </c>
      <c r="T32" s="175"/>
      <c r="U32" s="229"/>
      <c r="V32" s="230"/>
      <c r="BA32" s="33" t="str">
        <f t="shared" si="10"/>
        <v>Head Box Colour</v>
      </c>
      <c r="BM32" s="33" t="b">
        <f t="shared" si="4"/>
        <v>0</v>
      </c>
      <c r="BT32" s="33" t="str">
        <f t="shared" si="5"/>
        <v>Chain Colour</v>
      </c>
      <c r="BZ32" s="33" t="b">
        <f t="shared" si="11"/>
        <v>0</v>
      </c>
      <c r="CA32" s="199" t="s">
        <v>1765</v>
      </c>
      <c r="CB32" s="199"/>
      <c r="CC32" s="199"/>
      <c r="CD32" s="199"/>
      <c r="CE32" s="199"/>
      <c r="CF32" s="199"/>
      <c r="CG32" s="199"/>
      <c r="CH32" s="199"/>
      <c r="CI32" s="199"/>
      <c r="CJ32" s="199"/>
      <c r="CK32" s="199"/>
      <c r="CL32" s="199"/>
      <c r="CM32" s="199"/>
      <c r="CN32" s="199"/>
      <c r="CO32" s="199"/>
      <c r="CP32" s="199"/>
      <c r="CQ32" s="199"/>
      <c r="CR32" s="199"/>
      <c r="CS32" s="199"/>
      <c r="CT32" s="199"/>
      <c r="CU32" s="199"/>
      <c r="CV32" s="199"/>
      <c r="CW32" s="199"/>
      <c r="CX32" s="199"/>
      <c r="CY32" s="199"/>
      <c r="CZ32" s="199"/>
      <c r="DA32" s="199"/>
      <c r="DB32" s="199"/>
      <c r="DC32" s="199"/>
      <c r="DD32" s="199"/>
      <c r="DE32" s="239" t="b">
        <f t="shared" si="6"/>
        <v>0</v>
      </c>
      <c r="DH32" s="239" t="str">
        <f t="shared" si="12"/>
        <v>Fabric Insert Option</v>
      </c>
      <c r="ET32" s="310" t="e">
        <f t="shared" si="16"/>
        <v>#N/A</v>
      </c>
      <c r="EU32" s="310" t="e">
        <f t="shared" si="17"/>
        <v>#N/A</v>
      </c>
      <c r="EV32" s="310" t="e">
        <f t="shared" si="18"/>
        <v>#N/A</v>
      </c>
      <c r="FC32" s="239" t="str">
        <f t="shared" si="19"/>
        <v>Vertical Extension Bracket Option NA</v>
      </c>
      <c r="FF32" s="313" t="str">
        <f t="shared" si="20"/>
        <v>Other Bottom Rail Colour</v>
      </c>
      <c r="FJ32" s="311" t="b">
        <f t="shared" si="9"/>
        <v>0</v>
      </c>
      <c r="FL32" s="33" t="e">
        <f t="shared" si="21"/>
        <v>#N/A</v>
      </c>
      <c r="FM32" s="33" t="e">
        <f t="shared" si="22"/>
        <v>#N/A</v>
      </c>
    </row>
    <row r="33" spans="1:169" ht="30" customHeight="1">
      <c r="A33" s="52">
        <v>26</v>
      </c>
      <c r="B33" s="13"/>
      <c r="C33" s="13"/>
      <c r="D33" s="19"/>
      <c r="E33" s="13"/>
      <c r="F33" s="15"/>
      <c r="G33" s="10"/>
      <c r="H33" s="10"/>
      <c r="I33" s="14"/>
      <c r="J33" s="14"/>
      <c r="K33" s="280"/>
      <c r="L33" s="15"/>
      <c r="M33" s="15"/>
      <c r="N33" s="15"/>
      <c r="O33" s="13"/>
      <c r="P33" s="13"/>
      <c r="Q33" s="13"/>
      <c r="R33" s="13"/>
      <c r="S33" s="253" t="str">
        <f t="shared" si="3"/>
        <v/>
      </c>
      <c r="T33" s="175"/>
      <c r="U33" s="229"/>
      <c r="V33" s="230"/>
      <c r="BA33" s="33" t="str">
        <f t="shared" si="10"/>
        <v>Head Box Colour</v>
      </c>
      <c r="BM33" s="33" t="b">
        <f t="shared" si="4"/>
        <v>0</v>
      </c>
      <c r="BT33" s="33" t="str">
        <f t="shared" si="5"/>
        <v>Chain Colour</v>
      </c>
      <c r="BZ33" s="33" t="b">
        <f t="shared" si="11"/>
        <v>0</v>
      </c>
      <c r="CA33"/>
      <c r="CB33" s="206" t="s">
        <v>1615</v>
      </c>
      <c r="CC33"/>
      <c r="CD33"/>
      <c r="CE33" s="206" t="s">
        <v>1634</v>
      </c>
      <c r="CF33" s="206" t="s">
        <v>1694</v>
      </c>
      <c r="CG33"/>
      <c r="CH33"/>
      <c r="CI33"/>
      <c r="CJ33"/>
      <c r="CK33" s="206" t="s">
        <v>1624</v>
      </c>
      <c r="CL33"/>
      <c r="CM33" s="206" t="s">
        <v>1712</v>
      </c>
      <c r="CN33"/>
      <c r="CO33"/>
      <c r="CP33"/>
      <c r="CQ33"/>
      <c r="CR33"/>
      <c r="CS33"/>
      <c r="CT33"/>
      <c r="CU33"/>
      <c r="CV33"/>
      <c r="CW33"/>
      <c r="CX33"/>
      <c r="CY33"/>
      <c r="CZ33"/>
      <c r="DA33"/>
      <c r="DB33"/>
      <c r="DC33"/>
      <c r="DD33"/>
      <c r="DH33" s="239" t="str">
        <f t="shared" si="12"/>
        <v>Fabric Insert Option</v>
      </c>
      <c r="ET33" s="310" t="e">
        <f t="shared" si="16"/>
        <v>#N/A</v>
      </c>
      <c r="EU33" s="310" t="e">
        <f t="shared" si="17"/>
        <v>#N/A</v>
      </c>
      <c r="EV33" s="310" t="e">
        <f t="shared" si="18"/>
        <v>#N/A</v>
      </c>
      <c r="FC33" s="239" t="str">
        <f t="shared" si="19"/>
        <v>Vertical Extension Bracket Option NA</v>
      </c>
      <c r="FF33" s="313" t="str">
        <f t="shared" si="20"/>
        <v>Other Bottom Rail Colour</v>
      </c>
      <c r="FJ33" s="311" t="b">
        <f t="shared" si="9"/>
        <v>0</v>
      </c>
      <c r="FL33" s="33" t="e">
        <f t="shared" si="21"/>
        <v>#N/A</v>
      </c>
      <c r="FM33" s="33" t="e">
        <f t="shared" si="22"/>
        <v>#N/A</v>
      </c>
    </row>
    <row r="34" spans="1:169" ht="30" customHeight="1">
      <c r="A34" s="52">
        <v>27</v>
      </c>
      <c r="B34" s="13"/>
      <c r="C34" s="13"/>
      <c r="D34" s="19"/>
      <c r="E34" s="13"/>
      <c r="F34" s="15"/>
      <c r="G34" s="10"/>
      <c r="H34" s="10"/>
      <c r="I34" s="14"/>
      <c r="J34" s="14"/>
      <c r="K34" s="280"/>
      <c r="L34" s="15"/>
      <c r="M34" s="15"/>
      <c r="N34" s="15"/>
      <c r="O34" s="13"/>
      <c r="P34" s="13"/>
      <c r="Q34" s="13"/>
      <c r="R34" s="13"/>
      <c r="S34" s="253" t="str">
        <f t="shared" si="3"/>
        <v/>
      </c>
      <c r="T34" s="175"/>
      <c r="U34" s="229"/>
      <c r="V34" s="230"/>
      <c r="BA34" s="33" t="str">
        <f t="shared" si="10"/>
        <v>Head Box Colour</v>
      </c>
      <c r="BM34" s="33" t="b">
        <f t="shared" si="4"/>
        <v>0</v>
      </c>
      <c r="BT34" s="33" t="str">
        <f t="shared" si="5"/>
        <v>Chain Colour</v>
      </c>
      <c r="BZ34" s="33" t="b">
        <f t="shared" si="11"/>
        <v>0</v>
      </c>
      <c r="CA34"/>
      <c r="CB34"/>
      <c r="CC34"/>
      <c r="CD34"/>
      <c r="CE34" s="206" t="s">
        <v>1707</v>
      </c>
      <c r="CF34" s="206" t="s">
        <v>1708</v>
      </c>
      <c r="CG34"/>
      <c r="CH34"/>
      <c r="CI34"/>
      <c r="CJ34"/>
      <c r="CK34"/>
      <c r="CL34"/>
      <c r="CM34" s="206" t="s">
        <v>1729</v>
      </c>
      <c r="CN34"/>
      <c r="CO34"/>
      <c r="CP34"/>
      <c r="CQ34"/>
      <c r="CR34"/>
      <c r="CS34"/>
      <c r="CT34"/>
      <c r="CU34"/>
      <c r="CV34"/>
      <c r="CW34"/>
      <c r="CX34"/>
      <c r="CY34"/>
      <c r="CZ34"/>
      <c r="DA34"/>
      <c r="DB34"/>
      <c r="DC34"/>
      <c r="DD34"/>
      <c r="DH34" s="239" t="str">
        <f t="shared" si="12"/>
        <v>Fabric Insert Option</v>
      </c>
      <c r="ET34" s="310" t="e">
        <f t="shared" si="16"/>
        <v>#N/A</v>
      </c>
      <c r="EU34" s="310" t="e">
        <f t="shared" si="17"/>
        <v>#N/A</v>
      </c>
      <c r="EV34" s="310" t="e">
        <f t="shared" si="18"/>
        <v>#N/A</v>
      </c>
      <c r="FC34" s="239" t="str">
        <f t="shared" si="19"/>
        <v>Vertical Extension Bracket Option NA</v>
      </c>
      <c r="FF34" s="313" t="str">
        <f t="shared" si="20"/>
        <v>Other Bottom Rail Colour</v>
      </c>
      <c r="FJ34" s="311" t="b">
        <f t="shared" si="9"/>
        <v>0</v>
      </c>
      <c r="FL34" s="33" t="e">
        <f t="shared" si="21"/>
        <v>#N/A</v>
      </c>
      <c r="FM34" s="33" t="e">
        <f t="shared" si="22"/>
        <v>#N/A</v>
      </c>
    </row>
    <row r="35" spans="1:169" ht="30" customHeight="1">
      <c r="A35" s="52">
        <v>28</v>
      </c>
      <c r="B35" s="13"/>
      <c r="C35" s="13"/>
      <c r="D35" s="19"/>
      <c r="E35" s="13"/>
      <c r="F35" s="15"/>
      <c r="G35" s="10"/>
      <c r="H35" s="10"/>
      <c r="I35" s="14"/>
      <c r="J35" s="14"/>
      <c r="K35" s="280"/>
      <c r="L35" s="15"/>
      <c r="M35" s="15"/>
      <c r="N35" s="15"/>
      <c r="O35" s="13"/>
      <c r="P35" s="13"/>
      <c r="Q35" s="13"/>
      <c r="R35" s="13"/>
      <c r="S35" s="253" t="str">
        <f t="shared" si="3"/>
        <v/>
      </c>
      <c r="T35" s="175"/>
      <c r="U35" s="229"/>
      <c r="V35" s="230"/>
      <c r="BA35" s="33" t="str">
        <f t="shared" si="10"/>
        <v>Head Box Colour</v>
      </c>
      <c r="BM35" s="33" t="b">
        <f t="shared" si="4"/>
        <v>0</v>
      </c>
      <c r="BT35" s="33" t="str">
        <f t="shared" si="5"/>
        <v>Chain Colour</v>
      </c>
      <c r="BZ35" s="33" t="b">
        <f t="shared" si="11"/>
        <v>0</v>
      </c>
      <c r="CA35"/>
      <c r="CB35"/>
      <c r="CC35"/>
      <c r="CD35"/>
      <c r="CE35" s="206" t="s">
        <v>1693</v>
      </c>
      <c r="CF35" s="206" t="s">
        <v>1718</v>
      </c>
      <c r="CG35"/>
      <c r="CH35"/>
      <c r="CI35"/>
      <c r="CJ35"/>
      <c r="CK35"/>
      <c r="CL35"/>
      <c r="CM35" s="206" t="s">
        <v>1642</v>
      </c>
      <c r="CN35"/>
      <c r="CO35"/>
      <c r="CP35"/>
      <c r="CQ35"/>
      <c r="CR35"/>
      <c r="CS35"/>
      <c r="CT35"/>
      <c r="CU35"/>
      <c r="CV35"/>
      <c r="CW35"/>
      <c r="CX35"/>
      <c r="CY35"/>
      <c r="CZ35"/>
      <c r="DA35"/>
      <c r="DB35"/>
      <c r="DC35"/>
      <c r="DD35"/>
      <c r="DH35" s="239" t="str">
        <f t="shared" si="12"/>
        <v>Fabric Insert Option</v>
      </c>
      <c r="ET35" s="310" t="e">
        <f t="shared" si="16"/>
        <v>#N/A</v>
      </c>
      <c r="EU35" s="310" t="e">
        <f t="shared" si="17"/>
        <v>#N/A</v>
      </c>
      <c r="EV35" s="310" t="e">
        <f t="shared" si="18"/>
        <v>#N/A</v>
      </c>
      <c r="FC35" s="239" t="str">
        <f t="shared" si="19"/>
        <v>Vertical Extension Bracket Option NA</v>
      </c>
      <c r="FF35" s="313" t="str">
        <f t="shared" si="20"/>
        <v>Other Bottom Rail Colour</v>
      </c>
      <c r="FJ35" s="311" t="b">
        <f t="shared" si="9"/>
        <v>0</v>
      </c>
      <c r="FL35" s="33" t="e">
        <f t="shared" si="21"/>
        <v>#N/A</v>
      </c>
      <c r="FM35" s="33" t="e">
        <f t="shared" si="22"/>
        <v>#N/A</v>
      </c>
    </row>
    <row r="36" spans="1:169" ht="30" customHeight="1">
      <c r="A36" s="52">
        <v>29</v>
      </c>
      <c r="B36" s="13"/>
      <c r="C36" s="13"/>
      <c r="D36" s="19"/>
      <c r="E36" s="13"/>
      <c r="F36" s="15"/>
      <c r="G36" s="10"/>
      <c r="H36" s="10"/>
      <c r="I36" s="14"/>
      <c r="J36" s="14"/>
      <c r="K36" s="280"/>
      <c r="L36" s="15"/>
      <c r="M36" s="15"/>
      <c r="N36" s="15"/>
      <c r="O36" s="13"/>
      <c r="P36" s="13"/>
      <c r="Q36" s="13"/>
      <c r="R36" s="13"/>
      <c r="S36" s="253" t="str">
        <f t="shared" si="3"/>
        <v/>
      </c>
      <c r="T36" s="175"/>
      <c r="U36" s="229"/>
      <c r="V36" s="230"/>
      <c r="BA36" s="33" t="str">
        <f t="shared" si="10"/>
        <v>Head Box Colour</v>
      </c>
      <c r="BM36" s="33" t="b">
        <f t="shared" si="4"/>
        <v>0</v>
      </c>
      <c r="BT36" s="33" t="str">
        <f t="shared" si="5"/>
        <v>Chain Colour</v>
      </c>
      <c r="BZ36" s="33" t="b">
        <f t="shared" si="11"/>
        <v>0</v>
      </c>
      <c r="CA36"/>
      <c r="CB36"/>
      <c r="CC36"/>
      <c r="CD36"/>
      <c r="CE36" s="206" t="s">
        <v>1726</v>
      </c>
      <c r="CF36"/>
      <c r="CG36"/>
      <c r="CH36"/>
      <c r="CI36"/>
      <c r="CJ36"/>
      <c r="CK36"/>
      <c r="CL36"/>
      <c r="CM36" s="206" t="s">
        <v>1658</v>
      </c>
      <c r="CN36"/>
      <c r="CO36"/>
      <c r="CP36"/>
      <c r="CQ36"/>
      <c r="CR36"/>
      <c r="CS36"/>
      <c r="CT36"/>
      <c r="CU36"/>
      <c r="CV36"/>
      <c r="CW36"/>
      <c r="CX36"/>
      <c r="CY36"/>
      <c r="CZ36"/>
      <c r="DA36"/>
      <c r="DB36"/>
      <c r="DC36"/>
      <c r="DD36"/>
      <c r="DH36" s="239" t="str">
        <f t="shared" si="12"/>
        <v>Fabric Insert Option</v>
      </c>
      <c r="ET36" s="310" t="e">
        <f t="shared" si="16"/>
        <v>#N/A</v>
      </c>
      <c r="EU36" s="310" t="e">
        <f t="shared" si="17"/>
        <v>#N/A</v>
      </c>
      <c r="EV36" s="310" t="e">
        <f t="shared" si="18"/>
        <v>#N/A</v>
      </c>
      <c r="FC36" s="239" t="str">
        <f t="shared" si="19"/>
        <v>Vertical Extension Bracket Option NA</v>
      </c>
      <c r="FF36" s="313" t="str">
        <f t="shared" si="20"/>
        <v>Other Bottom Rail Colour</v>
      </c>
      <c r="FJ36" s="311" t="b">
        <f t="shared" si="9"/>
        <v>0</v>
      </c>
      <c r="FL36" s="33" t="e">
        <f t="shared" si="21"/>
        <v>#N/A</v>
      </c>
      <c r="FM36" s="33" t="e">
        <f t="shared" si="22"/>
        <v>#N/A</v>
      </c>
    </row>
    <row r="37" spans="1:169" ht="30" customHeight="1">
      <c r="A37" s="52">
        <v>30</v>
      </c>
      <c r="B37" s="13"/>
      <c r="C37" s="13"/>
      <c r="D37" s="19"/>
      <c r="E37" s="13"/>
      <c r="F37" s="15"/>
      <c r="G37" s="10"/>
      <c r="H37" s="10"/>
      <c r="I37" s="14"/>
      <c r="J37" s="14"/>
      <c r="K37" s="280"/>
      <c r="L37" s="15"/>
      <c r="M37" s="15"/>
      <c r="N37" s="15"/>
      <c r="O37" s="13"/>
      <c r="P37" s="13"/>
      <c r="Q37" s="13"/>
      <c r="R37" s="13"/>
      <c r="S37" s="253" t="str">
        <f t="shared" si="3"/>
        <v/>
      </c>
      <c r="T37" s="175"/>
      <c r="U37" s="229"/>
      <c r="V37" s="230"/>
      <c r="BA37" s="33" t="str">
        <f t="shared" si="10"/>
        <v>Head Box Colour</v>
      </c>
      <c r="BM37" s="33" t="b">
        <f t="shared" si="4"/>
        <v>0</v>
      </c>
      <c r="BT37" s="33" t="str">
        <f t="shared" si="5"/>
        <v>Chain Colour</v>
      </c>
      <c r="BZ37" s="33" t="b">
        <f t="shared" si="11"/>
        <v>0</v>
      </c>
      <c r="CA37"/>
      <c r="CB37"/>
      <c r="CC37"/>
      <c r="CD37"/>
      <c r="CE37"/>
      <c r="CF37"/>
      <c r="CG37"/>
      <c r="CH37"/>
      <c r="CI37"/>
      <c r="CJ37"/>
      <c r="CK37"/>
      <c r="CL37"/>
      <c r="CM37"/>
      <c r="CN37"/>
      <c r="CO37"/>
      <c r="CP37"/>
      <c r="CQ37"/>
      <c r="CR37"/>
      <c r="CS37"/>
      <c r="CT37"/>
      <c r="CU37"/>
      <c r="CV37"/>
      <c r="CW37"/>
      <c r="CX37"/>
      <c r="CY37"/>
      <c r="CZ37"/>
      <c r="DA37"/>
      <c r="DB37"/>
      <c r="DC37"/>
      <c r="DD37"/>
      <c r="DH37" s="239" t="str">
        <f t="shared" si="12"/>
        <v>Fabric Insert Option</v>
      </c>
      <c r="ET37" s="310" t="e">
        <f t="shared" si="16"/>
        <v>#N/A</v>
      </c>
      <c r="EU37" s="310" t="e">
        <f t="shared" si="17"/>
        <v>#N/A</v>
      </c>
      <c r="EV37" s="310" t="e">
        <f t="shared" si="18"/>
        <v>#N/A</v>
      </c>
      <c r="FC37" s="239" t="str">
        <f t="shared" si="19"/>
        <v>Vertical Extension Bracket Option NA</v>
      </c>
      <c r="FF37" s="313" t="str">
        <f t="shared" si="20"/>
        <v>Other Bottom Rail Colour</v>
      </c>
      <c r="FJ37" s="311" t="b">
        <f t="shared" si="9"/>
        <v>0</v>
      </c>
      <c r="FL37" s="33" t="e">
        <f t="shared" si="21"/>
        <v>#N/A</v>
      </c>
      <c r="FM37" s="33" t="e">
        <f t="shared" si="22"/>
        <v>#N/A</v>
      </c>
    </row>
    <row r="38" spans="1:169" ht="30" customHeight="1">
      <c r="A38" s="52">
        <v>31</v>
      </c>
      <c r="B38" s="13"/>
      <c r="C38" s="13"/>
      <c r="D38" s="19"/>
      <c r="E38" s="13"/>
      <c r="F38" s="15"/>
      <c r="G38" s="10"/>
      <c r="H38" s="10"/>
      <c r="I38" s="14"/>
      <c r="J38" s="14"/>
      <c r="K38" s="280"/>
      <c r="L38" s="15"/>
      <c r="M38" s="15"/>
      <c r="N38" s="15"/>
      <c r="O38" s="13"/>
      <c r="P38" s="13"/>
      <c r="Q38" s="13"/>
      <c r="R38" s="13"/>
      <c r="S38" s="253" t="str">
        <f t="shared" si="3"/>
        <v/>
      </c>
      <c r="T38" s="175"/>
      <c r="U38" s="229"/>
      <c r="V38" s="230"/>
      <c r="BA38" s="33" t="str">
        <f t="shared" si="10"/>
        <v>Head Box Colour</v>
      </c>
      <c r="BM38" s="33" t="b">
        <f t="shared" si="4"/>
        <v>0</v>
      </c>
      <c r="BT38" s="33" t="str">
        <f t="shared" si="5"/>
        <v>Chain Colour</v>
      </c>
      <c r="BZ38" s="33" t="b">
        <f t="shared" si="11"/>
        <v>0</v>
      </c>
      <c r="DH38" s="239" t="str">
        <f t="shared" si="12"/>
        <v>Fabric Insert Option</v>
      </c>
      <c r="ET38" s="310" t="e">
        <f t="shared" si="16"/>
        <v>#N/A</v>
      </c>
      <c r="EU38" s="310" t="e">
        <f t="shared" si="17"/>
        <v>#N/A</v>
      </c>
      <c r="EV38" s="310" t="e">
        <f t="shared" si="18"/>
        <v>#N/A</v>
      </c>
      <c r="FC38" s="239" t="str">
        <f t="shared" si="19"/>
        <v>Vertical Extension Bracket Option NA</v>
      </c>
      <c r="FF38" s="313" t="str">
        <f t="shared" si="20"/>
        <v>Other Bottom Rail Colour</v>
      </c>
      <c r="FJ38" s="311" t="b">
        <f t="shared" si="9"/>
        <v>0</v>
      </c>
      <c r="FL38" s="33" t="e">
        <f t="shared" si="21"/>
        <v>#N/A</v>
      </c>
      <c r="FM38" s="33" t="e">
        <f t="shared" si="22"/>
        <v>#N/A</v>
      </c>
    </row>
    <row r="39" spans="1:169" ht="30" customHeight="1">
      <c r="A39" s="52">
        <v>32</v>
      </c>
      <c r="B39" s="13"/>
      <c r="C39" s="13"/>
      <c r="D39" s="19"/>
      <c r="E39" s="13"/>
      <c r="F39" s="15"/>
      <c r="G39" s="10"/>
      <c r="H39" s="10"/>
      <c r="I39" s="14"/>
      <c r="J39" s="14"/>
      <c r="K39" s="280"/>
      <c r="L39" s="15"/>
      <c r="M39" s="15"/>
      <c r="N39" s="15"/>
      <c r="O39" s="13"/>
      <c r="P39" s="13"/>
      <c r="Q39" s="13"/>
      <c r="R39" s="13"/>
      <c r="S39" s="253" t="str">
        <f t="shared" si="3"/>
        <v/>
      </c>
      <c r="T39" s="175"/>
      <c r="U39" s="229"/>
      <c r="V39" s="230"/>
      <c r="BA39" s="33" t="str">
        <f t="shared" si="10"/>
        <v>Head Box Colour</v>
      </c>
      <c r="BM39" s="33" t="b">
        <f t="shared" si="4"/>
        <v>0</v>
      </c>
      <c r="BT39" s="33" t="str">
        <f t="shared" si="5"/>
        <v>Chain Colour</v>
      </c>
      <c r="BZ39" s="33" t="b">
        <f t="shared" si="11"/>
        <v>0</v>
      </c>
      <c r="DH39" s="239" t="str">
        <f t="shared" si="12"/>
        <v>Fabric Insert Option</v>
      </c>
      <c r="ET39" s="310" t="e">
        <f t="shared" si="16"/>
        <v>#N/A</v>
      </c>
      <c r="EU39" s="310" t="e">
        <f t="shared" si="17"/>
        <v>#N/A</v>
      </c>
      <c r="EV39" s="310" t="e">
        <f t="shared" si="18"/>
        <v>#N/A</v>
      </c>
      <c r="FC39" s="239" t="str">
        <f t="shared" si="19"/>
        <v>Vertical Extension Bracket Option NA</v>
      </c>
      <c r="FF39" s="313" t="str">
        <f t="shared" si="20"/>
        <v>Other Bottom Rail Colour</v>
      </c>
      <c r="FJ39" s="311" t="b">
        <f t="shared" si="9"/>
        <v>0</v>
      </c>
      <c r="FL39" s="33" t="e">
        <f t="shared" si="21"/>
        <v>#N/A</v>
      </c>
      <c r="FM39" s="33" t="e">
        <f t="shared" si="22"/>
        <v>#N/A</v>
      </c>
    </row>
    <row r="40" spans="1:169" ht="30" customHeight="1">
      <c r="A40" s="52">
        <v>33</v>
      </c>
      <c r="B40" s="13"/>
      <c r="C40" s="13"/>
      <c r="D40" s="19"/>
      <c r="E40" s="13"/>
      <c r="F40" s="15"/>
      <c r="G40" s="10"/>
      <c r="H40" s="10"/>
      <c r="I40" s="14"/>
      <c r="J40" s="14"/>
      <c r="K40" s="280"/>
      <c r="L40" s="15"/>
      <c r="M40" s="15"/>
      <c r="N40" s="15"/>
      <c r="O40" s="13"/>
      <c r="P40" s="13"/>
      <c r="Q40" s="13"/>
      <c r="R40" s="13"/>
      <c r="S40" s="253" t="str">
        <f t="shared" ref="S40:S57" si="23">IF(SUM(C40)=0,"",SUM(((G40*H40)/1000000)))</f>
        <v/>
      </c>
      <c r="T40" s="175"/>
      <c r="U40" s="229"/>
      <c r="V40" s="230"/>
      <c r="BA40" s="33" t="str">
        <f t="shared" si="10"/>
        <v>Head Box Colour</v>
      </c>
      <c r="BM40" s="33" t="b">
        <f t="shared" si="4"/>
        <v>0</v>
      </c>
      <c r="BT40" s="33" t="str">
        <f t="shared" ref="BT40:BT57" si="24">IF(D40=$BE$14,$BR$7,$BO$7)</f>
        <v>Chain Colour</v>
      </c>
      <c r="BZ40" s="33" t="b">
        <f t="shared" si="11"/>
        <v>0</v>
      </c>
      <c r="DH40" s="239" t="str">
        <f t="shared" si="12"/>
        <v>Fabric Insert Option</v>
      </c>
      <c r="ET40" s="310" t="e">
        <f t="shared" si="16"/>
        <v>#N/A</v>
      </c>
      <c r="EU40" s="310" t="e">
        <f t="shared" si="17"/>
        <v>#N/A</v>
      </c>
      <c r="EV40" s="310" t="e">
        <f t="shared" si="18"/>
        <v>#N/A</v>
      </c>
      <c r="FC40" s="239" t="str">
        <f t="shared" si="19"/>
        <v>Vertical Extension Bracket Option NA</v>
      </c>
      <c r="FF40" s="313" t="str">
        <f t="shared" si="20"/>
        <v>Other Bottom Rail Colour</v>
      </c>
      <c r="FJ40" s="311" t="b">
        <f t="shared" ref="FJ40:FJ57" si="25">IF(D40=$BE$8,$FG$7,IF(D40=$BE$14,$FH$7,IF(D40=$BE$9,$FI$7)))</f>
        <v>0</v>
      </c>
      <c r="FL40" s="33" t="e">
        <f t="shared" si="21"/>
        <v>#N/A</v>
      </c>
      <c r="FM40" s="33" t="e">
        <f t="shared" si="22"/>
        <v>#N/A</v>
      </c>
    </row>
    <row r="41" spans="1:169" ht="30" customHeight="1">
      <c r="A41" s="52">
        <v>34</v>
      </c>
      <c r="B41" s="13"/>
      <c r="C41" s="13"/>
      <c r="D41" s="19"/>
      <c r="E41" s="13"/>
      <c r="F41" s="15"/>
      <c r="G41" s="10"/>
      <c r="H41" s="10"/>
      <c r="I41" s="14"/>
      <c r="J41" s="14"/>
      <c r="K41" s="280"/>
      <c r="L41" s="15"/>
      <c r="M41" s="15"/>
      <c r="N41" s="15"/>
      <c r="O41" s="13"/>
      <c r="P41" s="13"/>
      <c r="Q41" s="13"/>
      <c r="R41" s="13"/>
      <c r="S41" s="253" t="str">
        <f t="shared" si="23"/>
        <v/>
      </c>
      <c r="T41" s="175"/>
      <c r="U41" s="229"/>
      <c r="V41" s="230"/>
      <c r="BA41" s="33" t="str">
        <f t="shared" si="10"/>
        <v>Head Box Colour</v>
      </c>
      <c r="BM41" s="33" t="b">
        <f t="shared" si="4"/>
        <v>0</v>
      </c>
      <c r="BT41" s="33" t="str">
        <f t="shared" si="24"/>
        <v>Chain Colour</v>
      </c>
      <c r="BZ41" s="33" t="b">
        <f t="shared" si="11"/>
        <v>0</v>
      </c>
      <c r="DH41" s="239" t="str">
        <f t="shared" si="12"/>
        <v>Fabric Insert Option</v>
      </c>
      <c r="ET41" s="310" t="e">
        <f t="shared" si="16"/>
        <v>#N/A</v>
      </c>
      <c r="EU41" s="310" t="e">
        <f t="shared" si="17"/>
        <v>#N/A</v>
      </c>
      <c r="EV41" s="310" t="e">
        <f t="shared" si="18"/>
        <v>#N/A</v>
      </c>
      <c r="FC41" s="239" t="str">
        <f t="shared" si="19"/>
        <v>Vertical Extension Bracket Option NA</v>
      </c>
      <c r="FF41" s="313" t="str">
        <f t="shared" si="20"/>
        <v>Other Bottom Rail Colour</v>
      </c>
      <c r="FJ41" s="311" t="b">
        <f t="shared" si="25"/>
        <v>0</v>
      </c>
      <c r="FL41" s="33" t="e">
        <f t="shared" si="21"/>
        <v>#N/A</v>
      </c>
      <c r="FM41" s="33" t="e">
        <f t="shared" si="22"/>
        <v>#N/A</v>
      </c>
    </row>
    <row r="42" spans="1:169" ht="30" customHeight="1">
      <c r="A42" s="52">
        <v>35</v>
      </c>
      <c r="B42" s="13"/>
      <c r="C42" s="13"/>
      <c r="D42" s="19"/>
      <c r="E42" s="13"/>
      <c r="F42" s="15"/>
      <c r="G42" s="10"/>
      <c r="H42" s="10"/>
      <c r="I42" s="14"/>
      <c r="J42" s="14"/>
      <c r="K42" s="280"/>
      <c r="L42" s="15"/>
      <c r="M42" s="15"/>
      <c r="N42" s="15"/>
      <c r="O42" s="13"/>
      <c r="P42" s="13"/>
      <c r="Q42" s="13"/>
      <c r="R42" s="13"/>
      <c r="S42" s="253" t="str">
        <f t="shared" si="23"/>
        <v/>
      </c>
      <c r="T42" s="175"/>
      <c r="U42" s="229"/>
      <c r="V42" s="230"/>
      <c r="BA42" s="33" t="str">
        <f t="shared" si="10"/>
        <v>Head Box Colour</v>
      </c>
      <c r="BM42" s="33" t="b">
        <f t="shared" si="4"/>
        <v>0</v>
      </c>
      <c r="BT42" s="33" t="str">
        <f t="shared" si="24"/>
        <v>Chain Colour</v>
      </c>
      <c r="BZ42" s="33" t="b">
        <f t="shared" si="11"/>
        <v>0</v>
      </c>
      <c r="DH42" s="239" t="str">
        <f t="shared" si="12"/>
        <v>Fabric Insert Option</v>
      </c>
      <c r="ET42" s="310" t="e">
        <f t="shared" si="16"/>
        <v>#N/A</v>
      </c>
      <c r="EU42" s="310" t="e">
        <f t="shared" si="17"/>
        <v>#N/A</v>
      </c>
      <c r="EV42" s="310" t="e">
        <f t="shared" si="18"/>
        <v>#N/A</v>
      </c>
      <c r="FC42" s="239" t="str">
        <f t="shared" si="19"/>
        <v>Vertical Extension Bracket Option NA</v>
      </c>
      <c r="FF42" s="313" t="str">
        <f t="shared" si="20"/>
        <v>Other Bottom Rail Colour</v>
      </c>
      <c r="FJ42" s="311" t="b">
        <f t="shared" si="25"/>
        <v>0</v>
      </c>
      <c r="FL42" s="33" t="e">
        <f t="shared" si="21"/>
        <v>#N/A</v>
      </c>
      <c r="FM42" s="33" t="e">
        <f t="shared" si="22"/>
        <v>#N/A</v>
      </c>
    </row>
    <row r="43" spans="1:169" ht="30" customHeight="1">
      <c r="A43" s="52">
        <v>36</v>
      </c>
      <c r="B43" s="13"/>
      <c r="C43" s="13"/>
      <c r="D43" s="19"/>
      <c r="E43" s="13"/>
      <c r="F43" s="15"/>
      <c r="G43" s="10"/>
      <c r="H43" s="10"/>
      <c r="I43" s="14"/>
      <c r="J43" s="14"/>
      <c r="K43" s="280"/>
      <c r="L43" s="15"/>
      <c r="M43" s="15"/>
      <c r="N43" s="15"/>
      <c r="O43" s="13"/>
      <c r="P43" s="13"/>
      <c r="Q43" s="13"/>
      <c r="R43" s="13"/>
      <c r="S43" s="253" t="str">
        <f t="shared" si="23"/>
        <v/>
      </c>
      <c r="T43" s="175"/>
      <c r="U43" s="229"/>
      <c r="V43" s="230"/>
      <c r="BA43" s="33" t="str">
        <f t="shared" si="10"/>
        <v>Head Box Colour</v>
      </c>
      <c r="BM43" s="33" t="b">
        <f t="shared" si="4"/>
        <v>0</v>
      </c>
      <c r="BT43" s="33" t="str">
        <f t="shared" si="24"/>
        <v>Chain Colour</v>
      </c>
      <c r="BZ43" s="33" t="b">
        <f t="shared" si="11"/>
        <v>0</v>
      </c>
      <c r="DH43" s="239" t="str">
        <f t="shared" si="12"/>
        <v>Fabric Insert Option</v>
      </c>
      <c r="ET43" s="310" t="e">
        <f t="shared" si="16"/>
        <v>#N/A</v>
      </c>
      <c r="EU43" s="310" t="e">
        <f t="shared" si="17"/>
        <v>#N/A</v>
      </c>
      <c r="EV43" s="310" t="e">
        <f t="shared" si="18"/>
        <v>#N/A</v>
      </c>
      <c r="FC43" s="239" t="str">
        <f t="shared" si="19"/>
        <v>Vertical Extension Bracket Option NA</v>
      </c>
      <c r="FF43" s="313" t="str">
        <f t="shared" si="20"/>
        <v>Other Bottom Rail Colour</v>
      </c>
      <c r="FJ43" s="311" t="b">
        <f t="shared" si="25"/>
        <v>0</v>
      </c>
      <c r="FL43" s="33" t="e">
        <f t="shared" si="21"/>
        <v>#N/A</v>
      </c>
      <c r="FM43" s="33" t="e">
        <f t="shared" si="22"/>
        <v>#N/A</v>
      </c>
    </row>
    <row r="44" spans="1:169" ht="30" customHeight="1">
      <c r="A44" s="52">
        <v>37</v>
      </c>
      <c r="B44" s="13"/>
      <c r="C44" s="13"/>
      <c r="D44" s="19"/>
      <c r="E44" s="13"/>
      <c r="F44" s="15"/>
      <c r="G44" s="10"/>
      <c r="H44" s="10"/>
      <c r="I44" s="14"/>
      <c r="J44" s="14"/>
      <c r="K44" s="280"/>
      <c r="L44" s="15"/>
      <c r="M44" s="15"/>
      <c r="N44" s="15"/>
      <c r="O44" s="13"/>
      <c r="P44" s="13"/>
      <c r="Q44" s="13"/>
      <c r="R44" s="13"/>
      <c r="S44" s="253" t="str">
        <f t="shared" si="23"/>
        <v/>
      </c>
      <c r="T44" s="175"/>
      <c r="U44" s="229"/>
      <c r="V44" s="230"/>
      <c r="BA44" s="33" t="str">
        <f t="shared" si="10"/>
        <v>Head Box Colour</v>
      </c>
      <c r="BM44" s="33" t="b">
        <f t="shared" si="4"/>
        <v>0</v>
      </c>
      <c r="BT44" s="33" t="str">
        <f t="shared" si="24"/>
        <v>Chain Colour</v>
      </c>
      <c r="BZ44" s="33" t="b">
        <f t="shared" si="11"/>
        <v>0</v>
      </c>
      <c r="DH44" s="239" t="str">
        <f t="shared" si="12"/>
        <v>Fabric Insert Option</v>
      </c>
      <c r="ET44" s="310" t="e">
        <f t="shared" si="16"/>
        <v>#N/A</v>
      </c>
      <c r="EU44" s="310" t="e">
        <f t="shared" si="17"/>
        <v>#N/A</v>
      </c>
      <c r="EV44" s="310" t="e">
        <f t="shared" si="18"/>
        <v>#N/A</v>
      </c>
      <c r="FC44" s="239" t="str">
        <f t="shared" si="19"/>
        <v>Vertical Extension Bracket Option NA</v>
      </c>
      <c r="FF44" s="313" t="str">
        <f t="shared" si="20"/>
        <v>Other Bottom Rail Colour</v>
      </c>
      <c r="FJ44" s="311" t="b">
        <f t="shared" si="25"/>
        <v>0</v>
      </c>
      <c r="FL44" s="33" t="e">
        <f t="shared" si="21"/>
        <v>#N/A</v>
      </c>
      <c r="FM44" s="33" t="e">
        <f t="shared" si="22"/>
        <v>#N/A</v>
      </c>
    </row>
    <row r="45" spans="1:169" ht="30" customHeight="1">
      <c r="A45" s="52">
        <v>38</v>
      </c>
      <c r="B45" s="13"/>
      <c r="C45" s="13"/>
      <c r="D45" s="19"/>
      <c r="E45" s="13"/>
      <c r="F45" s="15"/>
      <c r="G45" s="10"/>
      <c r="H45" s="10"/>
      <c r="I45" s="14"/>
      <c r="J45" s="14"/>
      <c r="K45" s="280"/>
      <c r="L45" s="15"/>
      <c r="M45" s="15"/>
      <c r="N45" s="15"/>
      <c r="O45" s="13"/>
      <c r="P45" s="13"/>
      <c r="Q45" s="13"/>
      <c r="R45" s="13"/>
      <c r="S45" s="253" t="str">
        <f t="shared" si="23"/>
        <v/>
      </c>
      <c r="T45" s="175"/>
      <c r="U45" s="229"/>
      <c r="V45" s="230"/>
      <c r="BA45" s="33" t="str">
        <f t="shared" si="10"/>
        <v>Head Box Colour</v>
      </c>
      <c r="BM45" s="33" t="b">
        <f t="shared" si="4"/>
        <v>0</v>
      </c>
      <c r="BT45" s="33" t="str">
        <f t="shared" si="24"/>
        <v>Chain Colour</v>
      </c>
      <c r="BZ45" s="33" t="b">
        <f t="shared" si="11"/>
        <v>0</v>
      </c>
      <c r="DH45" s="239" t="str">
        <f t="shared" si="12"/>
        <v>Fabric Insert Option</v>
      </c>
      <c r="ET45" s="310" t="e">
        <f t="shared" si="16"/>
        <v>#N/A</v>
      </c>
      <c r="EU45" s="310" t="e">
        <f t="shared" si="17"/>
        <v>#N/A</v>
      </c>
      <c r="EV45" s="310" t="e">
        <f t="shared" si="18"/>
        <v>#N/A</v>
      </c>
      <c r="FC45" s="239" t="str">
        <f t="shared" si="19"/>
        <v>Vertical Extension Bracket Option NA</v>
      </c>
      <c r="FF45" s="313" t="str">
        <f t="shared" si="20"/>
        <v>Other Bottom Rail Colour</v>
      </c>
      <c r="FJ45" s="311" t="b">
        <f t="shared" si="25"/>
        <v>0</v>
      </c>
      <c r="FL45" s="33" t="e">
        <f t="shared" si="21"/>
        <v>#N/A</v>
      </c>
      <c r="FM45" s="33" t="e">
        <f t="shared" si="22"/>
        <v>#N/A</v>
      </c>
    </row>
    <row r="46" spans="1:169" ht="30" customHeight="1">
      <c r="A46" s="52">
        <v>39</v>
      </c>
      <c r="B46" s="13"/>
      <c r="C46" s="13"/>
      <c r="D46" s="19"/>
      <c r="E46" s="13"/>
      <c r="F46" s="15"/>
      <c r="G46" s="10"/>
      <c r="H46" s="10"/>
      <c r="I46" s="14"/>
      <c r="J46" s="14"/>
      <c r="K46" s="280"/>
      <c r="L46" s="15"/>
      <c r="M46" s="15"/>
      <c r="N46" s="15"/>
      <c r="O46" s="13"/>
      <c r="P46" s="13"/>
      <c r="Q46" s="13"/>
      <c r="R46" s="13"/>
      <c r="S46" s="253" t="str">
        <f t="shared" si="23"/>
        <v/>
      </c>
      <c r="T46" s="175"/>
      <c r="U46" s="229"/>
      <c r="V46" s="230"/>
      <c r="BA46" s="33" t="str">
        <f t="shared" si="10"/>
        <v>Head Box Colour</v>
      </c>
      <c r="BM46" s="33" t="b">
        <f t="shared" si="4"/>
        <v>0</v>
      </c>
      <c r="BT46" s="33" t="str">
        <f t="shared" si="24"/>
        <v>Chain Colour</v>
      </c>
      <c r="BZ46" s="33" t="b">
        <f t="shared" si="11"/>
        <v>0</v>
      </c>
      <c r="DH46" s="239" t="str">
        <f t="shared" si="12"/>
        <v>Fabric Insert Option</v>
      </c>
      <c r="ET46" s="310" t="e">
        <f t="shared" si="16"/>
        <v>#N/A</v>
      </c>
      <c r="EU46" s="310" t="e">
        <f t="shared" si="17"/>
        <v>#N/A</v>
      </c>
      <c r="EV46" s="310" t="e">
        <f t="shared" si="18"/>
        <v>#N/A</v>
      </c>
      <c r="FC46" s="239" t="str">
        <f t="shared" si="19"/>
        <v>Vertical Extension Bracket Option NA</v>
      </c>
      <c r="FF46" s="313" t="str">
        <f t="shared" si="20"/>
        <v>Other Bottom Rail Colour</v>
      </c>
      <c r="FJ46" s="311" t="b">
        <f t="shared" si="25"/>
        <v>0</v>
      </c>
      <c r="FL46" s="33" t="e">
        <f t="shared" si="21"/>
        <v>#N/A</v>
      </c>
      <c r="FM46" s="33" t="e">
        <f t="shared" si="22"/>
        <v>#N/A</v>
      </c>
    </row>
    <row r="47" spans="1:169" ht="30" customHeight="1">
      <c r="A47" s="52">
        <v>40</v>
      </c>
      <c r="B47" s="13"/>
      <c r="C47" s="13"/>
      <c r="D47" s="19"/>
      <c r="E47" s="13"/>
      <c r="F47" s="15"/>
      <c r="G47" s="10"/>
      <c r="H47" s="10"/>
      <c r="I47" s="14"/>
      <c r="J47" s="14"/>
      <c r="K47" s="280"/>
      <c r="L47" s="15"/>
      <c r="M47" s="15"/>
      <c r="N47" s="15"/>
      <c r="O47" s="13"/>
      <c r="P47" s="13"/>
      <c r="Q47" s="13"/>
      <c r="R47" s="13"/>
      <c r="S47" s="253" t="str">
        <f t="shared" si="23"/>
        <v/>
      </c>
      <c r="T47" s="175"/>
      <c r="U47" s="229"/>
      <c r="V47" s="230"/>
      <c r="BA47" s="33" t="str">
        <f t="shared" si="10"/>
        <v>Head Box Colour</v>
      </c>
      <c r="BM47" s="33" t="b">
        <f t="shared" si="4"/>
        <v>0</v>
      </c>
      <c r="BT47" s="33" t="str">
        <f t="shared" si="24"/>
        <v>Chain Colour</v>
      </c>
      <c r="BZ47" s="33" t="b">
        <f t="shared" si="11"/>
        <v>0</v>
      </c>
      <c r="DH47" s="239" t="str">
        <f t="shared" si="12"/>
        <v>Fabric Insert Option</v>
      </c>
      <c r="ET47" s="310" t="e">
        <f t="shared" si="16"/>
        <v>#N/A</v>
      </c>
      <c r="EU47" s="310" t="e">
        <f t="shared" si="17"/>
        <v>#N/A</v>
      </c>
      <c r="EV47" s="310" t="e">
        <f t="shared" si="18"/>
        <v>#N/A</v>
      </c>
      <c r="FC47" s="239" t="str">
        <f t="shared" si="19"/>
        <v>Vertical Extension Bracket Option NA</v>
      </c>
      <c r="FF47" s="313" t="str">
        <f t="shared" si="20"/>
        <v>Other Bottom Rail Colour</v>
      </c>
      <c r="FJ47" s="311" t="b">
        <f t="shared" si="25"/>
        <v>0</v>
      </c>
      <c r="FL47" s="33" t="e">
        <f t="shared" si="21"/>
        <v>#N/A</v>
      </c>
      <c r="FM47" s="33" t="e">
        <f t="shared" si="22"/>
        <v>#N/A</v>
      </c>
    </row>
    <row r="48" spans="1:169" ht="30" customHeight="1">
      <c r="A48" s="52">
        <v>41</v>
      </c>
      <c r="B48" s="13"/>
      <c r="C48" s="13"/>
      <c r="D48" s="19"/>
      <c r="E48" s="13"/>
      <c r="F48" s="15"/>
      <c r="G48" s="10"/>
      <c r="H48" s="10"/>
      <c r="I48" s="14"/>
      <c r="J48" s="14"/>
      <c r="K48" s="280"/>
      <c r="L48" s="15"/>
      <c r="M48" s="15"/>
      <c r="N48" s="15"/>
      <c r="O48" s="13"/>
      <c r="P48" s="13"/>
      <c r="Q48" s="13"/>
      <c r="R48" s="13"/>
      <c r="S48" s="253" t="str">
        <f t="shared" si="23"/>
        <v/>
      </c>
      <c r="T48" s="175"/>
      <c r="U48" s="229"/>
      <c r="V48" s="230"/>
      <c r="BA48" s="33" t="str">
        <f t="shared" si="10"/>
        <v>Head Box Colour</v>
      </c>
      <c r="BM48" s="33" t="b">
        <f t="shared" si="4"/>
        <v>0</v>
      </c>
      <c r="BT48" s="33" t="str">
        <f t="shared" si="24"/>
        <v>Chain Colour</v>
      </c>
      <c r="BZ48" s="33" t="b">
        <f t="shared" si="11"/>
        <v>0</v>
      </c>
      <c r="DH48" s="239" t="str">
        <f t="shared" si="12"/>
        <v>Fabric Insert Option</v>
      </c>
      <c r="ET48" s="310" t="e">
        <f t="shared" si="16"/>
        <v>#N/A</v>
      </c>
      <c r="EU48" s="310" t="e">
        <f t="shared" si="17"/>
        <v>#N/A</v>
      </c>
      <c r="EV48" s="310" t="e">
        <f t="shared" si="18"/>
        <v>#N/A</v>
      </c>
      <c r="FC48" s="239" t="str">
        <f t="shared" si="19"/>
        <v>Vertical Extension Bracket Option NA</v>
      </c>
      <c r="FF48" s="313" t="str">
        <f t="shared" si="20"/>
        <v>Other Bottom Rail Colour</v>
      </c>
      <c r="FJ48" s="311" t="b">
        <f t="shared" si="25"/>
        <v>0</v>
      </c>
      <c r="FL48" s="33" t="e">
        <f t="shared" si="21"/>
        <v>#N/A</v>
      </c>
      <c r="FM48" s="33" t="e">
        <f t="shared" si="22"/>
        <v>#N/A</v>
      </c>
    </row>
    <row r="49" spans="1:169" ht="30" customHeight="1">
      <c r="A49" s="52">
        <v>42</v>
      </c>
      <c r="B49" s="13"/>
      <c r="C49" s="13"/>
      <c r="D49" s="19"/>
      <c r="E49" s="13"/>
      <c r="F49" s="15"/>
      <c r="G49" s="10"/>
      <c r="H49" s="10"/>
      <c r="I49" s="14"/>
      <c r="J49" s="14"/>
      <c r="K49" s="280"/>
      <c r="L49" s="15"/>
      <c r="M49" s="15"/>
      <c r="N49" s="15"/>
      <c r="O49" s="13"/>
      <c r="P49" s="13"/>
      <c r="Q49" s="13"/>
      <c r="R49" s="13"/>
      <c r="S49" s="253" t="str">
        <f t="shared" si="23"/>
        <v/>
      </c>
      <c r="T49" s="175"/>
      <c r="U49" s="229"/>
      <c r="V49" s="230"/>
      <c r="BA49" s="33" t="str">
        <f t="shared" si="10"/>
        <v>Head Box Colour</v>
      </c>
      <c r="BM49" s="33" t="b">
        <f t="shared" si="4"/>
        <v>0</v>
      </c>
      <c r="BT49" s="33" t="str">
        <f t="shared" si="24"/>
        <v>Chain Colour</v>
      </c>
      <c r="BZ49" s="33" t="b">
        <f t="shared" si="11"/>
        <v>0</v>
      </c>
      <c r="DH49" s="239" t="str">
        <f t="shared" si="12"/>
        <v>Fabric Insert Option</v>
      </c>
      <c r="ET49" s="310" t="e">
        <f t="shared" si="16"/>
        <v>#N/A</v>
      </c>
      <c r="EU49" s="310" t="e">
        <f t="shared" si="17"/>
        <v>#N/A</v>
      </c>
      <c r="EV49" s="310" t="e">
        <f t="shared" si="18"/>
        <v>#N/A</v>
      </c>
      <c r="FC49" s="239" t="str">
        <f t="shared" si="19"/>
        <v>Vertical Extension Bracket Option NA</v>
      </c>
      <c r="FF49" s="313" t="str">
        <f t="shared" si="20"/>
        <v>Other Bottom Rail Colour</v>
      </c>
      <c r="FJ49" s="311" t="b">
        <f t="shared" si="25"/>
        <v>0</v>
      </c>
      <c r="FL49" s="33" t="e">
        <f t="shared" si="21"/>
        <v>#N/A</v>
      </c>
      <c r="FM49" s="33" t="e">
        <f t="shared" si="22"/>
        <v>#N/A</v>
      </c>
    </row>
    <row r="50" spans="1:169" ht="30" customHeight="1">
      <c r="A50" s="52">
        <v>43</v>
      </c>
      <c r="B50" s="13"/>
      <c r="C50" s="13"/>
      <c r="D50" s="19"/>
      <c r="E50" s="13"/>
      <c r="F50" s="15"/>
      <c r="G50" s="10"/>
      <c r="H50" s="10"/>
      <c r="I50" s="14"/>
      <c r="J50" s="14"/>
      <c r="K50" s="280"/>
      <c r="L50" s="15"/>
      <c r="M50" s="15"/>
      <c r="N50" s="15"/>
      <c r="O50" s="13"/>
      <c r="P50" s="13"/>
      <c r="Q50" s="13"/>
      <c r="R50" s="13"/>
      <c r="S50" s="253" t="str">
        <f t="shared" si="23"/>
        <v/>
      </c>
      <c r="T50" s="175"/>
      <c r="U50" s="229"/>
      <c r="V50" s="230"/>
      <c r="BA50" s="33" t="str">
        <f t="shared" si="10"/>
        <v>Head Box Colour</v>
      </c>
      <c r="BM50" s="33" t="b">
        <f t="shared" si="4"/>
        <v>0</v>
      </c>
      <c r="BT50" s="33" t="str">
        <f t="shared" si="24"/>
        <v>Chain Colour</v>
      </c>
      <c r="BZ50" s="33" t="b">
        <f t="shared" si="11"/>
        <v>0</v>
      </c>
      <c r="DH50" s="239" t="str">
        <f t="shared" si="12"/>
        <v>Fabric Insert Option</v>
      </c>
      <c r="ET50" s="310" t="e">
        <f t="shared" si="16"/>
        <v>#N/A</v>
      </c>
      <c r="EU50" s="310" t="e">
        <f t="shared" si="17"/>
        <v>#N/A</v>
      </c>
      <c r="EV50" s="310" t="e">
        <f t="shared" si="18"/>
        <v>#N/A</v>
      </c>
      <c r="FC50" s="239" t="str">
        <f t="shared" si="19"/>
        <v>Vertical Extension Bracket Option NA</v>
      </c>
      <c r="FF50" s="313" t="str">
        <f t="shared" si="20"/>
        <v>Other Bottom Rail Colour</v>
      </c>
      <c r="FJ50" s="311" t="b">
        <f t="shared" si="25"/>
        <v>0</v>
      </c>
      <c r="FL50" s="33" t="e">
        <f t="shared" si="21"/>
        <v>#N/A</v>
      </c>
      <c r="FM50" s="33" t="e">
        <f t="shared" si="22"/>
        <v>#N/A</v>
      </c>
    </row>
    <row r="51" spans="1:169" ht="30" customHeight="1">
      <c r="A51" s="52">
        <v>44</v>
      </c>
      <c r="B51" s="13"/>
      <c r="C51" s="13"/>
      <c r="D51" s="19"/>
      <c r="E51" s="13"/>
      <c r="F51" s="15"/>
      <c r="G51" s="10"/>
      <c r="H51" s="10"/>
      <c r="I51" s="14"/>
      <c r="J51" s="14"/>
      <c r="K51" s="280"/>
      <c r="L51" s="15"/>
      <c r="M51" s="15"/>
      <c r="N51" s="15"/>
      <c r="O51" s="13"/>
      <c r="P51" s="13"/>
      <c r="Q51" s="13"/>
      <c r="R51" s="13"/>
      <c r="S51" s="253" t="str">
        <f t="shared" si="23"/>
        <v/>
      </c>
      <c r="T51" s="175"/>
      <c r="U51" s="229"/>
      <c r="V51" s="230"/>
      <c r="BA51" s="33" t="str">
        <f t="shared" si="10"/>
        <v>Head Box Colour</v>
      </c>
      <c r="BM51" s="33" t="b">
        <f t="shared" si="4"/>
        <v>0</v>
      </c>
      <c r="BT51" s="33" t="str">
        <f t="shared" si="24"/>
        <v>Chain Colour</v>
      </c>
      <c r="BZ51" s="33" t="b">
        <f t="shared" si="11"/>
        <v>0</v>
      </c>
      <c r="DH51" s="239" t="str">
        <f t="shared" si="12"/>
        <v>Fabric Insert Option</v>
      </c>
      <c r="ET51" s="310" t="e">
        <f t="shared" si="16"/>
        <v>#N/A</v>
      </c>
      <c r="EU51" s="310" t="e">
        <f t="shared" si="17"/>
        <v>#N/A</v>
      </c>
      <c r="EV51" s="310" t="e">
        <f t="shared" si="18"/>
        <v>#N/A</v>
      </c>
      <c r="FC51" s="239" t="str">
        <f t="shared" si="19"/>
        <v>Vertical Extension Bracket Option NA</v>
      </c>
      <c r="FF51" s="313" t="str">
        <f t="shared" si="20"/>
        <v>Other Bottom Rail Colour</v>
      </c>
      <c r="FJ51" s="311" t="b">
        <f t="shared" si="25"/>
        <v>0</v>
      </c>
      <c r="FL51" s="33" t="e">
        <f t="shared" si="21"/>
        <v>#N/A</v>
      </c>
      <c r="FM51" s="33" t="e">
        <f t="shared" si="22"/>
        <v>#N/A</v>
      </c>
    </row>
    <row r="52" spans="1:169" ht="30" customHeight="1">
      <c r="A52" s="52">
        <v>45</v>
      </c>
      <c r="B52" s="13"/>
      <c r="C52" s="13"/>
      <c r="D52" s="19"/>
      <c r="E52" s="13"/>
      <c r="F52" s="15"/>
      <c r="G52" s="10"/>
      <c r="H52" s="10"/>
      <c r="I52" s="14"/>
      <c r="J52" s="14"/>
      <c r="K52" s="280"/>
      <c r="L52" s="15"/>
      <c r="M52" s="15"/>
      <c r="N52" s="15"/>
      <c r="O52" s="13"/>
      <c r="P52" s="13"/>
      <c r="Q52" s="13"/>
      <c r="R52" s="13"/>
      <c r="S52" s="253" t="str">
        <f t="shared" si="23"/>
        <v/>
      </c>
      <c r="T52" s="175"/>
      <c r="U52" s="229"/>
      <c r="V52" s="230"/>
      <c r="BA52" s="33" t="str">
        <f t="shared" si="10"/>
        <v>Head Box Colour</v>
      </c>
      <c r="BM52" s="33" t="b">
        <f t="shared" si="4"/>
        <v>0</v>
      </c>
      <c r="BT52" s="33" t="str">
        <f t="shared" si="24"/>
        <v>Chain Colour</v>
      </c>
      <c r="BZ52" s="33" t="b">
        <f t="shared" si="11"/>
        <v>0</v>
      </c>
      <c r="DH52" s="239" t="str">
        <f t="shared" si="12"/>
        <v>Fabric Insert Option</v>
      </c>
      <c r="ET52" s="310" t="e">
        <f t="shared" si="16"/>
        <v>#N/A</v>
      </c>
      <c r="EU52" s="310" t="e">
        <f t="shared" si="17"/>
        <v>#N/A</v>
      </c>
      <c r="EV52" s="310" t="e">
        <f t="shared" si="18"/>
        <v>#N/A</v>
      </c>
      <c r="FC52" s="239" t="str">
        <f t="shared" si="19"/>
        <v>Vertical Extension Bracket Option NA</v>
      </c>
      <c r="FF52" s="313" t="str">
        <f t="shared" si="20"/>
        <v>Other Bottom Rail Colour</v>
      </c>
      <c r="FJ52" s="311" t="b">
        <f t="shared" si="25"/>
        <v>0</v>
      </c>
      <c r="FL52" s="33" t="e">
        <f t="shared" si="21"/>
        <v>#N/A</v>
      </c>
      <c r="FM52" s="33" t="e">
        <f t="shared" si="22"/>
        <v>#N/A</v>
      </c>
    </row>
    <row r="53" spans="1:169" ht="30" customHeight="1">
      <c r="A53" s="52">
        <v>46</v>
      </c>
      <c r="B53" s="13"/>
      <c r="C53" s="13"/>
      <c r="D53" s="19"/>
      <c r="E53" s="13"/>
      <c r="F53" s="15"/>
      <c r="G53" s="10"/>
      <c r="H53" s="10"/>
      <c r="I53" s="14"/>
      <c r="J53" s="14"/>
      <c r="K53" s="280"/>
      <c r="L53" s="15"/>
      <c r="M53" s="15"/>
      <c r="N53" s="15"/>
      <c r="O53" s="13"/>
      <c r="P53" s="13"/>
      <c r="Q53" s="13"/>
      <c r="R53" s="13"/>
      <c r="S53" s="253" t="str">
        <f t="shared" si="23"/>
        <v/>
      </c>
      <c r="T53" s="175"/>
      <c r="U53" s="229"/>
      <c r="V53" s="230"/>
      <c r="BA53" s="33" t="str">
        <f t="shared" si="10"/>
        <v>Head Box Colour</v>
      </c>
      <c r="BM53" s="33" t="b">
        <f t="shared" si="4"/>
        <v>0</v>
      </c>
      <c r="BT53" s="33" t="str">
        <f t="shared" si="24"/>
        <v>Chain Colour</v>
      </c>
      <c r="BZ53" s="33" t="b">
        <f t="shared" si="11"/>
        <v>0</v>
      </c>
      <c r="DH53" s="239" t="str">
        <f t="shared" si="12"/>
        <v>Fabric Insert Option</v>
      </c>
      <c r="ET53" s="310" t="e">
        <f t="shared" si="16"/>
        <v>#N/A</v>
      </c>
      <c r="EU53" s="310" t="e">
        <f t="shared" si="17"/>
        <v>#N/A</v>
      </c>
      <c r="EV53" s="310" t="e">
        <f t="shared" si="18"/>
        <v>#N/A</v>
      </c>
      <c r="FC53" s="239" t="str">
        <f t="shared" si="19"/>
        <v>Vertical Extension Bracket Option NA</v>
      </c>
      <c r="FF53" s="313" t="str">
        <f t="shared" si="20"/>
        <v>Other Bottom Rail Colour</v>
      </c>
      <c r="FJ53" s="311" t="b">
        <f t="shared" si="25"/>
        <v>0</v>
      </c>
      <c r="FL53" s="33" t="e">
        <f t="shared" si="21"/>
        <v>#N/A</v>
      </c>
      <c r="FM53" s="33" t="e">
        <f t="shared" si="22"/>
        <v>#N/A</v>
      </c>
    </row>
    <row r="54" spans="1:169" ht="30" customHeight="1">
      <c r="A54" s="52">
        <v>47</v>
      </c>
      <c r="B54" s="13"/>
      <c r="C54" s="13"/>
      <c r="D54" s="19"/>
      <c r="E54" s="13"/>
      <c r="F54" s="15"/>
      <c r="G54" s="10"/>
      <c r="H54" s="10"/>
      <c r="I54" s="14"/>
      <c r="J54" s="14"/>
      <c r="K54" s="280"/>
      <c r="L54" s="15"/>
      <c r="M54" s="15"/>
      <c r="N54" s="15"/>
      <c r="O54" s="13"/>
      <c r="P54" s="13"/>
      <c r="Q54" s="13"/>
      <c r="R54" s="13"/>
      <c r="S54" s="253" t="str">
        <f t="shared" si="23"/>
        <v/>
      </c>
      <c r="T54" s="175"/>
      <c r="U54" s="229"/>
      <c r="V54" s="230"/>
      <c r="BA54" s="33" t="str">
        <f t="shared" si="10"/>
        <v>Head Box Colour</v>
      </c>
      <c r="BM54" s="33" t="b">
        <f t="shared" si="4"/>
        <v>0</v>
      </c>
      <c r="BT54" s="33" t="str">
        <f t="shared" si="24"/>
        <v>Chain Colour</v>
      </c>
      <c r="BZ54" s="33" t="b">
        <f t="shared" si="11"/>
        <v>0</v>
      </c>
      <c r="DH54" s="239" t="str">
        <f t="shared" si="12"/>
        <v>Fabric Insert Option</v>
      </c>
      <c r="ET54" s="310" t="e">
        <f t="shared" si="16"/>
        <v>#N/A</v>
      </c>
      <c r="EU54" s="310" t="e">
        <f t="shared" si="17"/>
        <v>#N/A</v>
      </c>
      <c r="EV54" s="310" t="e">
        <f t="shared" si="18"/>
        <v>#N/A</v>
      </c>
      <c r="FC54" s="239" t="str">
        <f t="shared" si="19"/>
        <v>Vertical Extension Bracket Option NA</v>
      </c>
      <c r="FF54" s="313" t="str">
        <f t="shared" si="20"/>
        <v>Other Bottom Rail Colour</v>
      </c>
      <c r="FJ54" s="311" t="b">
        <f t="shared" si="25"/>
        <v>0</v>
      </c>
      <c r="FL54" s="33" t="e">
        <f t="shared" si="21"/>
        <v>#N/A</v>
      </c>
      <c r="FM54" s="33" t="e">
        <f t="shared" si="22"/>
        <v>#N/A</v>
      </c>
    </row>
    <row r="55" spans="1:169" ht="30" customHeight="1">
      <c r="A55" s="52">
        <v>48</v>
      </c>
      <c r="B55" s="13"/>
      <c r="C55" s="13"/>
      <c r="D55" s="19"/>
      <c r="E55" s="13"/>
      <c r="F55" s="15"/>
      <c r="G55" s="10"/>
      <c r="H55" s="10"/>
      <c r="I55" s="14"/>
      <c r="J55" s="14"/>
      <c r="K55" s="280"/>
      <c r="L55" s="15"/>
      <c r="M55" s="15"/>
      <c r="N55" s="15"/>
      <c r="O55" s="13"/>
      <c r="P55" s="13"/>
      <c r="Q55" s="13"/>
      <c r="R55" s="13"/>
      <c r="S55" s="253" t="str">
        <f t="shared" si="23"/>
        <v/>
      </c>
      <c r="T55" s="175"/>
      <c r="U55" s="229"/>
      <c r="V55" s="230"/>
      <c r="BA55" s="33" t="str">
        <f t="shared" si="10"/>
        <v>Head Box Colour</v>
      </c>
      <c r="BM55" s="33" t="b">
        <f t="shared" si="4"/>
        <v>0</v>
      </c>
      <c r="BT55" s="33" t="str">
        <f t="shared" si="24"/>
        <v>Chain Colour</v>
      </c>
      <c r="BZ55" s="33" t="b">
        <f t="shared" si="11"/>
        <v>0</v>
      </c>
      <c r="DH55" s="239" t="str">
        <f t="shared" si="12"/>
        <v>Fabric Insert Option</v>
      </c>
      <c r="ET55" s="310" t="e">
        <f t="shared" si="16"/>
        <v>#N/A</v>
      </c>
      <c r="EU55" s="310" t="e">
        <f t="shared" si="17"/>
        <v>#N/A</v>
      </c>
      <c r="EV55" s="310" t="e">
        <f t="shared" si="18"/>
        <v>#N/A</v>
      </c>
      <c r="FC55" s="239" t="str">
        <f t="shared" si="19"/>
        <v>Vertical Extension Bracket Option NA</v>
      </c>
      <c r="FF55" s="313" t="str">
        <f t="shared" si="20"/>
        <v>Other Bottom Rail Colour</v>
      </c>
      <c r="FJ55" s="311" t="b">
        <f t="shared" si="25"/>
        <v>0</v>
      </c>
      <c r="FL55" s="33" t="e">
        <f t="shared" si="21"/>
        <v>#N/A</v>
      </c>
      <c r="FM55" s="33" t="e">
        <f t="shared" si="22"/>
        <v>#N/A</v>
      </c>
    </row>
    <row r="56" spans="1:169" ht="30" customHeight="1">
      <c r="A56" s="52">
        <v>49</v>
      </c>
      <c r="B56" s="13"/>
      <c r="C56" s="13"/>
      <c r="D56" s="19"/>
      <c r="E56" s="13"/>
      <c r="F56" s="15"/>
      <c r="G56" s="10"/>
      <c r="H56" s="10"/>
      <c r="I56" s="14"/>
      <c r="J56" s="14"/>
      <c r="K56" s="280"/>
      <c r="L56" s="15"/>
      <c r="M56" s="15"/>
      <c r="N56" s="15"/>
      <c r="O56" s="13"/>
      <c r="P56" s="13"/>
      <c r="Q56" s="13"/>
      <c r="R56" s="13"/>
      <c r="S56" s="253" t="str">
        <f t="shared" si="23"/>
        <v/>
      </c>
      <c r="T56" s="175"/>
      <c r="U56" s="229"/>
      <c r="V56" s="230"/>
      <c r="BA56" s="33" t="str">
        <f t="shared" si="10"/>
        <v>Head Box Colour</v>
      </c>
      <c r="BM56" s="33" t="b">
        <f t="shared" si="4"/>
        <v>0</v>
      </c>
      <c r="BT56" s="33" t="str">
        <f t="shared" si="24"/>
        <v>Chain Colour</v>
      </c>
      <c r="BZ56" s="33" t="b">
        <f t="shared" si="11"/>
        <v>0</v>
      </c>
      <c r="DH56" s="239" t="str">
        <f t="shared" si="12"/>
        <v>Fabric Insert Option</v>
      </c>
      <c r="ET56" s="310" t="e">
        <f t="shared" si="16"/>
        <v>#N/A</v>
      </c>
      <c r="EU56" s="310" t="e">
        <f t="shared" si="17"/>
        <v>#N/A</v>
      </c>
      <c r="EV56" s="310" t="e">
        <f t="shared" si="18"/>
        <v>#N/A</v>
      </c>
      <c r="FC56" s="239" t="str">
        <f t="shared" si="19"/>
        <v>Vertical Extension Bracket Option NA</v>
      </c>
      <c r="FF56" s="313" t="str">
        <f t="shared" si="20"/>
        <v>Other Bottom Rail Colour</v>
      </c>
      <c r="FJ56" s="311" t="b">
        <f t="shared" si="25"/>
        <v>0</v>
      </c>
      <c r="FL56" s="33" t="e">
        <f t="shared" si="21"/>
        <v>#N/A</v>
      </c>
      <c r="FM56" s="33" t="e">
        <f t="shared" si="22"/>
        <v>#N/A</v>
      </c>
    </row>
    <row r="57" spans="1:169" ht="30" customHeight="1" thickBot="1">
      <c r="A57" s="53">
        <v>50</v>
      </c>
      <c r="B57" s="21"/>
      <c r="C57" s="21"/>
      <c r="D57" s="45"/>
      <c r="E57" s="21"/>
      <c r="F57" s="44"/>
      <c r="G57" s="46"/>
      <c r="H57" s="46"/>
      <c r="I57" s="22"/>
      <c r="J57" s="46"/>
      <c r="K57" s="284"/>
      <c r="L57" s="44"/>
      <c r="M57" s="44"/>
      <c r="N57" s="44"/>
      <c r="O57" s="21"/>
      <c r="P57" s="21"/>
      <c r="Q57" s="21"/>
      <c r="R57" s="21"/>
      <c r="S57" s="254" t="str">
        <f t="shared" si="23"/>
        <v/>
      </c>
      <c r="T57" s="176"/>
      <c r="U57" s="229"/>
      <c r="V57" s="230"/>
      <c r="BA57" s="33" t="str">
        <f t="shared" si="10"/>
        <v>Head Box Colour</v>
      </c>
      <c r="BM57" s="33" t="b">
        <f t="shared" si="4"/>
        <v>0</v>
      </c>
      <c r="BT57" s="33" t="str">
        <f t="shared" si="24"/>
        <v>Chain Colour</v>
      </c>
      <c r="BZ57" s="33" t="b">
        <f t="shared" si="11"/>
        <v>0</v>
      </c>
      <c r="DH57" s="239" t="str">
        <f t="shared" si="12"/>
        <v>Fabric Insert Option</v>
      </c>
      <c r="ET57" s="310" t="e">
        <f t="shared" si="16"/>
        <v>#N/A</v>
      </c>
      <c r="EU57" s="310" t="e">
        <f t="shared" si="17"/>
        <v>#N/A</v>
      </c>
      <c r="EV57" s="310" t="e">
        <f t="shared" si="18"/>
        <v>#N/A</v>
      </c>
      <c r="FC57" s="239" t="str">
        <f t="shared" si="19"/>
        <v>Vertical Extension Bracket Option NA</v>
      </c>
      <c r="FF57" s="313" t="str">
        <f t="shared" si="20"/>
        <v>Other Bottom Rail Colour</v>
      </c>
      <c r="FJ57" s="311" t="b">
        <f t="shared" si="25"/>
        <v>0</v>
      </c>
      <c r="FL57" s="33" t="e">
        <f t="shared" si="21"/>
        <v>#N/A</v>
      </c>
      <c r="FM57" s="33" t="e">
        <f t="shared" si="22"/>
        <v>#N/A</v>
      </c>
    </row>
    <row r="58" spans="1:169" ht="15.75" thickTop="1">
      <c r="A58" s="77"/>
    </row>
  </sheetData>
  <sheetProtection algorithmName="SHA-512" hashValue="DKBpIJLdAI0LIdybmgAMRHneUBQq1829U85P9WwmEW3UA5GxCGgzLv6LYI2TBI87MQKqvpjmQJ/0vannmC86Wg==" saltValue="w6COMTI/1dJAaIILVlGs3w==" spinCount="100000" sheet="1" objects="1" scenarios="1"/>
  <sortState xmlns:xlrd2="http://schemas.microsoft.com/office/spreadsheetml/2017/richdata2" ref="EZ8:EZ13">
    <sortCondition ref="EZ7:EZ13"/>
  </sortState>
  <mergeCells count="19">
    <mergeCell ref="A6:I6"/>
    <mergeCell ref="K6:L6"/>
    <mergeCell ref="M6:T6"/>
    <mergeCell ref="K4:L4"/>
    <mergeCell ref="M4:T4"/>
    <mergeCell ref="K5:L5"/>
    <mergeCell ref="M5:T5"/>
    <mergeCell ref="K3:L3"/>
    <mergeCell ref="M3:T3"/>
    <mergeCell ref="K1:L1"/>
    <mergeCell ref="M1:T1"/>
    <mergeCell ref="F3:I3"/>
    <mergeCell ref="K2:L2"/>
    <mergeCell ref="M2:T2"/>
    <mergeCell ref="E2:E3"/>
    <mergeCell ref="A4:E4"/>
    <mergeCell ref="F4:I4"/>
    <mergeCell ref="F2:I2"/>
    <mergeCell ref="A1:D3"/>
  </mergeCells>
  <conditionalFormatting sqref="P8:P57">
    <cfRule type="containsText" dxfId="70" priority="3" stopIfTrue="1" operator="containsText" text="Stainless Steel">
      <formula>NOT(ISERROR(SEARCH("Stainless Steel",P8)))</formula>
    </cfRule>
  </conditionalFormatting>
  <conditionalFormatting sqref="C8:C57">
    <cfRule type="cellIs" dxfId="69" priority="2" stopIfTrue="1" operator="greaterThan">
      <formula>1</formula>
    </cfRule>
  </conditionalFormatting>
  <conditionalFormatting sqref="I8:I57">
    <cfRule type="containsText" dxfId="68" priority="1" operator="containsText" text="Side By Side">
      <formula>NOT(ISERROR(SEARCH("Side By Side",I8)))</formula>
    </cfRule>
  </conditionalFormatting>
  <dataValidations count="17">
    <dataValidation type="list" allowBlank="1" showInputMessage="1" showErrorMessage="1" errorTitle="Invalid Entry" error="Invalid Entry" sqref="R8:R57" xr:uid="{00000000-0002-0000-0800-000000000000}">
      <formula1>INDIRECT(SUBSTITUTE(FJ8," ","_"))</formula1>
    </dataValidation>
    <dataValidation type="list" allowBlank="1" showInputMessage="1" showErrorMessage="1" errorTitle="Invalid Entry" error="Invalid Entry" sqref="M8:M57" xr:uid="{00000000-0002-0000-0800-000001000000}">
      <formula1>INDIRECT(SUBSTITUTE(FF8," ","_"))</formula1>
    </dataValidation>
    <dataValidation type="list" allowBlank="1" showInputMessage="1" showErrorMessage="1" errorTitle="Invalid Entry" error="Invalid Entry" sqref="J8:J57" xr:uid="{00000000-0002-0000-0800-000002000000}">
      <formula1>"Face Fit, Recess Fit"</formula1>
    </dataValidation>
    <dataValidation type="list" allowBlank="1" showInputMessage="1" showErrorMessage="1" errorTitle="Invalid Entry" error="Invalid Entry" sqref="K8:K57" xr:uid="{00000000-0002-0000-0800-000003000000}">
      <formula1>"ACT, NAM"</formula1>
    </dataValidation>
    <dataValidation type="list" allowBlank="1" showInputMessage="1" showErrorMessage="1" errorTitle="Invalid Entry" error="Invalid Entry" sqref="I8:I57" xr:uid="{00000000-0002-0000-0800-000004000000}">
      <formula1>"Standard, Side By Side"</formula1>
    </dataValidation>
    <dataValidation type="list" allowBlank="1" showInputMessage="1" showErrorMessage="1" errorTitle="Invalid Entry" error="Invalid Entry" sqref="D8:D57" xr:uid="{00000000-0002-0000-0800-000005000000}">
      <formula1>Transition_Range_Blinds_Product_Type</formula1>
    </dataValidation>
    <dataValidation type="whole" errorStyle="warning" allowBlank="1" showInputMessage="1" showErrorMessage="1" errorTitle="Be Aware" error="Minimum Width is 150mm._x000a__x000a_Maximum Width is 2950mm." sqref="G8:G57" xr:uid="{00000000-0002-0000-0800-000006000000}">
      <formula1>150</formula1>
      <formula2>3000</formula2>
    </dataValidation>
    <dataValidation type="whole" errorStyle="warning" allowBlank="1" showInputMessage="1" showErrorMessage="1" errorTitle="Be Aware" error="Minimum Height/Drop is 300mm._x000a__x000a_For the Multi Shade, Roman Shade &amp; Triple Shade options the maximum Drop is 3000mm. _x000a_" sqref="H8:H57" xr:uid="{00000000-0002-0000-0800-000007000000}">
      <formula1>300</formula1>
      <formula2>3000</formula2>
    </dataValidation>
    <dataValidation type="list" allowBlank="1" showInputMessage="1" showErrorMessage="1" errorTitle="Invalid Entry" error="Invalid Entry" sqref="F8:F57" xr:uid="{00000000-0002-0000-0800-00000C000000}">
      <formula1>INDIRECT(SUBSTITUTE(SUBSTITUTE(SUBSTITUTE(EV8," ","_"),"(",""),")",""))</formula1>
    </dataValidation>
    <dataValidation errorStyle="information" allowBlank="1" sqref="S8:S57" xr:uid="{00000000-0002-0000-0800-00000D000000}"/>
    <dataValidation allowBlank="1" showInputMessage="1" errorTitle="Invalid Enrty" error="Please select from List!" sqref="T8:T57" xr:uid="{00000000-0002-0000-0800-00000E000000}"/>
    <dataValidation allowBlank="1" sqref="U1:V57" xr:uid="{00000000-0002-0000-0800-00000F000000}"/>
    <dataValidation type="list" allowBlank="1" showInputMessage="1" showErrorMessage="1" errorTitle="Invalid Entry" error="Invalid Entry" sqref="Q8:Q57" xr:uid="{00000000-0002-0000-0800-000010000000}">
      <formula1>INDIRECT(SUBSTITUTE(SUBSTITUTE(SUBSTITUTE(DH8," ","_"),"(",""),")",""))</formula1>
    </dataValidation>
    <dataValidation type="list" allowBlank="1" showInputMessage="1" showErrorMessage="1" errorTitle="Invalid Entry" error="Invalid Entry" sqref="E8:E57" xr:uid="{00000000-0002-0000-0800-000011000000}">
      <formula1>INDIRECT(SUBSTITUTE(SUBSTITUTE(SUBSTITUTE(BZ8," ","_"),"(",""),")",""))</formula1>
    </dataValidation>
    <dataValidation type="list" allowBlank="1" showInputMessage="1" showErrorMessage="1" sqref="N8:N57" xr:uid="{81A9F809-37D5-4A59-9620-2CED60CB6F2E}">
      <formula1>"Left, Right, Motorised Remote, Motorised No Remote"</formula1>
    </dataValidation>
    <dataValidation type="list" allowBlank="1" showInputMessage="1" showErrorMessage="1" errorTitle="Invalid Entry" error="Invalid Entry" sqref="O8:P57" xr:uid="{A6E92AC8-9732-45EB-8C43-2D4A2D573E8A}">
      <formula1>INDIRECT(SUBSTITUTE(FL8," ","_"))</formula1>
    </dataValidation>
    <dataValidation type="list" allowBlank="1" showInputMessage="1" showErrorMessage="1" errorTitle="Invalid Entry" error="Invalid Entry" sqref="L8:L57" xr:uid="{8C5BB42C-9193-43B5-8DA9-A88915646CEA}">
      <formula1>INDIRECT(SUBSTITUTE(SUBSTITUTE(SUBSTITUTE(BA8," ","_"),"(",""),")",""))</formula1>
    </dataValidation>
  </dataValidations>
  <printOptions horizontalCentered="1"/>
  <pageMargins left="0.23622047244094491" right="0.23622047244094491" top="0.23622047244094491" bottom="0.23622047244094491" header="0.19685039370078741" footer="0.19685039370078741"/>
  <pageSetup paperSize="9" scale="34"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704</vt:i4>
      </vt:variant>
    </vt:vector>
  </HeadingPairs>
  <TitlesOfParts>
    <vt:vector size="719" baseType="lpstr">
      <vt:lpstr>Stores &amp; Delivery Addresses </vt:lpstr>
      <vt:lpstr>Summary</vt:lpstr>
      <vt:lpstr>25mm Aluminium Blinds</vt:lpstr>
      <vt:lpstr>Roller Blinds</vt:lpstr>
      <vt:lpstr>Vertical Blinds</vt:lpstr>
      <vt:lpstr>50mm &amp; 63mm Venetian Blinds</vt:lpstr>
      <vt:lpstr>Cellular Blinds</vt:lpstr>
      <vt:lpstr>Panel Glide Blinds</vt:lpstr>
      <vt:lpstr>Transition Blinds &amp; Roma Shades</vt:lpstr>
      <vt:lpstr>Shutters</vt:lpstr>
      <vt:lpstr>Data</vt:lpstr>
      <vt:lpstr>Aluminium Venetian Blinds</vt:lpstr>
      <vt:lpstr>External Venetian Blinds</vt:lpstr>
      <vt:lpstr>CMB Corner WS</vt:lpstr>
      <vt:lpstr>CMB Bay WS</vt:lpstr>
      <vt:lpstr>_25mm_Single_Cellular_Blind_Blockout_Standard</vt:lpstr>
      <vt:lpstr>_25mm_Single_Cellular_Blind_Translucent_Paisley</vt:lpstr>
      <vt:lpstr>_25mm_Single_Cellular_Blind_Translucent_Sheer</vt:lpstr>
      <vt:lpstr>_25mm_Single_Cellular_Blind_Translucent_Standard</vt:lpstr>
      <vt:lpstr>_25mm_Single_Cellular_Blind_Translucent_Thatched</vt:lpstr>
      <vt:lpstr>_25mm_Single_Cellular_Blind_Translucent_Woven</vt:lpstr>
      <vt:lpstr>_25mmCBladeColour</vt:lpstr>
      <vt:lpstr>_25mmLBladeColour</vt:lpstr>
      <vt:lpstr>_25mmSBladeColour</vt:lpstr>
      <vt:lpstr>_30mmLBladeColour</vt:lpstr>
      <vt:lpstr>_35mmCBladeColour</vt:lpstr>
      <vt:lpstr>_35mmSBladeColour</vt:lpstr>
      <vt:lpstr>_38mm_Double_Cellular_Blind_Blockout_Standard</vt:lpstr>
      <vt:lpstr>_38mm_Double_Cellular_Blind_Translucent_Standard</vt:lpstr>
      <vt:lpstr>_38mm_Single_Cell_Blockout_Bamboo_Print</vt:lpstr>
      <vt:lpstr>_38mm_Single_Cell_Translucent_Bamboo_Print</vt:lpstr>
      <vt:lpstr>_38mm_Single_Cell_Translucent_Crepe_Woven</vt:lpstr>
      <vt:lpstr>_38mm_Single_Cell_Translucent_Sheer_A</vt:lpstr>
      <vt:lpstr>_38mm_Single_Cell_Translucent_Slub_Woven</vt:lpstr>
      <vt:lpstr>_38mm_Single_Cellular_Blind_Blockout_Standard</vt:lpstr>
      <vt:lpstr>_38mm_Single_Cellular_Blind_Day_Night_Blockout_Colours</vt:lpstr>
      <vt:lpstr>_38mm_Single_Cellular_Blind_Translucent_Crush</vt:lpstr>
      <vt:lpstr>_38mm_Single_Cellular_Blind_Translucent_Linen</vt:lpstr>
      <vt:lpstr>_38mm_Single_Cellular_Blind_Translucent_Paisley</vt:lpstr>
      <vt:lpstr>_38mm_Single_Cellular_Blind_Translucent_Sheer</vt:lpstr>
      <vt:lpstr>_38mm_Single_Cellular_Blind_Translucent_Standard</vt:lpstr>
      <vt:lpstr>_38mm_Single_Cellular_Blind_Translucent_Thatched</vt:lpstr>
      <vt:lpstr>_38mm_Single_Cellular_Blind_Translucent_Woven</vt:lpstr>
      <vt:lpstr>_45mm_Cell_In_A_Cell_Cellular_Blind_Day_Night_Blockout_Colours</vt:lpstr>
      <vt:lpstr>_45mm_Single_Cell_Blockout_Lux_Linen</vt:lpstr>
      <vt:lpstr>_45mm_Single_Cell_Blockout_Marble</vt:lpstr>
      <vt:lpstr>_45mm_Single_Cell_Blockout_Sala</vt:lpstr>
      <vt:lpstr>_45mm_Single_Cell_Blockout_Standard</vt:lpstr>
      <vt:lpstr>_45mm_Single_Cell_Blockout_Woodgrain</vt:lpstr>
      <vt:lpstr>_45mm_Single_Cell_Blockout_Woodgrain_Linen</vt:lpstr>
      <vt:lpstr>_45mm_Single_Cell_Cell_In_A_Cell_Blockout</vt:lpstr>
      <vt:lpstr>_45mm_Single_Cell_Cell_In_A_Cell_Blockout_Bamboo</vt:lpstr>
      <vt:lpstr>_45mm_Single_Cell_Cell_In_A_Cell_Translucent_Bamboo</vt:lpstr>
      <vt:lpstr>_45mm_Single_Cell_Translucent_Cell_In_A_Cell</vt:lpstr>
      <vt:lpstr>_45mm_Single_Cell_Translucent_Crepe_Woven</vt:lpstr>
      <vt:lpstr>_45mm_Single_Cell_Translucent_Lux_Linen</vt:lpstr>
      <vt:lpstr>_45mm_Single_Cell_Translucent_Marble</vt:lpstr>
      <vt:lpstr>_45mm_Single_Cell_Translucent_Sala</vt:lpstr>
      <vt:lpstr>_45mm_Single_Cell_Translucent_Sheer</vt:lpstr>
      <vt:lpstr>_45mm_Single_Cell_Translucent_Standard</vt:lpstr>
      <vt:lpstr>_45mm_Single_Cell_Translucent_Woodgrain</vt:lpstr>
      <vt:lpstr>_45mm_Single_Cell_Translucent_Woodgrain_Linen</vt:lpstr>
      <vt:lpstr>_45mm_Single_Cellular_Blind_Day_Night_Blockout_Colours</vt:lpstr>
      <vt:lpstr>_50mmCBladeColour</vt:lpstr>
      <vt:lpstr>_50mmLBladeColour</vt:lpstr>
      <vt:lpstr>ACTNAM</vt:lpstr>
      <vt:lpstr>Additional_Fascia_100mm_x_9.5mm_Material</vt:lpstr>
      <vt:lpstr>Additional_Fascia_140mm_x_9.5mm_Material</vt:lpstr>
      <vt:lpstr>Additional_Fascia_60mm_x_9.5mm_Material</vt:lpstr>
      <vt:lpstr>Additional_Headboard_100mm_x_19mm_Material</vt:lpstr>
      <vt:lpstr>Additional_Headboard_140mm_x_19mm_Material</vt:lpstr>
      <vt:lpstr>Additional_Headboard_180mm_x_19mm_Material</vt:lpstr>
      <vt:lpstr>Additional_Headboard_220mm_x_19mm_Material</vt:lpstr>
      <vt:lpstr>AlumColours</vt:lpstr>
      <vt:lpstr>Amalfi</vt:lpstr>
      <vt:lpstr>AntiqueWhiteF140</vt:lpstr>
      <vt:lpstr>AntiqueWhiteW140</vt:lpstr>
      <vt:lpstr>B1_Colour</vt:lpstr>
      <vt:lpstr>B10_Colour</vt:lpstr>
      <vt:lpstr>B5_Colour</vt:lpstr>
      <vt:lpstr>Bi_Fold_Bottom_Fixed_Pivot_Bracket_Pin</vt:lpstr>
      <vt:lpstr>Bi_Fold_Frame_60mm_x_9.5mm_Material</vt:lpstr>
      <vt:lpstr>BK10_Colour</vt:lpstr>
      <vt:lpstr>BK20_Colour</vt:lpstr>
      <vt:lpstr>BK50_Colour</vt:lpstr>
      <vt:lpstr>BL1_Colour</vt:lpstr>
      <vt:lpstr>BL11_Colour</vt:lpstr>
      <vt:lpstr>BL2_Colour</vt:lpstr>
      <vt:lpstr>BL20_Colour</vt:lpstr>
      <vt:lpstr>BL2PRD_Colour</vt:lpstr>
      <vt:lpstr>BL30_Colour</vt:lpstr>
      <vt:lpstr>BL46_Colour</vt:lpstr>
      <vt:lpstr>BL48_Colour</vt:lpstr>
      <vt:lpstr>BL50_Colour</vt:lpstr>
      <vt:lpstr>BL52_Colour</vt:lpstr>
      <vt:lpstr>BL58_Colour</vt:lpstr>
      <vt:lpstr>BL9_Colour</vt:lpstr>
      <vt:lpstr>BlackWalnutW920</vt:lpstr>
      <vt:lpstr>Blade_Type</vt:lpstr>
      <vt:lpstr>BlindType</vt:lpstr>
      <vt:lpstr>Bottom_Pivot_Pin_For_Bi_Fold_Sliding_Panel</vt:lpstr>
      <vt:lpstr>Bottom_Rail_Colour</vt:lpstr>
      <vt:lpstr>BottomFrameBullnoseZFrame</vt:lpstr>
      <vt:lpstr>BottomFrameHangingStrip</vt:lpstr>
      <vt:lpstr>BottomFrameLargeBullnoseZFrame</vt:lpstr>
      <vt:lpstr>BottomFrameLargeFFLFrame</vt:lpstr>
      <vt:lpstr>BottomFrameLargeLFrame</vt:lpstr>
      <vt:lpstr>BottomFrameLargeZFrame</vt:lpstr>
      <vt:lpstr>BottomFrameMediumFFLFrame</vt:lpstr>
      <vt:lpstr>BottomFrameMediumLFrame</vt:lpstr>
      <vt:lpstr>BottomFrameNA</vt:lpstr>
      <vt:lpstr>BottomFrameNoFrame</vt:lpstr>
      <vt:lpstr>BottomFrameSliding</vt:lpstr>
      <vt:lpstr>BottomFrameSmallFFLFrame</vt:lpstr>
      <vt:lpstr>BottomFrameSmallLFrame</vt:lpstr>
      <vt:lpstr>BottomFrameStandardZFrame</vt:lpstr>
      <vt:lpstr>BottomFrameTrack</vt:lpstr>
      <vt:lpstr>BottomFrameTrackBiFold</vt:lpstr>
      <vt:lpstr>BottomFrameUChannel</vt:lpstr>
      <vt:lpstr>Bracket_Type</vt:lpstr>
      <vt:lpstr>Bullnose_Z_Frame_Material</vt:lpstr>
      <vt:lpstr>Bumper_Stop</vt:lpstr>
      <vt:lpstr>ButtThru</vt:lpstr>
      <vt:lpstr>Carrier_Bracket_For_Bi_Fold_Sliding_Panel</vt:lpstr>
      <vt:lpstr>CAT_GROUP_35_2234</vt:lpstr>
      <vt:lpstr>CAT_GROUP_35_2236</vt:lpstr>
      <vt:lpstr>CAT_GROUP_35_2237</vt:lpstr>
      <vt:lpstr>CAT_GROUP_35_2238</vt:lpstr>
      <vt:lpstr>CAT_GROUP_35_2295</vt:lpstr>
      <vt:lpstr>CAT_GROUP_35_2297</vt:lpstr>
      <vt:lpstr>CAT_GROUP_35_2317</vt:lpstr>
      <vt:lpstr>CAT_GROUP_36_2277</vt:lpstr>
      <vt:lpstr>CAT_GROUP_36_2278</vt:lpstr>
      <vt:lpstr>CAT_GROUP_36_2280</vt:lpstr>
      <vt:lpstr>CAT_GROUP_36_2281</vt:lpstr>
      <vt:lpstr>CAT_GROUP_36_2294</vt:lpstr>
      <vt:lpstr>CAT_GROUP_36_2299</vt:lpstr>
      <vt:lpstr>CAT_GROUP_36_2313</vt:lpstr>
      <vt:lpstr>CAT_GROUP_36_2315</vt:lpstr>
      <vt:lpstr>CAT_GROUP_37_2290</vt:lpstr>
      <vt:lpstr>CAT_GROUP_37_2291</vt:lpstr>
      <vt:lpstr>CAT_GROUP_37_2292</vt:lpstr>
      <vt:lpstr>CAT_GROUP_37_2293</vt:lpstr>
      <vt:lpstr>CAT_GROUP_37_2296</vt:lpstr>
      <vt:lpstr>CAT_GROUP_37_2298</vt:lpstr>
      <vt:lpstr>CAT_GROUP_37_2312</vt:lpstr>
      <vt:lpstr>CAT_GROUP_37_2316</vt:lpstr>
      <vt:lpstr>CAT_GROUP_38_2300</vt:lpstr>
      <vt:lpstr>CAT_GROUP_38_2301</vt:lpstr>
      <vt:lpstr>CAT_GROUP_38_2302</vt:lpstr>
      <vt:lpstr>CAT_GROUP_38_2303</vt:lpstr>
      <vt:lpstr>CAT_GROUP_38_2304</vt:lpstr>
      <vt:lpstr>CAT_GROUP_38_2305</vt:lpstr>
      <vt:lpstr>CAT_GROUP_38_2311</vt:lpstr>
      <vt:lpstr>CAT_GROUP_38_2314</vt:lpstr>
      <vt:lpstr>CAT_STYLE_35_1000</vt:lpstr>
      <vt:lpstr>CAT_STYLE_36_8000</vt:lpstr>
      <vt:lpstr>CAT_STYLE_37_8100</vt:lpstr>
      <vt:lpstr>CAT_STYLE_38_8000</vt:lpstr>
      <vt:lpstr>CategoryList</vt:lpstr>
      <vt:lpstr>CategoryList_LK</vt:lpstr>
      <vt:lpstr>CCRColours</vt:lpstr>
      <vt:lpstr>CCRProfileGuideOption</vt:lpstr>
      <vt:lpstr>CedarImageMediumW868</vt:lpstr>
      <vt:lpstr>Cellular_Colour_2_25mm_Single_Cellular_Blind</vt:lpstr>
      <vt:lpstr>Cellular_Colour_2_38mm_Double_Cellular_Blind</vt:lpstr>
      <vt:lpstr>Cellular_Colour_2_38mm_Single_Cellular_Blind</vt:lpstr>
      <vt:lpstr>Cellular_Colour_2_45mm_Cell_In_A_Cell_Cellular_Blind</vt:lpstr>
      <vt:lpstr>Cellular_Colour_2_45mm_Single_Cellular_Blind</vt:lpstr>
      <vt:lpstr>Cellular_Colour_2_NA</vt:lpstr>
      <vt:lpstr>CellularBlindProduct</vt:lpstr>
      <vt:lpstr>CellularControl</vt:lpstr>
      <vt:lpstr>CellularControlLength</vt:lpstr>
      <vt:lpstr>CellularMotorOptions</vt:lpstr>
      <vt:lpstr>CellularOperation</vt:lpstr>
      <vt:lpstr>Chain_Colour</vt:lpstr>
      <vt:lpstr>Chain_Cord_Length</vt:lpstr>
      <vt:lpstr>ChainMotor</vt:lpstr>
      <vt:lpstr>ChannelNo</vt:lpstr>
      <vt:lpstr>ChannelYes</vt:lpstr>
      <vt:lpstr>Clutch_Day_Night</vt:lpstr>
      <vt:lpstr>Clutch_Day_Night_25mm_Single</vt:lpstr>
      <vt:lpstr>Clutch_Day_Night_38mm_Double</vt:lpstr>
      <vt:lpstr>Clutch_Day_Night_38mm_Single</vt:lpstr>
      <vt:lpstr>Clutch_Day_Night_45mm_Single</vt:lpstr>
      <vt:lpstr>Clutch_Day_Night_45mm_Single_Cell_In_A_Cell</vt:lpstr>
      <vt:lpstr>Clutch_Day_Night_Control</vt:lpstr>
      <vt:lpstr>Clutch_Standard</vt:lpstr>
      <vt:lpstr>Clutch_Standard_25mm_Single</vt:lpstr>
      <vt:lpstr>Clutch_Standard_38mm_Double</vt:lpstr>
      <vt:lpstr>Clutch_Standard_38mm_Single</vt:lpstr>
      <vt:lpstr>Clutch_Standard_45mm_Single</vt:lpstr>
      <vt:lpstr>Clutch_Standard_45mm_Single_Cell_In_A_Cell</vt:lpstr>
      <vt:lpstr>Clutch_Standard_Control</vt:lpstr>
      <vt:lpstr>Clutch_Top_Down__Bottom_Up</vt:lpstr>
      <vt:lpstr>Clutch_Top_Down_Bottom_Up_25mm_Single</vt:lpstr>
      <vt:lpstr>Clutch_Top_Down_Bottom_Up_38mm_Double</vt:lpstr>
      <vt:lpstr>Clutch_Top_Down_Bottom_Up_38mm_Single</vt:lpstr>
      <vt:lpstr>Clutch_Top_Down_Bottom_Up_45mm_Single</vt:lpstr>
      <vt:lpstr>Clutch_Top_Down_Bottom_Up_45mm_Single_Cell_In_A_Cell</vt:lpstr>
      <vt:lpstr>Clutch_Top_Down_Bottom_Up_Control</vt:lpstr>
      <vt:lpstr>CMBEmail</vt:lpstr>
      <vt:lpstr>CMBPhone</vt:lpstr>
      <vt:lpstr>CMBPhone2</vt:lpstr>
      <vt:lpstr>CoffeeW890</vt:lpstr>
      <vt:lpstr>Colour2_25mm_Single_Cellular_Blind_Translucent_Paisley</vt:lpstr>
      <vt:lpstr>Colour2_25mm_Single_Cellular_Blind_Translucent_Sheer</vt:lpstr>
      <vt:lpstr>Colour2_25mm_Single_Cellular_Blind_Translucent_Standard</vt:lpstr>
      <vt:lpstr>Colour2_25mm_Single_Cellular_Blind_Translucent_Thatched</vt:lpstr>
      <vt:lpstr>Colour2_25mm_Single_Cellular_Blind_Translucent_Woven</vt:lpstr>
      <vt:lpstr>Colour2_38mm_Double_Cellular_Blind_Translucent_Standard</vt:lpstr>
      <vt:lpstr>Colour2_38mm_Single_Cellular_Blind_Translucent_Crush</vt:lpstr>
      <vt:lpstr>Colour2_38mm_Single_Cellular_Blind_Translucent_Linen</vt:lpstr>
      <vt:lpstr>Colour2_38mm_Single_Cellular_Blind_Translucent_Paisley</vt:lpstr>
      <vt:lpstr>Colour2_38mm_Single_Cellular_Blind_Translucent_Sheer</vt:lpstr>
      <vt:lpstr>Colour2_38mm_Single_Cellular_Blind_Translucent_Standard</vt:lpstr>
      <vt:lpstr>Colour2_38mm_Single_Cellular_Blind_Translucent_Thatched</vt:lpstr>
      <vt:lpstr>Colour2_38mm_Single_Cellular_Blind_Translucent_Woven</vt:lpstr>
      <vt:lpstr>ColourNA</vt:lpstr>
      <vt:lpstr>Como_Blockout</vt:lpstr>
      <vt:lpstr>Como_Translucent</vt:lpstr>
      <vt:lpstr>Control</vt:lpstr>
      <vt:lpstr>Control_Clutch_Day_Night</vt:lpstr>
      <vt:lpstr>Control_Clutch_Standard</vt:lpstr>
      <vt:lpstr>Control_Clutch_Top_Down__Bottom_Up</vt:lpstr>
      <vt:lpstr>Control_Corded_Day_Night</vt:lpstr>
      <vt:lpstr>Control_Corded_Standard</vt:lpstr>
      <vt:lpstr>Control_Corded_Top_Down__Bottom_Up</vt:lpstr>
      <vt:lpstr>Control_Cordless_Day_Night</vt:lpstr>
      <vt:lpstr>Control_Cordless_Standard</vt:lpstr>
      <vt:lpstr>Control_Cordless_Top_Down__Bottom_Up</vt:lpstr>
      <vt:lpstr>Control_Motorised</vt:lpstr>
      <vt:lpstr>Control_Motorised_DNTDBU</vt:lpstr>
      <vt:lpstr>Control_Motorised_Hardwired</vt:lpstr>
      <vt:lpstr>Control_Motorised_With_USB</vt:lpstr>
      <vt:lpstr>Control_Skylight_Cordless</vt:lpstr>
      <vt:lpstr>Control_Skylight_Motorised_Remote</vt:lpstr>
      <vt:lpstr>Control25mm</vt:lpstr>
      <vt:lpstr>Control30mm</vt:lpstr>
      <vt:lpstr>Control35mm</vt:lpstr>
      <vt:lpstr>Control50mm</vt:lpstr>
      <vt:lpstr>ControlOption</vt:lpstr>
      <vt:lpstr>Cord_Colour</vt:lpstr>
      <vt:lpstr>Corded_Day_Night</vt:lpstr>
      <vt:lpstr>Corded_Day_Night_25mm_Single</vt:lpstr>
      <vt:lpstr>Corded_Day_Night_38mm_Double</vt:lpstr>
      <vt:lpstr>Corded_Day_Night_38mm_Single</vt:lpstr>
      <vt:lpstr>Corded_Day_Night_45mm_Single</vt:lpstr>
      <vt:lpstr>Corded_Day_Night_45mm_Single_Cell_In_A_Cell</vt:lpstr>
      <vt:lpstr>Corded_Day_Night_Control</vt:lpstr>
      <vt:lpstr>Corded_Standard</vt:lpstr>
      <vt:lpstr>Corded_Standard_25mm_Single</vt:lpstr>
      <vt:lpstr>Corded_Standard_38mm_Double</vt:lpstr>
      <vt:lpstr>Corded_Standard_38mm_Single</vt:lpstr>
      <vt:lpstr>Corded_Standard_45mm_Single</vt:lpstr>
      <vt:lpstr>Corded_Standard_45mm_Single_Cell_In_A_Cell</vt:lpstr>
      <vt:lpstr>Corded_Standard_Control</vt:lpstr>
      <vt:lpstr>Corded_Top_Down__Bottom_Up</vt:lpstr>
      <vt:lpstr>Corded_Top_Down_Bottom_Up_25mm_Single</vt:lpstr>
      <vt:lpstr>Corded_Top_Down_Bottom_Up_38mm_Double</vt:lpstr>
      <vt:lpstr>Corded_Top_Down_Bottom_Up_38mm_Single</vt:lpstr>
      <vt:lpstr>Corded_Top_Down_Bottom_Up_45mm_Single</vt:lpstr>
      <vt:lpstr>Corded_Top_Down_Bottom_Up_45mm_Single_Cell_In_A_Cell</vt:lpstr>
      <vt:lpstr>Corded_Top_Down_Bottom_Up_Control</vt:lpstr>
      <vt:lpstr>Cordless_Day_Night</vt:lpstr>
      <vt:lpstr>Cordless_Day_Night_25mm_Single</vt:lpstr>
      <vt:lpstr>Cordless_Day_Night_38mm_Double</vt:lpstr>
      <vt:lpstr>Cordless_Day_Night_38mm_Single</vt:lpstr>
      <vt:lpstr>Cordless_Day_Night_45mm_Single</vt:lpstr>
      <vt:lpstr>Cordless_Day_Night_45mm_Single_Cell_In_A_Cell</vt:lpstr>
      <vt:lpstr>Cordless_Day_Night_Control</vt:lpstr>
      <vt:lpstr>Cordless_Standard</vt:lpstr>
      <vt:lpstr>Cordless_Standard_25mm_Single</vt:lpstr>
      <vt:lpstr>Cordless_Standard_38mm_Double</vt:lpstr>
      <vt:lpstr>Cordless_Standard_38mm_Single</vt:lpstr>
      <vt:lpstr>Cordless_Standard_45mm_Single</vt:lpstr>
      <vt:lpstr>Cordless_Standard_45mm_Single_Cell_In_A_Cell</vt:lpstr>
      <vt:lpstr>Cordless_Standard_Control</vt:lpstr>
      <vt:lpstr>Cordless_Top_Down__Bottom_Up</vt:lpstr>
      <vt:lpstr>Cordless_Top_Down_Bottom_Up_25mm_Single</vt:lpstr>
      <vt:lpstr>Cordless_Top_Down_Bottom_Up_38mm_Double</vt:lpstr>
      <vt:lpstr>Cordless_Top_Down_Bottom_Up_38mm_Single</vt:lpstr>
      <vt:lpstr>Cordless_Top_Down_Bottom_Up_45mm_Single</vt:lpstr>
      <vt:lpstr>Cordless_Top_Down_Bottom_Up_45mm_Single_Cell_In_A_Cell</vt:lpstr>
      <vt:lpstr>Cordless_Top_Down_Bottom_Up_Control</vt:lpstr>
      <vt:lpstr>Cordless_Wand_Operated</vt:lpstr>
      <vt:lpstr>Cordless_Wand_Operated_Control</vt:lpstr>
      <vt:lpstr>'Aluminium Venetian Blinds'!CordlockNoCordless</vt:lpstr>
      <vt:lpstr>'External Venetian Blinds'!CordlockNoCordless</vt:lpstr>
      <vt:lpstr>CordlockNoCordless</vt:lpstr>
      <vt:lpstr>'Aluminium Venetian Blinds'!CordlockYesCordless</vt:lpstr>
      <vt:lpstr>'External Venetian Blinds'!CordlockYesCordless</vt:lpstr>
      <vt:lpstr>CordlockYesCordless</vt:lpstr>
      <vt:lpstr>Cover_Strip_To_Fit_Face_Fit_Frame_12.5mm_x_5mm</vt:lpstr>
      <vt:lpstr>Cover_Strip_To_Fit_Face_Fit_Frame_17mm_x_5mm</vt:lpstr>
      <vt:lpstr>Cprofile</vt:lpstr>
      <vt:lpstr>DarkCherryW894</vt:lpstr>
      <vt:lpstr>DarkChestnutPT067</vt:lpstr>
      <vt:lpstr>Delivery_Address</vt:lpstr>
      <vt:lpstr>Divider_Rail_Mid_Rail_Centre_Rail_79.5mm_x_21mm</vt:lpstr>
      <vt:lpstr>Divider_RailMid_Rail_Centre_Rail_79.5mm_x_21mm_Reinforced_Profile</vt:lpstr>
      <vt:lpstr>Double_Hinged_BFT</vt:lpstr>
      <vt:lpstr>Double_Hinged_Frame_Type</vt:lpstr>
      <vt:lpstr>Double_Hinged_TF</vt:lpstr>
      <vt:lpstr>Double38mmTube</vt:lpstr>
      <vt:lpstr>Double45mmTube</vt:lpstr>
      <vt:lpstr>DoubleHingedLayoutCodes</vt:lpstr>
      <vt:lpstr>DoubleLink38mmTube</vt:lpstr>
      <vt:lpstr>DoubleLink45mmTube</vt:lpstr>
      <vt:lpstr>DS1_Colour</vt:lpstr>
      <vt:lpstr>DS6_Colour</vt:lpstr>
      <vt:lpstr>E1_Colour</vt:lpstr>
      <vt:lpstr>EggshellW405</vt:lpstr>
      <vt:lpstr>EVBPelmet</vt:lpstr>
      <vt:lpstr>Extras</vt:lpstr>
      <vt:lpstr>Fabric_127mm</vt:lpstr>
      <vt:lpstr>Fabric_89mm</vt:lpstr>
      <vt:lpstr>Fabric_Insert_NA</vt:lpstr>
      <vt:lpstr>Fabric_Insert_Option</vt:lpstr>
      <vt:lpstr>Fabric127mm</vt:lpstr>
      <vt:lpstr>Fabric89mm</vt:lpstr>
      <vt:lpstr>FabricSlatWidth</vt:lpstr>
      <vt:lpstr>FACE</vt:lpstr>
      <vt:lpstr>FaceRecess</vt:lpstr>
      <vt:lpstr>Fauxwood_Blade</vt:lpstr>
      <vt:lpstr>Fauxwood_Blockout_Blade</vt:lpstr>
      <vt:lpstr>Fauxwood_Eco</vt:lpstr>
      <vt:lpstr>Fauxwood_Eco_Air</vt:lpstr>
      <vt:lpstr>Fauxwood_Eco_Elite</vt:lpstr>
      <vt:lpstr>Fauxwood_Night</vt:lpstr>
      <vt:lpstr>FauxwoodAI</vt:lpstr>
      <vt:lpstr>FauxwoodAINo</vt:lpstr>
      <vt:lpstr>FauxwoodBlockoutN</vt:lpstr>
      <vt:lpstr>FauxwoodBlockoutT</vt:lpstr>
      <vt:lpstr>FauxwoodExtraOptionsStd</vt:lpstr>
      <vt:lpstr>FauxwoodExtrasOptions</vt:lpstr>
      <vt:lpstr>FauxwoodLiteTiltrod</vt:lpstr>
      <vt:lpstr>FauxwoodRP</vt:lpstr>
      <vt:lpstr>FauxwoodRPNo</vt:lpstr>
      <vt:lpstr>FauxwoodT</vt:lpstr>
      <vt:lpstr>FauxwoodY</vt:lpstr>
      <vt:lpstr>FBOAntiqueWhiteF140</vt:lpstr>
      <vt:lpstr>FBOOffWhiteF286</vt:lpstr>
      <vt:lpstr>FBOWhiteF186</vt:lpstr>
      <vt:lpstr>FittingBoth</vt:lpstr>
      <vt:lpstr>FittingRecess</vt:lpstr>
      <vt:lpstr>Fixed_BFT</vt:lpstr>
      <vt:lpstr>Fixed_Frame_Type</vt:lpstr>
      <vt:lpstr>Fixed_TF</vt:lpstr>
      <vt:lpstr>FixedLayoutCodes</vt:lpstr>
      <vt:lpstr>Flat_Hinge</vt:lpstr>
      <vt:lpstr>Floor_Guide</vt:lpstr>
      <vt:lpstr>Florence</vt:lpstr>
      <vt:lpstr>Fluffy_Strip_Fauxwood_Eco</vt:lpstr>
      <vt:lpstr>Fluffy_Strip_Fauxwood_Lite</vt:lpstr>
      <vt:lpstr>Fluffy_Strip_Fauxwood_Night</vt:lpstr>
      <vt:lpstr>Fluffy_Strip_Timber_Eco</vt:lpstr>
      <vt:lpstr>FR_S6_Colour</vt:lpstr>
      <vt:lpstr>FrameType</vt:lpstr>
      <vt:lpstr>GRS1_Colour</vt:lpstr>
      <vt:lpstr>Hanging_Strip_35mm_x_28.6mm_Material</vt:lpstr>
      <vt:lpstr>Hardware</vt:lpstr>
      <vt:lpstr>Head_Box_Colour</vt:lpstr>
      <vt:lpstr>HelperSpringControlNo</vt:lpstr>
      <vt:lpstr>HelperSpringControlYes</vt:lpstr>
      <vt:lpstr>Herman_Joints</vt:lpstr>
      <vt:lpstr>Hidden_Tiltrod_114mm</vt:lpstr>
      <vt:lpstr>Hidden_Tiltrod_63mm</vt:lpstr>
      <vt:lpstr>Hidden_Tiltrod_89mm</vt:lpstr>
      <vt:lpstr>Hinge</vt:lpstr>
      <vt:lpstr>Hinge_Packer</vt:lpstr>
      <vt:lpstr>Hinge_Pin</vt:lpstr>
      <vt:lpstr>Hinged_BFT</vt:lpstr>
      <vt:lpstr>Hinged_Frame_Type</vt:lpstr>
      <vt:lpstr>Hinged_TF</vt:lpstr>
      <vt:lpstr>HingedLayoutCodes</vt:lpstr>
      <vt:lpstr>HingeNA</vt:lpstr>
      <vt:lpstr>HoldDown</vt:lpstr>
      <vt:lpstr>Illusion_Alabaster_V484</vt:lpstr>
      <vt:lpstr>IVBAluminiumProduct</vt:lpstr>
      <vt:lpstr>IVBCordlockNA</vt:lpstr>
      <vt:lpstr>IVBCordlockSide</vt:lpstr>
      <vt:lpstr>IVBTiltNo</vt:lpstr>
      <vt:lpstr>IVBTiltYes</vt:lpstr>
      <vt:lpstr>Jacquard_Crush_Jacquard_Weave_Bottom_Rail_Colour</vt:lpstr>
      <vt:lpstr>JasperW498</vt:lpstr>
      <vt:lpstr>L_Drop_Hinge</vt:lpstr>
      <vt:lpstr>Large_Bullnose_Z_Frame_Material</vt:lpstr>
      <vt:lpstr>Large_Face_Fit_L_Frame_Material</vt:lpstr>
      <vt:lpstr>Large_Tube</vt:lpstr>
      <vt:lpstr>Large_Z_Frame_Material</vt:lpstr>
      <vt:lpstr>LayoutCodes</vt:lpstr>
      <vt:lpstr>LHRHCorner</vt:lpstr>
      <vt:lpstr>Light_Stop_19mm_x_19mm_Material</vt:lpstr>
      <vt:lpstr>Light_Stop_19mm_x_30mm_Material</vt:lpstr>
      <vt:lpstr>Light_Stop_19mm_x_9.5mm_Material</vt:lpstr>
      <vt:lpstr>Light_Stop_20mm_x_5mm_Material</vt:lpstr>
      <vt:lpstr>Light_Stop_31.8mm_x_9.5mm_Material</vt:lpstr>
      <vt:lpstr>Light_Stop_40mm_x_30mm_Material</vt:lpstr>
      <vt:lpstr>Light_Stop_50mm_x_30mm_Material</vt:lpstr>
      <vt:lpstr>Link</vt:lpstr>
      <vt:lpstr>LiteAntiqueWhiteF140</vt:lpstr>
      <vt:lpstr>LiteOffWhiteF286</vt:lpstr>
      <vt:lpstr>LitePureWhiteF190</vt:lpstr>
      <vt:lpstr>LiteWhiteF186</vt:lpstr>
      <vt:lpstr>London</vt:lpstr>
      <vt:lpstr>LRF100mm</vt:lpstr>
      <vt:lpstr>LRF140mm</vt:lpstr>
      <vt:lpstr>LRF180mm</vt:lpstr>
      <vt:lpstr>LRF220mm</vt:lpstr>
      <vt:lpstr>LRFBullnoseZFrame</vt:lpstr>
      <vt:lpstr>LRFHangingStrip</vt:lpstr>
      <vt:lpstr>LRFLargeBullnoseZFrame</vt:lpstr>
      <vt:lpstr>LRFLargeFFLFrame</vt:lpstr>
      <vt:lpstr>LRFLargeLFrame</vt:lpstr>
      <vt:lpstr>LRFLargeZFrame</vt:lpstr>
      <vt:lpstr>LRFMediumFFLFrame</vt:lpstr>
      <vt:lpstr>LRFMediumLFrame</vt:lpstr>
      <vt:lpstr>LRFNA</vt:lpstr>
      <vt:lpstr>LRFNoFrame</vt:lpstr>
      <vt:lpstr>LRFSmallFFLFrame</vt:lpstr>
      <vt:lpstr>LRFSmallLFrame</vt:lpstr>
      <vt:lpstr>LRFStandardZFrame</vt:lpstr>
      <vt:lpstr>LRFUChannel</vt:lpstr>
      <vt:lpstr>LuminosityAndFabric</vt:lpstr>
      <vt:lpstr>LV1_Colour</vt:lpstr>
      <vt:lpstr>LV2_Colour</vt:lpstr>
      <vt:lpstr>Magnet_Catch</vt:lpstr>
      <vt:lpstr>MahoganyW306</vt:lpstr>
      <vt:lpstr>MapleW893</vt:lpstr>
      <vt:lpstr>Maui</vt:lpstr>
      <vt:lpstr>Medium_Face_Fit_L_Frame_Material</vt:lpstr>
      <vt:lpstr>Medium_L_Frame_Material</vt:lpstr>
      <vt:lpstr>Metal_Return_Clip_For_Fascia</vt:lpstr>
      <vt:lpstr>Milan</vt:lpstr>
      <vt:lpstr>MochaW811</vt:lpstr>
      <vt:lpstr>Monti_Colour</vt:lpstr>
      <vt:lpstr>Motor_Left</vt:lpstr>
      <vt:lpstr>Motor_Position</vt:lpstr>
      <vt:lpstr>Motor_Right</vt:lpstr>
      <vt:lpstr>Motor_Side_No</vt:lpstr>
      <vt:lpstr>Motor_Side_Yes</vt:lpstr>
      <vt:lpstr>Motorised_Battery</vt:lpstr>
      <vt:lpstr>Motorised_Battery_25mm_Single</vt:lpstr>
      <vt:lpstr>Motorised_Battery_38mm_Double</vt:lpstr>
      <vt:lpstr>Motorised_Battery_38mm_Single</vt:lpstr>
      <vt:lpstr>Motorised_Battery_45mm_Single</vt:lpstr>
      <vt:lpstr>Motorised_Battery_Control</vt:lpstr>
      <vt:lpstr>Motorised_Day_Night_25mm_Single</vt:lpstr>
      <vt:lpstr>Motorised_Day_Night_38mm_Double</vt:lpstr>
      <vt:lpstr>Motorised_Day_Night_38mm_Single</vt:lpstr>
      <vt:lpstr>Motorised_Day_Night_45mm_Single</vt:lpstr>
      <vt:lpstr>Motorised_Day_Night_45mm_Single_Cell_In_A_Cell</vt:lpstr>
      <vt:lpstr>Motorised_Hardwired</vt:lpstr>
      <vt:lpstr>Motorised_Hardwired_25mm_Single</vt:lpstr>
      <vt:lpstr>Motorised_Hardwired_38mm_Double</vt:lpstr>
      <vt:lpstr>Motorised_Hardwired_38mm_Single</vt:lpstr>
      <vt:lpstr>Motorised_Hardwired_45mm_Single</vt:lpstr>
      <vt:lpstr>Motorised_Hardwired_Control</vt:lpstr>
      <vt:lpstr>Motorised_Standard_25mm_Single</vt:lpstr>
      <vt:lpstr>Motorised_Standard_38mm_Double</vt:lpstr>
      <vt:lpstr>Motorised_Standard_38mm_Single</vt:lpstr>
      <vt:lpstr>Motorised_Standard_45mm_Single</vt:lpstr>
      <vt:lpstr>Motorised_Standard_45mm_Single_Cell_In_A_Cell</vt:lpstr>
      <vt:lpstr>Motorised_Top_Down_Bottom_Up_25mm_Single</vt:lpstr>
      <vt:lpstr>Motorised_Top_Down_Bottom_Up_38mm_Double</vt:lpstr>
      <vt:lpstr>Motorised_Top_Down_Bottom_Up_38mm_Single</vt:lpstr>
      <vt:lpstr>Motorised_Top_Down_Bottom_Up_45mm_Single</vt:lpstr>
      <vt:lpstr>Motorised_Top_Down_Bottom_Up_45mm_Single_Cell_In_A_Cell</vt:lpstr>
      <vt:lpstr>MotorNo</vt:lpstr>
      <vt:lpstr>MotorYes</vt:lpstr>
      <vt:lpstr>Mounting</vt:lpstr>
      <vt:lpstr>Mounting_Block_18mm_x_18mm_Material</vt:lpstr>
      <vt:lpstr>Mounting_Block_30mm_x_30mm_Material</vt:lpstr>
      <vt:lpstr>MountingMethod</vt:lpstr>
      <vt:lpstr>MountingMethodIN</vt:lpstr>
      <vt:lpstr>MountingMethodMS</vt:lpstr>
      <vt:lpstr>MountingMethodOUT</vt:lpstr>
      <vt:lpstr>MSNALayoutCodes</vt:lpstr>
      <vt:lpstr>Multi_Shade</vt:lpstr>
      <vt:lpstr>Multi_Shade_Finish</vt:lpstr>
      <vt:lpstr>NA_BFT</vt:lpstr>
      <vt:lpstr>NA_TF</vt:lpstr>
      <vt:lpstr>NAFrameType</vt:lpstr>
      <vt:lpstr>Naples</vt:lpstr>
      <vt:lpstr>No</vt:lpstr>
      <vt:lpstr>OffWhiteF286</vt:lpstr>
      <vt:lpstr>OPTIONGROUP35</vt:lpstr>
      <vt:lpstr>OPTIONGROUP35_LK</vt:lpstr>
      <vt:lpstr>OPTIONGROUP36</vt:lpstr>
      <vt:lpstr>OPTIONGROUP36_LK</vt:lpstr>
      <vt:lpstr>OPTIONGROUP37</vt:lpstr>
      <vt:lpstr>OPTIONGROUP37_LK</vt:lpstr>
      <vt:lpstr>OPTIONGROUP38</vt:lpstr>
      <vt:lpstr>OPTIONGROUP38_LK</vt:lpstr>
      <vt:lpstr>ORDERVAR35</vt:lpstr>
      <vt:lpstr>ORDERVAR36</vt:lpstr>
      <vt:lpstr>ORDERVAR37</vt:lpstr>
      <vt:lpstr>ORDERVAR38</vt:lpstr>
      <vt:lpstr>Other_Bottom_Rail_Colour</vt:lpstr>
      <vt:lpstr>OtherControl</vt:lpstr>
      <vt:lpstr>Oval_Bottom_Rail</vt:lpstr>
      <vt:lpstr>Oval_Bottom_Rail_2</vt:lpstr>
      <vt:lpstr>Over_Roll_Or_Standard_Multi_Shade</vt:lpstr>
      <vt:lpstr>Over_Roll_Or_Standard_Roman_Shade</vt:lpstr>
      <vt:lpstr>Over_Roll_Or_Standard_Triple_Shade</vt:lpstr>
      <vt:lpstr>Pacific_Sales_Coordinator</vt:lpstr>
      <vt:lpstr>Panel_Glide_Blind_Product</vt:lpstr>
      <vt:lpstr>Panel_Glide_Bottom_Rail_Colour</vt:lpstr>
      <vt:lpstr>Panel_Glide_Sewn_In_Pocket</vt:lpstr>
      <vt:lpstr>Panel_Quantity</vt:lpstr>
      <vt:lpstr>Panel_Quantity_2</vt:lpstr>
      <vt:lpstr>Panel_Quantity_3</vt:lpstr>
      <vt:lpstr>Panel_Quantity_4</vt:lpstr>
      <vt:lpstr>Panel_Quantity_5</vt:lpstr>
      <vt:lpstr>Panel_Quantity_6</vt:lpstr>
      <vt:lpstr>Panel_Quantity_7</vt:lpstr>
      <vt:lpstr>Panel_Quantity_9</vt:lpstr>
      <vt:lpstr>Paris</vt:lpstr>
      <vt:lpstr>Paris_Coconut</vt:lpstr>
      <vt:lpstr>Pivot_Hinged_BFT</vt:lpstr>
      <vt:lpstr>Pivot_Hinged_Frame_Type</vt:lpstr>
      <vt:lpstr>Pivot_Hinged_TF</vt:lpstr>
      <vt:lpstr>Pivot_Hinges_Left_Right_Sides</vt:lpstr>
      <vt:lpstr>PivotHingeColour</vt:lpstr>
      <vt:lpstr>PivotHingedLayoutCodes</vt:lpstr>
      <vt:lpstr>PivotHingedTopBottomFrame</vt:lpstr>
      <vt:lpstr>Pompeii</vt:lpstr>
      <vt:lpstr>Prati_Colour</vt:lpstr>
      <vt:lpstr>'25mm Aluminium Blinds'!Print_Area</vt:lpstr>
      <vt:lpstr>'50mm &amp; 63mm Venetian Blinds'!Print_Area</vt:lpstr>
      <vt:lpstr>'Aluminium Venetian Blinds'!Print_Area</vt:lpstr>
      <vt:lpstr>'Cellular Blinds'!Print_Area</vt:lpstr>
      <vt:lpstr>'CMB Bay WS'!Print_Area</vt:lpstr>
      <vt:lpstr>'CMB Corner WS'!Print_Area</vt:lpstr>
      <vt:lpstr>'External Venetian Blinds'!Print_Area</vt:lpstr>
      <vt:lpstr>'Panel Glide Blinds'!Print_Area</vt:lpstr>
      <vt:lpstr>'Roller Blinds'!Print_Area</vt:lpstr>
      <vt:lpstr>Shutters!Print_Area</vt:lpstr>
      <vt:lpstr>'Transition Blinds &amp; Roma Shades'!Print_Area</vt:lpstr>
      <vt:lpstr>'Vertical Blinds'!Print_Area</vt:lpstr>
      <vt:lpstr>PS50mm</vt:lpstr>
      <vt:lpstr>PS63mm</vt:lpstr>
      <vt:lpstr>PSColours50mm</vt:lpstr>
      <vt:lpstr>PSColours63mm</vt:lpstr>
      <vt:lpstr>PureWhiteF190</vt:lpstr>
      <vt:lpstr>PureWhiteW190</vt:lpstr>
      <vt:lpstr>PVC_89mm</vt:lpstr>
      <vt:lpstr>PVC89mm</vt:lpstr>
      <vt:lpstr>RECESS</vt:lpstr>
      <vt:lpstr>Roller_Blind_Product</vt:lpstr>
      <vt:lpstr>Roller_Pelmet_Colour</vt:lpstr>
      <vt:lpstr>RollerBlindsFabricAndColour</vt:lpstr>
      <vt:lpstr>RollerBracketType2</vt:lpstr>
      <vt:lpstr>RollerBracketTypeParis</vt:lpstr>
      <vt:lpstr>RollerChain_Left</vt:lpstr>
      <vt:lpstr>RollerChain_Motor_Left_Hand_5_Channel_Hand_Held</vt:lpstr>
      <vt:lpstr>RollerChain_Motor_Left_Hand_5_Channel_Wall_Mounted</vt:lpstr>
      <vt:lpstr>RollerChain_Motor_Left_Hand_Single_Channel_Hand_Held</vt:lpstr>
      <vt:lpstr>RollerChain_Motor_Left_Hand_Single_Channel_Wall_Mounted</vt:lpstr>
      <vt:lpstr>RollerChain_Motor_Left_Home_Automation</vt:lpstr>
      <vt:lpstr>RollerChain_Motor_Right_Hand_5_Channel_Hand_Held</vt:lpstr>
      <vt:lpstr>RollerChain_Motor_Right_Hand_5_Channel_Wall_Mounted</vt:lpstr>
      <vt:lpstr>RollerChain_Motor_Right_Hand_Single_Channel_Hand_Held</vt:lpstr>
      <vt:lpstr>RollerChain_Motor_Right_Hand_Single_Channel_Wall_Mounted</vt:lpstr>
      <vt:lpstr>RollerChain_Motor_Right_Home_Automation</vt:lpstr>
      <vt:lpstr>RollerChain_Right</vt:lpstr>
      <vt:lpstr>RollerChainColour_Left</vt:lpstr>
      <vt:lpstr>RollerChainColour_Left_Home_Automation</vt:lpstr>
      <vt:lpstr>RollerChainColour_Motor_Left_Hand_5_Channel_Hand_Held</vt:lpstr>
      <vt:lpstr>RollerChainColour_Motor_Left_Hand_5_Channel_Wall_Mounted</vt:lpstr>
      <vt:lpstr>RollerChainColour_Motor_Left_Hand_Single_Channel_Hand_Held</vt:lpstr>
      <vt:lpstr>RollerChainColour_Motor_Left_Hand_Single_Channel_Wall_Mounted</vt:lpstr>
      <vt:lpstr>RollerChainColour_Motor_Right_Hand_5_Channel_Hand_Held</vt:lpstr>
      <vt:lpstr>RollerChainColour_Motor_Right_Hand_5_Channel_Wall_Mounted</vt:lpstr>
      <vt:lpstr>RollerChainColour_Motor_Right_Hand_Single_Channel_Hand_Held</vt:lpstr>
      <vt:lpstr>RollerChainColour_Motor_Right_Hand_Single_Channel_Wall_Mounted</vt:lpstr>
      <vt:lpstr>RollerChainColour_Right</vt:lpstr>
      <vt:lpstr>RollerChainColour_Right_Home_Automation</vt:lpstr>
      <vt:lpstr>RollerControl</vt:lpstr>
      <vt:lpstr>RollerPelmetColourCommon</vt:lpstr>
      <vt:lpstr>RollerPelmetColourNo</vt:lpstr>
      <vt:lpstr>RollerPelmetColourStandard</vt:lpstr>
      <vt:lpstr>RollerPelmetInsertCommon</vt:lpstr>
      <vt:lpstr>RollerPelmetInsertNo</vt:lpstr>
      <vt:lpstr>RollerPelmetInsertStandard</vt:lpstr>
      <vt:lpstr>RollerUniversalPelmet</vt:lpstr>
      <vt:lpstr>Roma_Shade_Finish</vt:lpstr>
      <vt:lpstr>Roma_Shade_Headbox</vt:lpstr>
      <vt:lpstr>Roman_Shade</vt:lpstr>
      <vt:lpstr>Roman_Shade_Finish</vt:lpstr>
      <vt:lpstr>Rome_Blockout</vt:lpstr>
      <vt:lpstr>Rome_Translucent</vt:lpstr>
      <vt:lpstr>S6_Colour</vt:lpstr>
      <vt:lpstr>S9_Colour</vt:lpstr>
      <vt:lpstr>Screw</vt:lpstr>
      <vt:lpstr>Sewn_In_Pocket</vt:lpstr>
      <vt:lpstr>SH2_Colour</vt:lpstr>
      <vt:lpstr>ShutterAluminiumInsert</vt:lpstr>
      <vt:lpstr>ShutterEmail</vt:lpstr>
      <vt:lpstr>ShutterMaterial</vt:lpstr>
      <vt:lpstr>ShutterPhone</vt:lpstr>
      <vt:lpstr>Side_Winder_Bracket_Colour</vt:lpstr>
      <vt:lpstr>Skylight_Cordless_Control</vt:lpstr>
      <vt:lpstr>Skylight_Motorised_Remote_Control</vt:lpstr>
      <vt:lpstr>Skylight_Product</vt:lpstr>
      <vt:lpstr>Slider_L_Bracket</vt:lpstr>
      <vt:lpstr>Sliding_BFT</vt:lpstr>
      <vt:lpstr>Sliding_Frame_108mm_x_35mm_Bi_Pass_Frame_Material</vt:lpstr>
      <vt:lpstr>Sliding_Frame_Type</vt:lpstr>
      <vt:lpstr>Sliding_TF</vt:lpstr>
      <vt:lpstr>SlidingLayoutCodes</vt:lpstr>
      <vt:lpstr>Small_Face_Fit_L_Frame_Material</vt:lpstr>
      <vt:lpstr>Small_L_Frame_Material</vt:lpstr>
      <vt:lpstr>Small_Tube</vt:lpstr>
      <vt:lpstr>SOCDoubleHinged</vt:lpstr>
      <vt:lpstr>SOCFixed</vt:lpstr>
      <vt:lpstr>SOCHinged</vt:lpstr>
      <vt:lpstr>SOCNA</vt:lpstr>
      <vt:lpstr>SOCPivotHinged</vt:lpstr>
      <vt:lpstr>SOCSliding</vt:lpstr>
      <vt:lpstr>SOCTrackBiFold</vt:lpstr>
      <vt:lpstr>SP1_Colour</vt:lpstr>
      <vt:lpstr>SP10_Colour</vt:lpstr>
      <vt:lpstr>Special_Comments_1</vt:lpstr>
      <vt:lpstr>Special_Comments_2</vt:lpstr>
      <vt:lpstr>Special_Comments_3</vt:lpstr>
      <vt:lpstr>Special_Window</vt:lpstr>
      <vt:lpstr>Spring_Pin</vt:lpstr>
      <vt:lpstr>Stack</vt:lpstr>
      <vt:lpstr>Standard</vt:lpstr>
      <vt:lpstr>Standard_Hinge</vt:lpstr>
      <vt:lpstr>Standard_Hinge_Large_90mm</vt:lpstr>
      <vt:lpstr>Stepped_Rabbet_Hinge</vt:lpstr>
      <vt:lpstr>Store_Name</vt:lpstr>
      <vt:lpstr>STYLE35</vt:lpstr>
      <vt:lpstr>STYLE35_LK</vt:lpstr>
      <vt:lpstr>STYLE36</vt:lpstr>
      <vt:lpstr>STYLE36_LK</vt:lpstr>
      <vt:lpstr>STYLE37</vt:lpstr>
      <vt:lpstr>STYLE37_LK</vt:lpstr>
      <vt:lpstr>STYLE38</vt:lpstr>
      <vt:lpstr>STYLE38_LK</vt:lpstr>
      <vt:lpstr>Sunscreen</vt:lpstr>
      <vt:lpstr>T_Post_Material</vt:lpstr>
      <vt:lpstr>Termini_Colour</vt:lpstr>
      <vt:lpstr>'Aluminium Venetian Blinds'!TiltCordless</vt:lpstr>
      <vt:lpstr>'External Venetian Blinds'!TiltCordless</vt:lpstr>
      <vt:lpstr>TiltCordless</vt:lpstr>
      <vt:lpstr>Tiltrod</vt:lpstr>
      <vt:lpstr>Timber_Blade</vt:lpstr>
      <vt:lpstr>Timber_Double_Hinged_Frame_Type</vt:lpstr>
      <vt:lpstr>Timber_Eco</vt:lpstr>
      <vt:lpstr>Timber_Hinged_Frame_Type</vt:lpstr>
      <vt:lpstr>TimberColours50mm</vt:lpstr>
      <vt:lpstr>TimberExtraOptionsStd</vt:lpstr>
      <vt:lpstr>TimberExtrasOptions</vt:lpstr>
      <vt:lpstr>TimberExtrasOptionsPainted</vt:lpstr>
      <vt:lpstr>TimberN</vt:lpstr>
      <vt:lpstr>TimberT</vt:lpstr>
      <vt:lpstr>Top_Bottom_Rail_137.5mm_x_21mm_Material</vt:lpstr>
      <vt:lpstr>Top_Fixed_Pivot_Bracket</vt:lpstr>
      <vt:lpstr>Top_Track_Stopper_Block</vt:lpstr>
      <vt:lpstr>Top_Wheel</vt:lpstr>
      <vt:lpstr>TopBottom_Rail_137.5mm_x_21mmReinforced_Profile</vt:lpstr>
      <vt:lpstr>TopFrame100mm</vt:lpstr>
      <vt:lpstr>TopFrame140mm</vt:lpstr>
      <vt:lpstr>TopFrame180mm</vt:lpstr>
      <vt:lpstr>TopFrame220mm</vt:lpstr>
      <vt:lpstr>TopFrameBullnoseZFrame</vt:lpstr>
      <vt:lpstr>TopFrameHangingStrip</vt:lpstr>
      <vt:lpstr>TopFrameLargeBullnoseZFrame</vt:lpstr>
      <vt:lpstr>TopFrameLargeFFLFrame</vt:lpstr>
      <vt:lpstr>TopFrameLargeLFrame</vt:lpstr>
      <vt:lpstr>TopFrameLargeZFrame</vt:lpstr>
      <vt:lpstr>TopFrameMediumFFLFrame</vt:lpstr>
      <vt:lpstr>TopFrameMediumLFrame</vt:lpstr>
      <vt:lpstr>TopFrameNA</vt:lpstr>
      <vt:lpstr>TopFrameNoFrame</vt:lpstr>
      <vt:lpstr>TopFrameSmallFFLFrame</vt:lpstr>
      <vt:lpstr>TopFrameSmallLFrame</vt:lpstr>
      <vt:lpstr>TopFrameStandardZFrame</vt:lpstr>
      <vt:lpstr>TopFrameUChannel</vt:lpstr>
      <vt:lpstr>Track_Bi_Fold_BFT</vt:lpstr>
      <vt:lpstr>Track_Bi_Fold_Frame_Type</vt:lpstr>
      <vt:lpstr>Track_Bi_Fold_TF</vt:lpstr>
      <vt:lpstr>TrackBiFoldLayoutCodes</vt:lpstr>
      <vt:lpstr>Tracking_For_Bi_Fold_Sliding_Shutters_Material</vt:lpstr>
      <vt:lpstr>Transition_Range_Blinds_Product_Type</vt:lpstr>
      <vt:lpstr>Tridente_Colour</vt:lpstr>
      <vt:lpstr>Triple_Shade</vt:lpstr>
      <vt:lpstr>Triple_Shade_Finish</vt:lpstr>
      <vt:lpstr>Tube38mm</vt:lpstr>
      <vt:lpstr>Tube45mm</vt:lpstr>
      <vt:lpstr>U_Channel_40mm_x_15mm_Material</vt:lpstr>
      <vt:lpstr>U_Channel_40mm_x_25mm_Material</vt:lpstr>
      <vt:lpstr>UChannelNA</vt:lpstr>
      <vt:lpstr>UChannelYes</vt:lpstr>
      <vt:lpstr>VenetianProduct</vt:lpstr>
      <vt:lpstr>Venice</vt:lpstr>
      <vt:lpstr>Vertical_Extension_Bracket_Option</vt:lpstr>
      <vt:lpstr>Vertical_Extension_Bracket_Option_NA</vt:lpstr>
      <vt:lpstr>Vertical_Shade</vt:lpstr>
      <vt:lpstr>Vertical_Shade_Finish</vt:lpstr>
      <vt:lpstr>VerticalColours</vt:lpstr>
      <vt:lpstr>VerticalPelmentNo</vt:lpstr>
      <vt:lpstr>VerticalPelmentYes</vt:lpstr>
      <vt:lpstr>VerticalTrack</vt:lpstr>
      <vt:lpstr>WalnutW891</vt:lpstr>
      <vt:lpstr>White</vt:lpstr>
      <vt:lpstr>WhiteF186</vt:lpstr>
      <vt:lpstr>WhiteW105</vt:lpstr>
      <vt:lpstr>WindowType</vt:lpstr>
      <vt:lpstr>WindowTypeNA</vt:lpstr>
      <vt:lpstr>WindowTypeSkylight</vt:lpstr>
      <vt:lpstr>Yes</vt:lpstr>
      <vt:lpstr>Z_Sill_Frame_Material</vt:lpstr>
      <vt:lpstr>ZRColour</vt:lpstr>
      <vt:lpstr>ZRProfileGuideOption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Pacific Wholesale Distributors</dc:creator>
  <cp:lastModifiedBy>Tony Sinke</cp:lastModifiedBy>
  <cp:lastPrinted>2026-06-06T04:31:49Z</cp:lastPrinted>
  <dcterms:created xsi:type="dcterms:W3CDTF">2014-01-20T04:17:49Z</dcterms:created>
  <dcterms:modified xsi:type="dcterms:W3CDTF">2026-06-06T04:32:05Z</dcterms:modified>
</cp:coreProperties>
</file>